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SunitaPfitzner\Public First Dropbox\Policy and Research Team\Polling\Client Tables\XTX Maths Horizons\parents\"/>
    </mc:Choice>
  </mc:AlternateContent>
  <xr:revisionPtr revIDLastSave="0" documentId="13_ncr:1_{533BF2BF-7746-4689-AEA6-50AAF11076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  <sheet name="Table 88" sheetId="91" r:id="rId91"/>
    <sheet name="Table 89" sheetId="92" r:id="rId92"/>
    <sheet name="Table 90" sheetId="93" r:id="rId93"/>
    <sheet name="Table 91" sheetId="94" r:id="rId94"/>
    <sheet name="Table 92" sheetId="95" r:id="rId95"/>
    <sheet name="Table 93" sheetId="96" r:id="rId96"/>
    <sheet name="Table 94" sheetId="97" r:id="rId97"/>
    <sheet name="Table 95" sheetId="98" r:id="rId98"/>
    <sheet name="Table 96" sheetId="99" r:id="rId99"/>
    <sheet name="Table 97" sheetId="100" r:id="rId100"/>
    <sheet name="Table 98" sheetId="101" r:id="rId101"/>
    <sheet name="Table 99" sheetId="102" r:id="rId102"/>
    <sheet name="Table 100" sheetId="103" r:id="rId103"/>
    <sheet name="Table 101" sheetId="104" r:id="rId104"/>
    <sheet name="Table 102" sheetId="105" r:id="rId105"/>
    <sheet name="Table 103" sheetId="106" r:id="rId106"/>
    <sheet name="Table 104" sheetId="107" r:id="rId107"/>
    <sheet name="Table 105" sheetId="108" r:id="rId108"/>
    <sheet name="Table 106" sheetId="109" r:id="rId109"/>
    <sheet name="Table 107" sheetId="110" r:id="rId110"/>
    <sheet name="Table 108" sheetId="111" r:id="rId111"/>
    <sheet name="Table 109" sheetId="112" r:id="rId112"/>
    <sheet name="Table 110" sheetId="113" r:id="rId113"/>
    <sheet name="Table 111" sheetId="114" r:id="rId114"/>
    <sheet name="Table 112" sheetId="115" r:id="rId115"/>
    <sheet name="Table 113" sheetId="116" r:id="rId116"/>
    <sheet name="Table 114" sheetId="117" r:id="rId117"/>
    <sheet name="Table 115" sheetId="118" r:id="rId118"/>
    <sheet name="Table 116" sheetId="119" r:id="rId119"/>
    <sheet name="Table 117" sheetId="120" r:id="rId120"/>
    <sheet name="Table 118" sheetId="121" r:id="rId121"/>
    <sheet name="Table 119" sheetId="122" r:id="rId122"/>
    <sheet name="Table 120" sheetId="123" r:id="rId123"/>
    <sheet name="Table 121" sheetId="124" r:id="rId124"/>
    <sheet name="Table 122" sheetId="125" r:id="rId125"/>
    <sheet name="Table 123" sheetId="126" r:id="rId126"/>
    <sheet name="Table 124" sheetId="127" r:id="rId127"/>
    <sheet name="Table 125" sheetId="128" r:id="rId128"/>
    <sheet name="Table 126" sheetId="129" r:id="rId129"/>
    <sheet name="Table 127" sheetId="130" r:id="rId130"/>
    <sheet name="Table 128" sheetId="131" r:id="rId131"/>
    <sheet name="Table 129" sheetId="132" r:id="rId132"/>
    <sheet name="Table 130" sheetId="133" r:id="rId133"/>
    <sheet name="Table 131" sheetId="134" r:id="rId134"/>
    <sheet name="Table 132" sheetId="135" r:id="rId135"/>
    <sheet name="Table 133" sheetId="136" r:id="rId136"/>
    <sheet name="Table 134" sheetId="137" r:id="rId137"/>
    <sheet name="Table 135" sheetId="138" r:id="rId138"/>
    <sheet name="Table 136" sheetId="139" r:id="rId139"/>
    <sheet name="Table 137" sheetId="140" r:id="rId140"/>
    <sheet name="Table 138" sheetId="141" r:id="rId141"/>
    <sheet name="Table 139" sheetId="142" r:id="rId142"/>
    <sheet name="Table 140" sheetId="143" r:id="rId143"/>
    <sheet name="Table 141" sheetId="144" r:id="rId144"/>
    <sheet name="Table 142" sheetId="145" r:id="rId145"/>
    <sheet name="Table 143" sheetId="146" r:id="rId146"/>
    <sheet name="Table 144" sheetId="147" r:id="rId147"/>
    <sheet name="Table 145" sheetId="148" r:id="rId148"/>
    <sheet name="Table 146" sheetId="149" r:id="rId149"/>
    <sheet name="Table 147" sheetId="150" r:id="rId150"/>
    <sheet name="Table 148" sheetId="151" r:id="rId151"/>
    <sheet name="Table 149" sheetId="152" r:id="rId152"/>
    <sheet name="Table 150" sheetId="153" r:id="rId153"/>
    <sheet name="Table 151" sheetId="154" r:id="rId154"/>
    <sheet name="Table 152" sheetId="155" r:id="rId155"/>
    <sheet name="Table 153" sheetId="156" r:id="rId156"/>
    <sheet name="Table 154" sheetId="157" r:id="rId157"/>
    <sheet name="Table 155" sheetId="158" r:id="rId158"/>
    <sheet name="Table 156" sheetId="159" r:id="rId159"/>
    <sheet name="Table 157" sheetId="160" r:id="rId160"/>
    <sheet name="Table 158" sheetId="161" r:id="rId161"/>
    <sheet name="Table 159" sheetId="162" r:id="rId162"/>
    <sheet name="Table 160" sheetId="163" r:id="rId163"/>
    <sheet name="Table 161" sheetId="164" r:id="rId164"/>
    <sheet name="Table 162" sheetId="165" r:id="rId165"/>
    <sheet name="Table 163" sheetId="166" r:id="rId166"/>
    <sheet name="Table 164" sheetId="167" r:id="rId167"/>
    <sheet name="Table 165" sheetId="168" r:id="rId168"/>
    <sheet name="Table 166" sheetId="169" r:id="rId169"/>
    <sheet name="Table 167" sheetId="170" r:id="rId170"/>
    <sheet name="Table 168" sheetId="171" r:id="rId171"/>
    <sheet name="Table 169" sheetId="172" r:id="rId172"/>
    <sheet name="Table 170" sheetId="173" r:id="rId173"/>
    <sheet name="Table 171" sheetId="174" r:id="rId174"/>
    <sheet name="Table 172" sheetId="175" r:id="rId175"/>
    <sheet name="Table 173" sheetId="176" r:id="rId176"/>
    <sheet name="Table 174" sheetId="177" r:id="rId177"/>
    <sheet name="Table 175" sheetId="178" r:id="rId178"/>
    <sheet name="Table 176" sheetId="179" r:id="rId179"/>
    <sheet name="Table 177" sheetId="180" r:id="rId180"/>
    <sheet name="Table 178" sheetId="181" r:id="rId181"/>
    <sheet name="Table 179" sheetId="182" r:id="rId182"/>
    <sheet name="Table 180" sheetId="183" r:id="rId183"/>
    <sheet name="Table 181" sheetId="184" r:id="rId184"/>
    <sheet name="Table 182" sheetId="185" r:id="rId185"/>
    <sheet name="Table 183" sheetId="186" r:id="rId186"/>
    <sheet name="Table 184" sheetId="187" r:id="rId187"/>
    <sheet name="Table 185" sheetId="188" r:id="rId188"/>
    <sheet name="Table 186" sheetId="189" r:id="rId189"/>
    <sheet name="Table 187" sheetId="190" r:id="rId190"/>
    <sheet name="Table 188" sheetId="191" r:id="rId191"/>
    <sheet name="Table 189" sheetId="192" r:id="rId192"/>
    <sheet name="Table 190" sheetId="193" r:id="rId193"/>
    <sheet name="Table 191" sheetId="194" r:id="rId194"/>
    <sheet name="Table 192" sheetId="195" r:id="rId195"/>
    <sheet name="Table 193" sheetId="196" r:id="rId196"/>
    <sheet name="Table 194" sheetId="197" r:id="rId197"/>
    <sheet name="Table 195" sheetId="198" r:id="rId198"/>
    <sheet name="Table 196" sheetId="199" r:id="rId199"/>
    <sheet name="Table 197" sheetId="200" r:id="rId200"/>
    <sheet name="Table 198" sheetId="201" r:id="rId201"/>
    <sheet name="Table 199" sheetId="202" r:id="rId202"/>
    <sheet name="Table 200" sheetId="203" r:id="rId203"/>
    <sheet name="Table 201" sheetId="204" r:id="rId204"/>
    <sheet name="Table 202" sheetId="205" r:id="rId205"/>
    <sheet name="Table 203" sheetId="206" r:id="rId206"/>
    <sheet name="Table 204" sheetId="207" r:id="rId207"/>
    <sheet name="Table 205" sheetId="208" r:id="rId208"/>
    <sheet name="Table 206" sheetId="209" r:id="rId209"/>
    <sheet name="Table 207" sheetId="210" r:id="rId210"/>
    <sheet name="Table 208" sheetId="211" r:id="rId211"/>
    <sheet name="Table 209" sheetId="212" r:id="rId212"/>
    <sheet name="Table 210" sheetId="213" r:id="rId213"/>
    <sheet name="Table 211" sheetId="214" r:id="rId214"/>
    <sheet name="Table 212" sheetId="215" r:id="rId215"/>
    <sheet name="Table 213" sheetId="216" r:id="rId216"/>
    <sheet name="Table 214" sheetId="217" r:id="rId217"/>
    <sheet name="Table 215" sheetId="218" r:id="rId218"/>
    <sheet name="Table 216" sheetId="219" r:id="rId219"/>
    <sheet name="Table 217" sheetId="220" r:id="rId220"/>
    <sheet name="Table 218" sheetId="221" r:id="rId221"/>
    <sheet name="Table 219" sheetId="222" r:id="rId222"/>
    <sheet name="Table 220" sheetId="223" r:id="rId223"/>
    <sheet name="Table 221" sheetId="224" r:id="rId224"/>
    <sheet name="Table 222" sheetId="225" r:id="rId225"/>
    <sheet name="Table 223" sheetId="226" r:id="rId226"/>
    <sheet name="Table 224" sheetId="227" r:id="rId227"/>
    <sheet name="Table 225" sheetId="228" r:id="rId228"/>
    <sheet name="Table 226" sheetId="229" r:id="rId229"/>
    <sheet name="Table 227" sheetId="230" r:id="rId230"/>
    <sheet name="Table 228" sheetId="231" r:id="rId231"/>
    <sheet name="Table 229" sheetId="232" r:id="rId232"/>
    <sheet name="Table 230" sheetId="233" r:id="rId233"/>
    <sheet name="Table 231" sheetId="234" r:id="rId234"/>
    <sheet name="Table 232" sheetId="235" r:id="rId235"/>
    <sheet name="Table 233" sheetId="236" r:id="rId236"/>
    <sheet name="Table 234" sheetId="237" r:id="rId237"/>
    <sheet name="Table 235" sheetId="238" r:id="rId238"/>
    <sheet name="Table 236" sheetId="239" r:id="rId239"/>
    <sheet name="Table 237" sheetId="240" r:id="rId2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40" l="1"/>
  <c r="B19" i="239"/>
  <c r="B17" i="238"/>
  <c r="B19" i="237"/>
  <c r="B19" i="236"/>
  <c r="B17" i="235"/>
  <c r="B18" i="234"/>
  <c r="B18" i="233"/>
  <c r="B18" i="232"/>
  <c r="B18" i="231"/>
  <c r="B18" i="230"/>
  <c r="B22" i="229"/>
  <c r="B22" i="228"/>
  <c r="B22" i="227"/>
  <c r="B22" i="226"/>
  <c r="B22" i="225"/>
  <c r="B22" i="224"/>
  <c r="B22" i="223"/>
  <c r="B22" i="222"/>
  <c r="B19" i="221"/>
  <c r="B18" i="220"/>
  <c r="B17" i="219"/>
  <c r="B18" i="218"/>
  <c r="B19" i="217"/>
  <c r="B18" i="216"/>
  <c r="B16" i="215"/>
  <c r="B19" i="214"/>
  <c r="B18" i="213"/>
  <c r="B17" i="212"/>
  <c r="B18" i="211"/>
  <c r="B19" i="210"/>
  <c r="B18" i="209"/>
  <c r="B16" i="208"/>
  <c r="B19" i="207"/>
  <c r="B18" i="206"/>
  <c r="B17" i="205"/>
  <c r="B18" i="204"/>
  <c r="B19" i="203"/>
  <c r="B18" i="202"/>
  <c r="B16" i="201"/>
  <c r="B19" i="200"/>
  <c r="B18" i="199"/>
  <c r="B17" i="198"/>
  <c r="B18" i="197"/>
  <c r="B19" i="196"/>
  <c r="B18" i="195"/>
  <c r="B16" i="194"/>
  <c r="B19" i="193"/>
  <c r="B18" i="192"/>
  <c r="B17" i="191"/>
  <c r="B18" i="190"/>
  <c r="B19" i="189"/>
  <c r="B18" i="188"/>
  <c r="B16" i="187"/>
  <c r="B19" i="186"/>
  <c r="B18" i="185"/>
  <c r="B17" i="184"/>
  <c r="B18" i="183"/>
  <c r="B19" i="182"/>
  <c r="B18" i="181"/>
  <c r="B16" i="180"/>
  <c r="B19" i="179"/>
  <c r="B18" i="178"/>
  <c r="B17" i="177"/>
  <c r="B18" i="176"/>
  <c r="B19" i="175"/>
  <c r="B18" i="174"/>
  <c r="B16" i="173"/>
  <c r="B19" i="172"/>
  <c r="B18" i="171"/>
  <c r="B17" i="170"/>
  <c r="B18" i="169"/>
  <c r="B19" i="168"/>
  <c r="B18" i="167"/>
  <c r="B16" i="166"/>
  <c r="B19" i="165"/>
  <c r="B18" i="164"/>
  <c r="B17" i="163"/>
  <c r="B18" i="162"/>
  <c r="B19" i="161"/>
  <c r="B18" i="160"/>
  <c r="B16" i="159"/>
  <c r="B19" i="158"/>
  <c r="B18" i="157"/>
  <c r="B17" i="156"/>
  <c r="B18" i="155"/>
  <c r="B19" i="154"/>
  <c r="B18" i="153"/>
  <c r="B16" i="152"/>
  <c r="B19" i="151"/>
  <c r="B18" i="150"/>
  <c r="B17" i="149"/>
  <c r="B18" i="148"/>
  <c r="B19" i="147"/>
  <c r="B18" i="146"/>
  <c r="B16" i="145"/>
  <c r="B19" i="144"/>
  <c r="B18" i="143"/>
  <c r="B17" i="142"/>
  <c r="B18" i="141"/>
  <c r="B19" i="140"/>
  <c r="B18" i="139"/>
  <c r="B16" i="138"/>
  <c r="B19" i="137"/>
  <c r="B18" i="136"/>
  <c r="B17" i="135"/>
  <c r="B18" i="134"/>
  <c r="B19" i="133"/>
  <c r="B18" i="132"/>
  <c r="B16" i="131"/>
  <c r="B19" i="130"/>
  <c r="B18" i="129"/>
  <c r="B17" i="128"/>
  <c r="B18" i="127"/>
  <c r="B19" i="126"/>
  <c r="B18" i="125"/>
  <c r="B16" i="124"/>
  <c r="B19" i="123"/>
  <c r="B18" i="122"/>
  <c r="B17" i="121"/>
  <c r="B18" i="120"/>
  <c r="B19" i="119"/>
  <c r="B18" i="118"/>
  <c r="B16" i="117"/>
  <c r="B19" i="116"/>
  <c r="B18" i="115"/>
  <c r="B17" i="114"/>
  <c r="B18" i="113"/>
  <c r="B19" i="112"/>
  <c r="B18" i="111"/>
  <c r="B16" i="110"/>
  <c r="B19" i="109"/>
  <c r="B18" i="108"/>
  <c r="B17" i="107"/>
  <c r="B18" i="106"/>
  <c r="B19" i="105"/>
  <c r="B18" i="104"/>
  <c r="B16" i="103"/>
  <c r="B19" i="102"/>
  <c r="B18" i="101"/>
  <c r="B17" i="100"/>
  <c r="B18" i="99"/>
  <c r="B19" i="98"/>
  <c r="B18" i="97"/>
  <c r="B16" i="96"/>
  <c r="B19" i="95"/>
  <c r="B18" i="94"/>
  <c r="B17" i="93"/>
  <c r="B18" i="92"/>
  <c r="B19" i="91"/>
  <c r="B18" i="90"/>
  <c r="B16" i="89"/>
  <c r="B19" i="88"/>
  <c r="B18" i="87"/>
  <c r="B17" i="86"/>
  <c r="B18" i="85"/>
  <c r="B19" i="84"/>
  <c r="B18" i="83"/>
  <c r="B16" i="82"/>
  <c r="B19" i="81"/>
  <c r="B18" i="80"/>
  <c r="B17" i="79"/>
  <c r="B18" i="78"/>
  <c r="B19" i="77"/>
  <c r="B18" i="76"/>
  <c r="B16" i="75"/>
  <c r="B19" i="74"/>
  <c r="B18" i="73"/>
  <c r="B17" i="72"/>
  <c r="B18" i="71"/>
  <c r="B19" i="70"/>
  <c r="B18" i="69"/>
  <c r="B16" i="68"/>
  <c r="B19" i="67"/>
  <c r="B18" i="66"/>
  <c r="B17" i="65"/>
  <c r="B18" i="64"/>
  <c r="B19" i="63"/>
  <c r="B18" i="62"/>
  <c r="B16" i="61"/>
  <c r="B17" i="60"/>
  <c r="B19" i="59"/>
  <c r="B19" i="58"/>
  <c r="B19" i="57"/>
  <c r="B19" i="56"/>
  <c r="B19" i="55"/>
  <c r="B19" i="54"/>
  <c r="B30" i="53"/>
  <c r="B19" i="52"/>
  <c r="B19" i="51"/>
  <c r="B18" i="50"/>
  <c r="B17" i="49"/>
  <c r="B16" i="48"/>
  <c r="B17" i="47"/>
  <c r="B16" i="46"/>
  <c r="B20" i="45"/>
  <c r="B20" i="44"/>
  <c r="B20" i="43"/>
  <c r="B20" i="42"/>
  <c r="B20" i="41"/>
  <c r="B20" i="40"/>
  <c r="B20" i="39"/>
  <c r="B20" i="38"/>
  <c r="B20" i="37"/>
  <c r="B19" i="36"/>
  <c r="B19" i="35"/>
  <c r="B19" i="34"/>
  <c r="B19" i="33"/>
  <c r="B19" i="32"/>
  <c r="B19" i="31"/>
  <c r="B19" i="30"/>
  <c r="B19" i="29"/>
  <c r="B19" i="28"/>
  <c r="B19" i="27"/>
  <c r="B25" i="26"/>
  <c r="B19" i="25"/>
  <c r="B19" i="24"/>
  <c r="B19" i="23"/>
  <c r="B19" i="22"/>
  <c r="B19" i="21"/>
  <c r="B19" i="20"/>
  <c r="B19" i="19"/>
  <c r="B19" i="18"/>
  <c r="B19" i="17"/>
  <c r="B19" i="16"/>
  <c r="B19" i="15"/>
  <c r="B19" i="14"/>
  <c r="B19" i="13"/>
  <c r="B19" i="12"/>
  <c r="B19" i="11"/>
  <c r="B19" i="10"/>
  <c r="B19" i="9"/>
  <c r="B19" i="8"/>
  <c r="B19" i="7"/>
  <c r="B19" i="6"/>
  <c r="B19" i="5"/>
  <c r="B19" i="4"/>
  <c r="E245" i="2"/>
  <c r="D245" i="2"/>
  <c r="E244" i="2"/>
  <c r="D244" i="2"/>
  <c r="E243" i="2"/>
  <c r="D243" i="2"/>
  <c r="E242" i="2"/>
  <c r="D242" i="2"/>
  <c r="E241" i="2"/>
  <c r="D241" i="2"/>
  <c r="E240" i="2"/>
  <c r="D240" i="2"/>
  <c r="E239" i="2"/>
  <c r="D239" i="2"/>
  <c r="E238" i="2"/>
  <c r="D238" i="2"/>
  <c r="E237" i="2"/>
  <c r="D237" i="2"/>
  <c r="E236" i="2"/>
  <c r="D236" i="2"/>
  <c r="D235" i="2"/>
  <c r="E234" i="2"/>
  <c r="D234" i="2"/>
  <c r="E233" i="2"/>
  <c r="D233" i="2"/>
  <c r="E232" i="2"/>
  <c r="D232" i="2"/>
  <c r="E231" i="2"/>
  <c r="D231" i="2"/>
  <c r="E230" i="2"/>
  <c r="D230" i="2"/>
  <c r="E229" i="2"/>
  <c r="D229" i="2"/>
  <c r="E228" i="2"/>
  <c r="D228" i="2"/>
  <c r="D227" i="2"/>
  <c r="E226" i="2"/>
  <c r="D226" i="2"/>
  <c r="E225" i="2"/>
  <c r="D225" i="2"/>
  <c r="E224" i="2"/>
  <c r="D224" i="2"/>
  <c r="E223" i="2"/>
  <c r="D223" i="2"/>
  <c r="E222" i="2"/>
  <c r="D222" i="2"/>
  <c r="E221" i="2"/>
  <c r="D221" i="2"/>
  <c r="E220" i="2"/>
  <c r="D220" i="2"/>
  <c r="E219" i="2"/>
  <c r="D219" i="2"/>
  <c r="E218" i="2"/>
  <c r="D218" i="2"/>
  <c r="E217" i="2"/>
  <c r="D217" i="2"/>
  <c r="E216" i="2"/>
  <c r="D216" i="2"/>
  <c r="E215" i="2"/>
  <c r="D215" i="2"/>
  <c r="E214" i="2"/>
  <c r="D214" i="2"/>
  <c r="E213" i="2"/>
  <c r="D213" i="2"/>
  <c r="E212" i="2"/>
  <c r="D212" i="2"/>
  <c r="E211" i="2"/>
  <c r="D211" i="2"/>
  <c r="E210" i="2"/>
  <c r="D210" i="2"/>
  <c r="E209" i="2"/>
  <c r="D209" i="2"/>
  <c r="E208" i="2"/>
  <c r="D208" i="2"/>
  <c r="E207" i="2"/>
  <c r="D207" i="2"/>
  <c r="E206" i="2"/>
  <c r="D206" i="2"/>
  <c r="E205" i="2"/>
  <c r="D205" i="2"/>
  <c r="E204" i="2"/>
  <c r="D204" i="2"/>
  <c r="E203" i="2"/>
  <c r="D203" i="2"/>
  <c r="E202" i="2"/>
  <c r="D202" i="2"/>
  <c r="E201" i="2"/>
  <c r="D201" i="2"/>
  <c r="E200" i="2"/>
  <c r="D200" i="2"/>
  <c r="E199" i="2"/>
  <c r="D199" i="2"/>
  <c r="E198" i="2"/>
  <c r="D198" i="2"/>
  <c r="E197" i="2"/>
  <c r="D197" i="2"/>
  <c r="E196" i="2"/>
  <c r="D196" i="2"/>
  <c r="E195" i="2"/>
  <c r="D195" i="2"/>
  <c r="E194" i="2"/>
  <c r="D194" i="2"/>
  <c r="E193" i="2"/>
  <c r="D193" i="2"/>
  <c r="E192" i="2"/>
  <c r="D192" i="2"/>
  <c r="E191" i="2"/>
  <c r="D191" i="2"/>
  <c r="E190" i="2"/>
  <c r="D190" i="2"/>
  <c r="E189" i="2"/>
  <c r="D189" i="2"/>
  <c r="E188" i="2"/>
  <c r="D188" i="2"/>
  <c r="E187" i="2"/>
  <c r="D187" i="2"/>
  <c r="E186" i="2"/>
  <c r="D186" i="2"/>
  <c r="E185" i="2"/>
  <c r="D185" i="2"/>
  <c r="E184" i="2"/>
  <c r="D184" i="2"/>
  <c r="E183" i="2"/>
  <c r="D183" i="2"/>
  <c r="E182" i="2"/>
  <c r="D182" i="2"/>
  <c r="E181" i="2"/>
  <c r="D181" i="2"/>
  <c r="E180" i="2"/>
  <c r="D180" i="2"/>
  <c r="E179" i="2"/>
  <c r="D179" i="2"/>
  <c r="E178" i="2"/>
  <c r="D178" i="2"/>
  <c r="E177" i="2"/>
  <c r="D177" i="2"/>
  <c r="E176" i="2"/>
  <c r="D176" i="2"/>
  <c r="E175" i="2"/>
  <c r="D175" i="2"/>
  <c r="E174" i="2"/>
  <c r="D174" i="2"/>
  <c r="E173" i="2"/>
  <c r="D173" i="2"/>
  <c r="E172" i="2"/>
  <c r="D172" i="2"/>
  <c r="E171" i="2"/>
  <c r="D171" i="2"/>
  <c r="E170" i="2"/>
  <c r="D170" i="2"/>
  <c r="E169" i="2"/>
  <c r="D169" i="2"/>
  <c r="E168" i="2"/>
  <c r="D168" i="2"/>
  <c r="E167" i="2"/>
  <c r="D167" i="2"/>
  <c r="E166" i="2"/>
  <c r="D166" i="2"/>
  <c r="E165" i="2"/>
  <c r="D165" i="2"/>
  <c r="E164" i="2"/>
  <c r="D164" i="2"/>
  <c r="E163" i="2"/>
  <c r="D163" i="2"/>
  <c r="E162" i="2"/>
  <c r="D162" i="2"/>
  <c r="E161" i="2"/>
  <c r="D161" i="2"/>
  <c r="E160" i="2"/>
  <c r="D160" i="2"/>
  <c r="E159" i="2"/>
  <c r="D159" i="2"/>
  <c r="E158" i="2"/>
  <c r="D158" i="2"/>
  <c r="E157" i="2"/>
  <c r="D157" i="2"/>
  <c r="E156" i="2"/>
  <c r="D156" i="2"/>
  <c r="E155" i="2"/>
  <c r="D155" i="2"/>
  <c r="E154" i="2"/>
  <c r="D154" i="2"/>
  <c r="E153" i="2"/>
  <c r="D153" i="2"/>
  <c r="E152" i="2"/>
  <c r="D152" i="2"/>
  <c r="E151" i="2"/>
  <c r="D151" i="2"/>
  <c r="E150" i="2"/>
  <c r="D150" i="2"/>
  <c r="E149" i="2"/>
  <c r="D149" i="2"/>
  <c r="E148" i="2"/>
  <c r="D148" i="2"/>
  <c r="E147" i="2"/>
  <c r="D147" i="2"/>
  <c r="E146" i="2"/>
  <c r="D146" i="2"/>
  <c r="E145" i="2"/>
  <c r="D145" i="2"/>
  <c r="E144" i="2"/>
  <c r="D144" i="2"/>
  <c r="E143" i="2"/>
  <c r="D143" i="2"/>
  <c r="E142" i="2"/>
  <c r="D142" i="2"/>
  <c r="E141" i="2"/>
  <c r="D141" i="2"/>
  <c r="E140" i="2"/>
  <c r="D140" i="2"/>
  <c r="E139" i="2"/>
  <c r="D139" i="2"/>
  <c r="E138" i="2"/>
  <c r="D138" i="2"/>
  <c r="E137" i="2"/>
  <c r="D137" i="2"/>
  <c r="E136" i="2"/>
  <c r="D136" i="2"/>
  <c r="E135" i="2"/>
  <c r="D135" i="2"/>
  <c r="E134" i="2"/>
  <c r="D134" i="2"/>
  <c r="E133" i="2"/>
  <c r="D133" i="2"/>
  <c r="E132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E125" i="2"/>
  <c r="D125" i="2"/>
  <c r="E124" i="2"/>
  <c r="D124" i="2"/>
  <c r="E123" i="2"/>
  <c r="D123" i="2"/>
  <c r="E122" i="2"/>
  <c r="D122" i="2"/>
  <c r="E121" i="2"/>
  <c r="D121" i="2"/>
  <c r="E120" i="2"/>
  <c r="D120" i="2"/>
  <c r="E119" i="2"/>
  <c r="D119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E106" i="2"/>
  <c r="D106" i="2"/>
  <c r="E105" i="2"/>
  <c r="D105" i="2"/>
  <c r="E104" i="2"/>
  <c r="D104" i="2"/>
  <c r="E103" i="2"/>
  <c r="D103" i="2"/>
  <c r="E102" i="2"/>
  <c r="D102" i="2"/>
  <c r="E101" i="2"/>
  <c r="D101" i="2"/>
  <c r="E100" i="2"/>
  <c r="D100" i="2"/>
  <c r="E99" i="2"/>
  <c r="D99" i="2"/>
  <c r="E98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<sst xmlns="http://schemas.openxmlformats.org/spreadsheetml/2006/main" count="21757" uniqueCount="465">
  <si>
    <t>Public First Poll for Maths Horizons (Parents)</t>
  </si>
  <si>
    <t>Fieldwork:</t>
  </si>
  <si>
    <t>13th Dec - 15th Dec 2024</t>
  </si>
  <si>
    <t xml:space="preserve">Interview Method: </t>
  </si>
  <si>
    <t>Online Survey</t>
  </si>
  <si>
    <t>Population represented:</t>
  </si>
  <si>
    <t>Parents of school-aged children in England</t>
  </si>
  <si>
    <t>Sample size:</t>
  </si>
  <si>
    <t>Methodology: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</si>
  <si>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</si>
  <si>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</si>
  <si>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</si>
  <si>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</si>
  <si>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</si>
  <si>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</si>
  <si>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</si>
  <si>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</si>
  <si>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</si>
  <si>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</si>
  <si>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</si>
  <si>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</si>
  <si>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</si>
  <si>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</si>
  <si>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</si>
  <si>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</si>
  <si>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</si>
  <si>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</si>
  <si>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</si>
  <si>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</si>
  <si>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</si>
  <si>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</si>
  <si>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</si>
  <si>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</si>
  <si>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</si>
  <si>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</si>
  <si>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</si>
  <si>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</si>
  <si>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</si>
  <si>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</si>
  <si>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</si>
  <si>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</si>
  <si>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</si>
  <si>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</si>
  <si>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</si>
  <si>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Labour</t>
  </si>
  <si>
    <t>Conservative</t>
  </si>
  <si>
    <t>Liberal Democrats</t>
  </si>
  <si>
    <t>Reform UK</t>
  </si>
  <si>
    <t>The Green Party</t>
  </si>
  <si>
    <t>Don't Know</t>
  </si>
  <si>
    <t>Reception - Year 3</t>
  </si>
  <si>
    <t>Year 4 - Year 6</t>
  </si>
  <si>
    <t>Year 7 - Year 13</t>
  </si>
  <si>
    <t>State</t>
  </si>
  <si>
    <t>Private/grammar</t>
  </si>
  <si>
    <t>More confident</t>
  </si>
  <si>
    <t>Less confident</t>
  </si>
  <si>
    <t>Gender</t>
  </si>
  <si>
    <t>Age</t>
  </si>
  <si>
    <t>Social Grade</t>
  </si>
  <si>
    <t>Region</t>
  </si>
  <si>
    <t>Education</t>
  </si>
  <si>
    <t>Vote Intention</t>
  </si>
  <si>
    <t>Child gender</t>
  </si>
  <si>
    <t>Child school year</t>
  </si>
  <si>
    <t>School type</t>
  </si>
  <si>
    <t>Confidence in maths</t>
  </si>
  <si>
    <t xml:space="preserve"> Art and design</t>
  </si>
  <si>
    <t xml:space="preserve"> Foreign languages</t>
  </si>
  <si>
    <t xml:space="preserve"> Geography</t>
  </si>
  <si>
    <t xml:space="preserve"> PE / Sports / Games</t>
  </si>
  <si>
    <t xml:space="preserve"> History</t>
  </si>
  <si>
    <t xml:space="preserve"> Sciences</t>
  </si>
  <si>
    <t xml:space="preserve"> Computing</t>
  </si>
  <si>
    <t xml:space="preserve"> English</t>
  </si>
  <si>
    <t xml:space="preserve"> Maths</t>
  </si>
  <si>
    <t>Very important</t>
  </si>
  <si>
    <t>Somewhat important</t>
  </si>
  <si>
    <t>Not very important</t>
  </si>
  <si>
    <t>Not at all important</t>
  </si>
  <si>
    <t>Don’t know</t>
  </si>
  <si>
    <t>Total Important:</t>
  </si>
  <si>
    <t>Net:</t>
  </si>
  <si>
    <t>Grid Summary: In your view, how important are each of the following subjects for your oldest child to learn?</t>
  </si>
  <si>
    <t>Fieldwork:  13th Dec - 15th Dec 2024</t>
  </si>
  <si>
    <t>Data weighted by interlocking age &amp; gender, region and social grade to Nationally Representative Proportions</t>
  </si>
  <si>
    <t>BASE: Primary school parents</t>
  </si>
  <si>
    <t>0</t>
  </si>
  <si>
    <t>*</t>
  </si>
  <si>
    <t>In your view, how important are each of the following subjects for your oldest child to learn?: Maths</t>
  </si>
  <si>
    <t>In your view, how important are each of the following subjects for your oldest child to learn?: English</t>
  </si>
  <si>
    <t>In your view, how important are each of the following subjects for your oldest child to learn?: Computing</t>
  </si>
  <si>
    <t>In your view, how important are each of the following subjects for your oldest child to learn?: Sciences</t>
  </si>
  <si>
    <t>In your view, how important are each of the following subjects for your oldest child to learn?: PE / Sports / Games</t>
  </si>
  <si>
    <t>In your view, how important are each of the following subjects for your oldest child to learn?: History</t>
  </si>
  <si>
    <t>In your view, how important are each of the following subjects for your oldest child to learn?: Geography</t>
  </si>
  <si>
    <t>In your view, how important are each of the following subjects for your oldest child to learn?: Art and design</t>
  </si>
  <si>
    <t>In your view, how important are each of the following subjects for your oldest child to learn?: Foreign languages</t>
  </si>
  <si>
    <t xml:space="preserve"> Chemistry</t>
  </si>
  <si>
    <t xml:space="preserve"> Physics</t>
  </si>
  <si>
    <t xml:space="preserve"> Biology</t>
  </si>
  <si>
    <t>BASE: Secondary school parents</t>
  </si>
  <si>
    <t>In your view, how important are each of the following subjects for your oldest child to learn?: Physics</t>
  </si>
  <si>
    <t>In your view, how important are each of the following subjects for your oldest child to learn?: Biology</t>
  </si>
  <si>
    <t>In your view, how important are each of the following subjects for your oldest child to learn?: Chemistry</t>
  </si>
  <si>
    <t>Maths</t>
  </si>
  <si>
    <t>English</t>
  </si>
  <si>
    <t>Computing</t>
  </si>
  <si>
    <t>Foreign languages</t>
  </si>
  <si>
    <t>Physics</t>
  </si>
  <si>
    <t>PE / Sports / Games</t>
  </si>
  <si>
    <t>Biology</t>
  </si>
  <si>
    <t>Chemistry</t>
  </si>
  <si>
    <t>Art and design</t>
  </si>
  <si>
    <t>History</t>
  </si>
  <si>
    <t>Geography</t>
  </si>
  <si>
    <t>Don't know</t>
  </si>
  <si>
    <t>Which of the following school subjects do you expect will help your oldest child most when they have left education?Select up to three  </t>
  </si>
  <si>
    <t>BASE: All Respondents</t>
  </si>
  <si>
    <t xml:space="preserve"> Data analysis (e.g. spreadsheets, statistical calculations)</t>
  </si>
  <si>
    <t xml:space="preserve"> Basic arithmetic</t>
  </si>
  <si>
    <t xml:space="preserve"> Time management</t>
  </si>
  <si>
    <t xml:space="preserve"> Budgeting</t>
  </si>
  <si>
    <t xml:space="preserve"> Teamwork</t>
  </si>
  <si>
    <t xml:space="preserve"> Written communication</t>
  </si>
  <si>
    <t xml:space="preserve"> Logic and problem solving</t>
  </si>
  <si>
    <t xml:space="preserve"> Verbal communication</t>
  </si>
  <si>
    <t xml:space="preserve"> If you are paying attention, select "Very important"</t>
  </si>
  <si>
    <t>Grid Summary: Thinking about the general skills or abilities that your children need in life, how important are each of the following?  </t>
  </si>
  <si>
    <t>Thinking about the general skills or abilities that your children need in life, how important are each of the following?  : Time management</t>
  </si>
  <si>
    <t>Thinking about the general skills or abilities that your children need in life, how important are each of the following?  : Written communication</t>
  </si>
  <si>
    <t>Thinking about the general skills or abilities that your children need in life, how important are each of the following?  : Verbal communication</t>
  </si>
  <si>
    <t>Thinking about the general skills or abilities that your children need in life, how important are each of the following?  : Data analysis (e.g. spreadsheets, statistical calculations)</t>
  </si>
  <si>
    <t>Thinking about the general skills or abilities that your children need in life, how important are each of the following?  : If you are paying attention, select "Very important"</t>
  </si>
  <si>
    <t>BASE: Question randomly assigned to respondents</t>
  </si>
  <si>
    <t>Thinking about the general skills or abilities that your children need in life, how important are each of the following?  : Logic and problem solving</t>
  </si>
  <si>
    <t>Thinking about the general skills or abilities that your children need in life, how important are each of the following?  : Teamwork</t>
  </si>
  <si>
    <t>Thinking about the general skills or abilities that your children need in life, how important are each of the following?  : Budgeting</t>
  </si>
  <si>
    <t>Thinking about the general skills or abilities that your children need in life, how important are each of the following?  : Basic arithmetic</t>
  </si>
  <si>
    <t>Entirely in education (school, college or university)</t>
  </si>
  <si>
    <t>Mostly in education (school, college or university)</t>
  </si>
  <si>
    <t>Equally in education (school, college or university) and outside of school (e.g. a job, personal life)</t>
  </si>
  <si>
    <t>Mostly outside of education (a job, personal life)</t>
  </si>
  <si>
    <t>Entirely outside of education (a job, personal life)</t>
  </si>
  <si>
    <t>N/A - I don’t think they should learn this skill</t>
  </si>
  <si>
    <t>Grid Summary: And for each of the following skills, where would you say your child should learn them?</t>
  </si>
  <si>
    <t>And for each of the following skills, where would you say your child should learn them?: Time management</t>
  </si>
  <si>
    <t>And for each of the following skills, where would you say your child should learn them?: Written communication</t>
  </si>
  <si>
    <t>And for each of the following skills, where would you say your child should learn them?: Verbal communication</t>
  </si>
  <si>
    <t>And for each of the following skills, where would you say your child should learn them?: Data analysis (e.g. spreadsheets, statistical calculations)</t>
  </si>
  <si>
    <t>And for each of the following skills, where would you say your child should learn them?: Logic and problem solving</t>
  </si>
  <si>
    <t>And for each of the following skills, where would you say your child should learn them?: Teamwork</t>
  </si>
  <si>
    <t>And for each of the following skills, where would you say your child should learn them?: Budgeting</t>
  </si>
  <si>
    <t>And for each of the following skills, where would you say your child should learn them?: Basic arithmetic</t>
  </si>
  <si>
    <t>Yes</t>
  </si>
  <si>
    <t>No</t>
  </si>
  <si>
    <t xml:space="preserve"> Did you take A-level or an equivalent level maths yourself?</t>
  </si>
  <si>
    <t>A* or A</t>
  </si>
  <si>
    <t>B or C</t>
  </si>
  <si>
    <t>D or below</t>
  </si>
  <si>
    <t xml:space="preserve"> You said you have taken A-Level maths or equivalent. What grade did you receive?</t>
  </si>
  <si>
    <t xml:space="preserve"> Did you take GCSE or an equivalent level maths yourself?</t>
  </si>
  <si>
    <t>7, 8 or 9 / A* or A</t>
  </si>
  <si>
    <t>4, 5 or 6 / B or C</t>
  </si>
  <si>
    <t>1, 2 or 3 / D or below</t>
  </si>
  <si>
    <t xml:space="preserve"> You said you have taken a Maths GCSE or equivalent. What grade did you receive?</t>
  </si>
  <si>
    <t>I am very confident in my maths skills</t>
  </si>
  <si>
    <t>I am somewhat confident in my maths skills</t>
  </si>
  <si>
    <t>I am not that confident in my maths skills</t>
  </si>
  <si>
    <t>I am not at all confident in my maths skills</t>
  </si>
  <si>
    <t xml:space="preserve"> Which of the following best describes how you feel about your maths skills?  </t>
  </si>
  <si>
    <t>I know exactly what is on the curriculum</t>
  </si>
  <si>
    <t>I have a good understanding of what is on the curriculum</t>
  </si>
  <si>
    <t>I have a general idea about what is on the curriculum</t>
  </si>
  <si>
    <t>I know a little about their curriculum but not in much detail</t>
  </si>
  <si>
    <t>I have no idea what is on the curriculum</t>
  </si>
  <si>
    <t>Prefer not to say</t>
  </si>
  <si>
    <t xml:space="preserve"> To what extent are you aware of what is on your oldest school-age child’s maths curriculum for this current school year (i.e. are you aware of what this year’s learning objectives are)?   </t>
  </si>
  <si>
    <t xml:space="preserve"> To what extent are you aware of what is on your oldest school-age child’s English curriculum for this current school year (i.e. are you aware of what this year’s learning objectives are)? </t>
  </si>
  <si>
    <t>Adding, subtracting, multiplying, dividing, using fractions, decimals, percentages, and ratios</t>
  </si>
  <si>
    <t>Reading, understanding, and applying diagrams, graphs, tables, spreadsheets, and statistics</t>
  </si>
  <si>
    <t>Breaking down problems, finding patterns, critical thinking, and strategic planning</t>
  </si>
  <si>
    <t>Understanding shapes, volumes, and spatial relationships</t>
  </si>
  <si>
    <t>Comparing, estimating, measuring, approximating, and ensuring accuracy of values</t>
  </si>
  <si>
    <t>Budgeting, taxes, percentages, and interest rates</t>
  </si>
  <si>
    <t>Using and manipulating algebraic expressions to solve problems, including in spreadsheets</t>
  </si>
  <si>
    <t>Assessing likelihood, randomness, predictions, causation, and uncertainty</t>
  </si>
  <si>
    <t>Writing or adapting computer code to solve maths-related problems</t>
  </si>
  <si>
    <t>Basic arithmetic (e.g. adding, subtracting, using decimals/percentages/ratios)</t>
  </si>
  <si>
    <t>Understanding diagrams, graphs, and tables</t>
  </si>
  <si>
    <t>Using algebraic expressions to solve problems</t>
  </si>
  <si>
    <t>Breaking down problems, finding patterns, critical thinking</t>
  </si>
  <si>
    <t>Assessing likelihood, randomness, predictions, and causation</t>
  </si>
  <si>
    <t>Comparing, estimating, measuring, approximating different weights, volumes, or numbers</t>
  </si>
  <si>
    <t>None of the above</t>
  </si>
  <si>
    <t>Which of the following maths skills, if any, would you expect your school-age children to be taught in school?Select any which apply  </t>
  </si>
  <si>
    <t xml:space="preserve"> Knowing how to code</t>
  </si>
  <si>
    <t xml:space="preserve"> Getting a good grade in Maths A Level</t>
  </si>
  <si>
    <t xml:space="preserve"> Getting a good grade in Maths GCSE</t>
  </si>
  <si>
    <t xml:space="preserve"> Being good at maths in general</t>
  </si>
  <si>
    <t xml:space="preserve"> Being good at writing in general</t>
  </si>
  <si>
    <t>Not that important</t>
  </si>
  <si>
    <t>Grid Summary: How important would you say the following are to your child’s future and career, if at all?</t>
  </si>
  <si>
    <t>How important would you say the following are to your child’s future and career, if at all?: Getting a good grade in Maths GCSE</t>
  </si>
  <si>
    <t>How important would you say the following are to your child’s future and career, if at all?: Getting a good grade in Maths A Level</t>
  </si>
  <si>
    <t>How important would you say the following are to your child’s future and career, if at all?: Knowing how to code</t>
  </si>
  <si>
    <t>How important would you say the following are to your child’s future and career, if at all?: Being good at writing in general</t>
  </si>
  <si>
    <t>How important would you say the following are to your child’s future and career, if at all?: Being good at maths in general</t>
  </si>
  <si>
    <t>The amount my child learns in maths at school is too much</t>
  </si>
  <si>
    <t>The amount my child learns in maths at school is about right</t>
  </si>
  <si>
    <t>The amount my child learns in maths at school is not enough</t>
  </si>
  <si>
    <t xml:space="preserve"> Which of these comes closest to your view?If you have more than one child, please think of your oldest child who is in school  </t>
  </si>
  <si>
    <t xml:space="preserve"> Thinking about your oldest school-age child, have they learned about doing sums and calculations (+, -, x, ÷) in their time at school?</t>
  </si>
  <si>
    <t>BASE: Reception - Year 3 parents</t>
  </si>
  <si>
    <t>A lot of time</t>
  </si>
  <si>
    <t>A moderate amount of time</t>
  </si>
  <si>
    <t>Not much time</t>
  </si>
  <si>
    <t>A small amount of time</t>
  </si>
  <si>
    <t xml:space="preserve"> You said that your oldest school-age child has learnt about doing sums and calculations (+, -, x, ÷). How much time have they spent learning about this as far as you are aware?</t>
  </si>
  <si>
    <t>BASE: Reception - Year 3 parents and 'yes' to above question</t>
  </si>
  <si>
    <t>Very confident</t>
  </si>
  <si>
    <t>Confident</t>
  </si>
  <si>
    <t>Not that confident</t>
  </si>
  <si>
    <t>Not confident at all</t>
  </si>
  <si>
    <t>Total Confident:</t>
  </si>
  <si>
    <t xml:space="preserve"> You said your oldest school-age child has learnt about doing sums and calculations (+, -, x, ÷). How confident are they in this topic?</t>
  </si>
  <si>
    <t>They really enjoyed this</t>
  </si>
  <si>
    <t>They enjoyed this</t>
  </si>
  <si>
    <t>They enjoyed this a little</t>
  </si>
  <si>
    <t>They did not enjoy this at all</t>
  </si>
  <si>
    <t xml:space="preserve"> You said your oldest school-age child has learnt about doing sums and calculations (+, -, x, ÷). How much did they enjoy learning about this?</t>
  </si>
  <si>
    <t>They have been learning about this too fast</t>
  </si>
  <si>
    <t>They have been learning about this at the right speed</t>
  </si>
  <si>
    <t>They have been learning about this too slowly</t>
  </si>
  <si>
    <t xml:space="preserve"> When your oldest school-age child has been learning about doing sums and calculations (+, -, x, ÷) , which of the following comes closest to your view?</t>
  </si>
  <si>
    <t>Very useful</t>
  </si>
  <si>
    <t>Useful</t>
  </si>
  <si>
    <t>Not that useful</t>
  </si>
  <si>
    <t>Not at all useful</t>
  </si>
  <si>
    <t xml:space="preserve"> Do you think learning about doing sums and calculations (+, -, x, ÷) will be useful to your oldest school-age child when they leave school?</t>
  </si>
  <si>
    <t xml:space="preserve"> If your oldest school-age child was struggling with their learning in doing sums and calculations (+, -, x, ÷) , how confident would you feel in your ability to help them?</t>
  </si>
  <si>
    <t xml:space="preserve"> Thinking about your oldest school-age child, have they learned about fractions like a half and a quarter in their time at school?</t>
  </si>
  <si>
    <t xml:space="preserve"> You said your oldest school-age child has learnt about fractions like a half and a quarter. How much time have they spent learning about this as far as you are aware?</t>
  </si>
  <si>
    <t xml:space="preserve"> You said your oldest school-age child has learnt about fractions like a half and a quarter. How confident are they in this topic?</t>
  </si>
  <si>
    <t xml:space="preserve"> You said your oldest school-age child has learnt about fractions like a half and a quarter. How much did they enjoy learning about this?</t>
  </si>
  <si>
    <t xml:space="preserve"> When your oldest school-age child has been learning about fractions like a half and a quarter, which of the following comes closest to your view?</t>
  </si>
  <si>
    <t xml:space="preserve"> Do you think learning about about fractions like a half and a quarter, will be useful to your oldest school-age child when they leave school?</t>
  </si>
  <si>
    <t xml:space="preserve"> If your oldest school-age child was struggling with their learning in fractions like a half and a quarter, how confident would you feel in your ability to help them?</t>
  </si>
  <si>
    <t xml:space="preserve"> Thinking about your oldest school-age child, have they learned about measuring and guessing things like lengths and minutes in their time at school?</t>
  </si>
  <si>
    <t xml:space="preserve"> You said that your oldest school-age child has learnt about measuring and guessing things like lengths and minutes. How much time have they spent learning about this?</t>
  </si>
  <si>
    <t xml:space="preserve"> You said your oldest school-age child has learnt about measuring and guessing things like lengths and minutes. How confident are they in this topic?</t>
  </si>
  <si>
    <t xml:space="preserve"> You said your oldest school-age child has learnt about measuring and guessing things like lengths and minutes. How much did they enjoy learning about this?</t>
  </si>
  <si>
    <t xml:space="preserve"> When your oldest school-age child has been learning about measuring and guessing things like lengths and minutes, which of the following comes closest to your view?</t>
  </si>
  <si>
    <t xml:space="preserve"> Do you think learning about measuring and guessing things like lengths and minutes will be useful to your oldest school-age child when they leave school?</t>
  </si>
  <si>
    <t xml:space="preserve"> If your oldest school-age child was struggling with their learning in measuring and guessing things like lengths and minutes, how confident would you feel in your ability to help them?</t>
  </si>
  <si>
    <t xml:space="preserve"> Thinking about your oldest school-age child, have they learned about recognising and drawing shapes (like squares, triangles, circles, cubes)?</t>
  </si>
  <si>
    <t xml:space="preserve"> You said that your oldest school-age child has learnt about recognising and drawing shapes (like squares, triangles, circles, cubes). How much time have they spent learning about this?</t>
  </si>
  <si>
    <t xml:space="preserve"> You said that your oldest school-age child has learnt about recognising and drawing shapes (like squares, triangles, circles, cubes). How confident are they in this topic?</t>
  </si>
  <si>
    <t xml:space="preserve"> You said that your oldest school-age child has learnt about recognising and drawing shapes (like squares, triangles, circles, cubes). How much did they enjoy learning about this?</t>
  </si>
  <si>
    <t xml:space="preserve"> When your oldest school-age child has been learning about recognising and drawing shapes (like squares, triangles, circles, cubes), which of the following comes closest to your view?</t>
  </si>
  <si>
    <t xml:space="preserve"> Do you think learning about recognising and drawing shapes (like squares, triangles, circles, cubes) will be useful to your oldest school-age child when they leave school?</t>
  </si>
  <si>
    <t xml:space="preserve"> If your oldest school-age child was struggling with their learning in recognising and drawing shapes (like squares, triangles, circles, cubes), how confident would you feel in your ability to help them?</t>
  </si>
  <si>
    <t xml:space="preserve"> Thinking about your oldest school-age child, have they learned about using charts (like pie charts, bar charts)?</t>
  </si>
  <si>
    <t xml:space="preserve"> You said that your oldest school-age child has learnt about using charts (like pie charts, bar charts). How much time have they spent learning about this?</t>
  </si>
  <si>
    <t xml:space="preserve"> You said that your oldest school-age child has learnt about using charts (like pie charts, bar charts). How confident are they in this topic?</t>
  </si>
  <si>
    <t xml:space="preserve"> You said that your oldest school-age child has learnt about using charts (like pie charts, bar charts). How much did they enjoy learning about this?</t>
  </si>
  <si>
    <t xml:space="preserve"> When your oldest school-age child has been learning about using charts (like pie charts, bar charts), which of the following comes closest to your view?</t>
  </si>
  <si>
    <t xml:space="preserve"> Do you think learning about using charts (like pie charts, bar charts) will be useful to your oldest school-age child when they leave school?</t>
  </si>
  <si>
    <t xml:space="preserve"> If your oldest school-age child was struggling with their learning in using charts (like pie charts, bar charts), how confident would you feel in your ability to help them?</t>
  </si>
  <si>
    <t xml:space="preserve"> Thinking about your oldest school-age child, have they learned about working out what comes next in a pattern?</t>
  </si>
  <si>
    <t xml:space="preserve"> You said that your oldest school-age child has learnt about working out what comes next in a pattern. How much time have they spent learning about this?</t>
  </si>
  <si>
    <t xml:space="preserve"> You said that your oldest school-age child has learnt about working out what comes next in a pattern. How confident are they in this topic?</t>
  </si>
  <si>
    <t xml:space="preserve"> You said that your oldest school-age child has learnt about working out what comes next in a pattern. How much did they enjoy learning about this?</t>
  </si>
  <si>
    <t xml:space="preserve"> When your oldest school-age child has been learning about working out what comes next in a pattern, which of the following comes closest to your view?</t>
  </si>
  <si>
    <t xml:space="preserve"> Do you think learning about working out what comes next in a pattern will be useful to your oldest school-age child when they leave school?</t>
  </si>
  <si>
    <t xml:space="preserve"> If your oldest school-age child was struggling with their learning in working out what comes next in a pattern, how confident would you feel in your ability to help them?</t>
  </si>
  <si>
    <t xml:space="preserve"> Thinking about your oldest school-age child, have they learned about finding different ways to solve puzzles and problems?</t>
  </si>
  <si>
    <t xml:space="preserve"> You said that your oldest school-age child has learnt about finding different ways to solve puzzles and problems. How much time have they spent learning about this?</t>
  </si>
  <si>
    <t xml:space="preserve"> You said that your oldest school-age child has learnt about finding different ways to solve puzzles and problems. How confident are they in this topic?</t>
  </si>
  <si>
    <t xml:space="preserve"> You said that your oldest school-age child has learnt about finding different ways to solve puzzles and problems. How much did they enjoy learning about this?</t>
  </si>
  <si>
    <t xml:space="preserve"> When your oldest school-age child has been learning about finding different ways to solve puzzles and problems, which of the following comes closest to your view?</t>
  </si>
  <si>
    <t xml:space="preserve"> Do you think learning about finding different ways to solve puzzles and problems will be useful to your oldest school-age child when they leave school?</t>
  </si>
  <si>
    <t xml:space="preserve"> If your oldest school-age child was struggling with their learning in finding different ways to solve puzzles and problems, how confident would you feel in your ability to help them?</t>
  </si>
  <si>
    <t xml:space="preserve"> Thinking about your oldest school-age child, have they learned about doing mental sums and calculations (+, -, x, ÷)?</t>
  </si>
  <si>
    <t xml:space="preserve"> You said that your oldest school-age child has learnt about doing mental sums and calculations (+, -, x, ÷). How much time have they spent learning about this?</t>
  </si>
  <si>
    <t xml:space="preserve"> You said that your oldest school-age child has learnt about doing mental sums and calculations (+, -, x, ÷). How confident are they in this topic?</t>
  </si>
  <si>
    <t xml:space="preserve"> You said that your oldest school-age child has learnt about doing mental sums and calculations (+, -, x, ÷). How much did they enjoy learning about this?</t>
  </si>
  <si>
    <t xml:space="preserve"> When your oldest school-age child has been learning about doing mental sums and calculations (+, -, x, ÷), which of the following comes closest to your view?</t>
  </si>
  <si>
    <t xml:space="preserve"> Do you think learning about doing mental sums and calculations (+, -, x, ÷) will be useful to your oldest school-age child when they leave school?</t>
  </si>
  <si>
    <t xml:space="preserve"> If your oldest school-age child was struggling with their learning in doing mental sums and calculations (+, -, x, ÷), how confident would you feel in your ability to help them?</t>
  </si>
  <si>
    <t xml:space="preserve"> Thinking about your oldest school-age child, have they learned about fractions (½) ,  percentages (%) and decimals (2.6)?</t>
  </si>
  <si>
    <t xml:space="preserve"> You said that your oldest school-age child has learnt about fractions (½) ,  percentages (%) and decimals (2.6). How much time have they spent learning about this?</t>
  </si>
  <si>
    <t xml:space="preserve"> You said that your oldest school-age child has learnt about fractions (½) ,  percentages (%) and decimals (2.6). How confident are they in this topic?</t>
  </si>
  <si>
    <t xml:space="preserve"> You said that your oldest school-age child has learnt about fractions (½) ,  percentages (%) and decimals (2.6). How much did they enjoy learning about this?</t>
  </si>
  <si>
    <t xml:space="preserve"> When your oldest school-age child has been learning about fractions (½) ,  percentages (%) and decimals (2.6), which of the following comes closest to your view?</t>
  </si>
  <si>
    <t xml:space="preserve"> Do you think learning about fractions (½) ,  percentages (%) and decimals (2.6) will be useful to your oldest school-age child when they leave school?</t>
  </si>
  <si>
    <t xml:space="preserve"> If your oldest school-age child was struggling with their learning in fractions (½) ,  percentages (%) and decimals (2.6), how confident would you feel in your ability to help them?</t>
  </si>
  <si>
    <t xml:space="preserve"> Thinking about your oldest school-age child, have they learned about measuring, estimating, time and money?</t>
  </si>
  <si>
    <t xml:space="preserve"> You said that your oldest school-age child has learnt about measuring, estimating, time and money. How much time have they spent learning about this?</t>
  </si>
  <si>
    <t xml:space="preserve"> You said that your oldest school-age child has learnt about measuring, estimating, time and money. How confident are they in this topic?</t>
  </si>
  <si>
    <t xml:space="preserve"> You said that your oldest school-age child has learnt about measuring, estimating, time and money. How much did they enjoy learning about this?</t>
  </si>
  <si>
    <t xml:space="preserve"> When your oldest school-age child has been learning about measuring, estimating, time and money, which of the following comes closest to your view?</t>
  </si>
  <si>
    <t xml:space="preserve"> Do you think learning about measuring, estimating, time and money will be useful to your oldest school-age child when they leave school?</t>
  </si>
  <si>
    <t xml:space="preserve"> If your oldest school-age child was struggling with their learning in measuring, estimating, time and money, how confident would you feel in your ability to help them?</t>
  </si>
  <si>
    <t xml:space="preserve"> Thinking about your oldest school-age child, have they learned about recognising and drawing shapes, patterns, coordinates, angles, area, volume, symmetry?</t>
  </si>
  <si>
    <t xml:space="preserve"> You said your oldest school-age child has learnt about recognising and drawing shapes, patterns, coordinates, angles, area, volume, symmetry. How much time have they spent learning about this?</t>
  </si>
  <si>
    <t xml:space="preserve"> You said that your oldest school-age child has learnt about recognising and drawing shapes, patterns, coordinates, angles, area, volume, symmetry. How confident are they in this topic?</t>
  </si>
  <si>
    <t xml:space="preserve"> You said your oldest school-age child has learnt about recognising and drawing shapes, patterns, coordinates, angles, area, volume, symmetry. How much did they enjoy learning about this?</t>
  </si>
  <si>
    <t xml:space="preserve"> When your oldest school-age child has been learning about recognising and drawing shapes, patterns, coordinates, angles, area, volume, symmetry, which of the following comes closest to your view?</t>
  </si>
  <si>
    <t xml:space="preserve"> Do you think learning about recognising and drawing shapes, patterns, coordinates, angles, area, volume, symmetry will be useful to your oldest school-age child when they leave school?</t>
  </si>
  <si>
    <t xml:space="preserve"> If your oldest school-age child was struggling with their learning in recognising and drawing shapes, patterns, coordinates, angles, area, volume, symmetry, how confident would you feel in your ability to help them?</t>
  </si>
  <si>
    <t xml:space="preserve"> Thinking about your oldest school-age child, have they learned about data, tables, charts and graphs?</t>
  </si>
  <si>
    <t xml:space="preserve"> You said that your oldest school-age child has learnt about data, tables, charts and graphs. How much time have they spent learning about this?</t>
  </si>
  <si>
    <t xml:space="preserve"> You said that your oldest school-age child has learnt about data, tables, charts and graphs. How confident are they in this topic?</t>
  </si>
  <si>
    <t xml:space="preserve"> You said that your oldest school-age child has learnt about data, tables, charts and graphs. How much did they enjoy learning about this?</t>
  </si>
  <si>
    <t xml:space="preserve"> When your oldest school-age child has been learning about data, tables, charts and graphs, which of the following comes closest to your view?</t>
  </si>
  <si>
    <t xml:space="preserve"> Do you think learning about data, tables, charts and graphs will be useful to your oldest school-age child when they leave school?</t>
  </si>
  <si>
    <t xml:space="preserve"> If your oldest school-age child was struggling with their learning in data, tables, charts and graphs, how confident would you feel in your ability to help them?</t>
  </si>
  <si>
    <t xml:space="preserve"> Thinking about your oldest school-age child, have they learned about patterns, sequences?</t>
  </si>
  <si>
    <t xml:space="preserve"> You said that your oldest school-age child has learnt about patterns, sequences. How much time have they spent learning about this?</t>
  </si>
  <si>
    <t>BASE: Year 4 - Year 6 parents</t>
  </si>
  <si>
    <t xml:space="preserve"> You said that your oldest school-age child has learnt about patterns, sequences. How confident are they in this topic?</t>
  </si>
  <si>
    <t xml:space="preserve"> You said that your oldest school-age child has learnt about patterns, sequences. How much did they enjoy learning about this?</t>
  </si>
  <si>
    <t xml:space="preserve"> When your oldest school-age child has been learning about patterns, sequences, which of the following comes closest to your view?</t>
  </si>
  <si>
    <t xml:space="preserve"> Do you think learning about patterns, sequences will be useful to your oldest school-age child when they leave school?</t>
  </si>
  <si>
    <t xml:space="preserve"> If your oldest school-age child was struggling with their learning in patterns, sequences, how confident would you feel in your ability to help them?</t>
  </si>
  <si>
    <t xml:space="preserve"> Thinking about your oldest school-age child, have they learned about deeper problems, investigations, problem-solving?</t>
  </si>
  <si>
    <t xml:space="preserve"> You said that your oldest school-age child has learnt about deeper problems, investigations, problem-solving. How much time have they spent learning about this?</t>
  </si>
  <si>
    <t>BASE: Year 4 - Year 6 parents and 'yes' to above question</t>
  </si>
  <si>
    <t xml:space="preserve"> You said that your oldest school-age child has learnt about deeper problems, investigations, problem-solving. How confident are they in this topic?</t>
  </si>
  <si>
    <t xml:space="preserve"> You said that your oldest school-age child has learnt about deeper problems, investigations, problem-solving. How much did they enjoy learning about this?</t>
  </si>
  <si>
    <t xml:space="preserve"> When your oldest school-age child has been learning about deeper problems, investigations, problem-solving, which of the following comes closest to your view?</t>
  </si>
  <si>
    <t xml:space="preserve"> Do you think learning about deeper problems, investigations, problem-solving will be useful to your oldest school-age child when they leave school?</t>
  </si>
  <si>
    <t xml:space="preserve"> If your oldest school-age child was struggling with their learning in deeper problems, investigations, problem-solving, how confident would you feel in your ability to help them?</t>
  </si>
  <si>
    <t xml:space="preserve"> Thinking about your oldest school-age child, have they learned about adding, subtracting, multiplying, dividing, using fractions, decimals, percentages, and ratios?</t>
  </si>
  <si>
    <t xml:space="preserve"> You said that your oldest school-age child has learnt about adding, subtracting, multiplying, dividing, using fractions, decimals, percentages, and ratios. How much time have they spent learning about this?</t>
  </si>
  <si>
    <t xml:space="preserve"> You said that your oldest school-age child has learnt about adding, subtracting, multiplying, dividing, using fractions, decimals, percentages, and ratios. How confident are they in this topic?</t>
  </si>
  <si>
    <t xml:space="preserve"> You said that your oldest school-age child has learnt about adding, subtracting, multiplying, dividing, using fractions, decimals, percentages, and ratios. How much did they enjoy learning about this?</t>
  </si>
  <si>
    <t xml:space="preserve"> When your oldest school-age child has been learning about adding, subtracting, multiplying, dividing, using fractions, decimals, percentages, and ratios, which of the following comes closest to your view?</t>
  </si>
  <si>
    <t xml:space="preserve"> Do you think learning about adding, subtracting, multiplying, dividing, using fractions, decimals, percentages, and ratios will be useful to your oldest school-age child when they leave school?</t>
  </si>
  <si>
    <t xml:space="preserve"> If your oldest school-age child was struggling with their learning in adding, subtracting, multiplying, dividing, using fractions, decimals, percentages, and ratios, how confident would you feel in your ability to help them?</t>
  </si>
  <si>
    <t xml:space="preserve"> Thinking about your oldest school-age child, have they learned about reading, understanding, and applying diagrams, graphs, tables, spreadsheets, and statistics?</t>
  </si>
  <si>
    <t xml:space="preserve"> You said that your oldest school-age child has learnt about reading, understanding, and applying diagrams, graphs, tables, spreadsheets, and statistics. How much time have they spent learning about this?</t>
  </si>
  <si>
    <t xml:space="preserve"> You said that your oldest school-age child has learnt about reading, understanding, and applying diagrams, graphs, tables, spreadsheets, and statistics. How confident are they in this topic?</t>
  </si>
  <si>
    <t xml:space="preserve"> You said that your oldest school-age child has learnt about reading, understanding, and applying diagrams, graphs, tables, spreadsheets, and statistics. How much did they enjoy learning about this?</t>
  </si>
  <si>
    <t xml:space="preserve"> When your oldest school-age child has been learning about reading, understanding, and applying diagrams, graphs, tables, spreadsheets, and statistics, which of the following comes closest to your view?</t>
  </si>
  <si>
    <t xml:space="preserve"> Do you think learning about reading, understanding, and applying diagrams, graphs, tables, spreadsheets, and statistics will be useful to your oldest school-age child when they leave school?</t>
  </si>
  <si>
    <t xml:space="preserve"> If your oldest school-age child was struggling with their learning in reading, understanding, and applying diagrams, graphs, tables, spreadsheets, and statistics, how confident would you feel in your ability to help them?</t>
  </si>
  <si>
    <t xml:space="preserve"> Thinking about your oldest school-age child, have they learned about comparing, estimating, measuring, approximating, and ensuring accuracy of values?</t>
  </si>
  <si>
    <t xml:space="preserve"> You said that your oldest school-age child has learnt about comparing, estimating, measuring, approximating, and ensuring accuracy of values. How much time have they spent learning about this?</t>
  </si>
  <si>
    <t xml:space="preserve"> You said that your oldest school-age child has learnt about comparing, estimating, measuring, approximating, and ensuring accuracy of values. How confident are they in this topic?</t>
  </si>
  <si>
    <t xml:space="preserve"> You said that your oldest school-age child has learnt about comparing, estimating, measuring, approximating, and ensuring accuracy of values. How much did they enjoy learning about this?</t>
  </si>
  <si>
    <t xml:space="preserve"> When your oldest school-age child has been learning about comparing, estimating, measuring, approximating, and ensuring accuracy of values, which of the following comes closest to your view?</t>
  </si>
  <si>
    <t xml:space="preserve"> Do you think learning about comparing, estimating, measuring, approximating, and ensuring accuracy of values will be useful to your oldest school-age child when they leave school?</t>
  </si>
  <si>
    <t xml:space="preserve"> If your oldest school-age child was struggling with their learning in comparing, estimating, measuring, approximating, and ensuring accuracy of values, how confident would you feel in your ability to help them?</t>
  </si>
  <si>
    <t xml:space="preserve"> Thinking about your oldest school-age child, have they learned about understanding shapes, volumes, and spatial relationships?</t>
  </si>
  <si>
    <t xml:space="preserve"> You said that your oldest school-age child has learnt about understanding shapes, volumes, and spatial relationships. How much time have they spent learning about this?</t>
  </si>
  <si>
    <t xml:space="preserve"> You said that your oldest school-age child has learnt about understanding shapes, volumes, and spatial relationships. How confident are they in this topic?</t>
  </si>
  <si>
    <t xml:space="preserve"> You said that your oldest school-age child has learnt about understanding shapes, volumes, and spatial relationships. How much did they enjoy learning about this?</t>
  </si>
  <si>
    <t xml:space="preserve"> When your oldest school-age child has been learning about understanding shapes, volumes, and spatial relationships, which of the following comes closest to your view?</t>
  </si>
  <si>
    <t xml:space="preserve"> Do you think learning about understanding shapes, volumes, and spatial relationships will be useful to your oldest school-age child when they leave school?</t>
  </si>
  <si>
    <t xml:space="preserve"> If your oldest school-age child was struggling with their learning in understanding shapes, volumes, and spatial relationships, how confident would you feel in your ability to help them?</t>
  </si>
  <si>
    <t xml:space="preserve"> Thinking about your oldest school-age child, have they learned about using and manipulating algebraic expressions to solve problems, including in spreadsheets?</t>
  </si>
  <si>
    <t xml:space="preserve"> You said that your oldest school-age child has learnt about using and manipulating algebraic expressions to solve problems, including in spreadsheets. How much time have they spent learning about this?</t>
  </si>
  <si>
    <t xml:space="preserve"> You said that your oldest school-age child has learnt about using and manipulating algebraic expressions to solve problems, including in spreadsheets. How confident are they in this topic?</t>
  </si>
  <si>
    <t xml:space="preserve"> You said that your oldest school-age child has learnt about using and manipulating algebraic expressions to solve problems, including in spreadsheets. How much did they enjoy learning about this?</t>
  </si>
  <si>
    <t xml:space="preserve"> When your oldest school-age child has been learning about using and manipulating algebraic expressions to solve problems, including in spreadsheets, which of the following comes closest to your view?</t>
  </si>
  <si>
    <t xml:space="preserve"> Do you think learning about using and manipulating algebraic expressions to solve problems, including in spreadsheets will be useful to your oldest school-age child when they leave school?</t>
  </si>
  <si>
    <t xml:space="preserve"> If your oldest school-age child was struggling with their learning in using and manipulating algebraic expressions to solve problems, including in spreadsheets, how confident would you feel in your ability to help them?</t>
  </si>
  <si>
    <t xml:space="preserve"> Thinking about your oldest school-age child, have they learned about assessing likelihood, randomness, predictions, causation, and uncertainty?</t>
  </si>
  <si>
    <t xml:space="preserve"> You said that your oldest school-age child has learnt about assessing likelihood, randomness, predictions, causation, and uncertainty. How much time have they spent learning about this?</t>
  </si>
  <si>
    <t xml:space="preserve"> You said that your oldest school-age child has learnt about assessing likelihood, randomness, predictions, causation, and uncertainty. How confident are they in this topic?</t>
  </si>
  <si>
    <t xml:space="preserve"> You said that your oldest school-age child has learnt about assessing likelihood, randomness, predictions, causation, and uncertainty. How much did they enjoy learning about this?</t>
  </si>
  <si>
    <t xml:space="preserve"> When your oldest school-age child has been learning about assessing likelihood, randomness, predictions, causation, and uncertainty, which of the following comes closest to your view?</t>
  </si>
  <si>
    <t xml:space="preserve"> Do you think learning about assessing likelihood, randomness, predictions, causation, and uncertainty will be useful to your oldest school-age child when they leave school?</t>
  </si>
  <si>
    <t xml:space="preserve"> If your oldest school-age child was struggling with their learning in assessing likelihood, randomness, predictions, causation, and uncertainty, how confident would you feel in your ability to help them?</t>
  </si>
  <si>
    <t xml:space="preserve"> Thinking about your oldest school-age child, have they learned about breaking down problems, finding patterns, critical thinking, and strategic planning?</t>
  </si>
  <si>
    <t xml:space="preserve"> You said that your oldest school-age child has learnt about breaking down problems, finding patterns, critical thinking, and strategic planning. How much time have they spent learning about this?</t>
  </si>
  <si>
    <t xml:space="preserve"> You said that your oldest school-age child has learnt about breaking down problems, finding patterns, critical thinking, and strategic planning. How confident are they in this topic?</t>
  </si>
  <si>
    <t xml:space="preserve"> You said that your oldest school-age child has learnt about breaking down problems, finding patterns, critical thinking, and strategic planning. How much did they enjoy learning about this?</t>
  </si>
  <si>
    <t xml:space="preserve"> When your oldest school-age child has been learning about breaking down problems, finding patterns, critical thinking, and strategic planning, which of the following comes closest to your view?</t>
  </si>
  <si>
    <t xml:space="preserve"> Do you think learning about breaking down problems, finding patterns, critical thinking, and strategic planning will be useful to your oldest school-age child when they leave school?</t>
  </si>
  <si>
    <t xml:space="preserve"> If your oldest school-age child was struggling with their learning in breaking down problems, finding patterns, critical thinking, and strategic planning, how confident would you feel in your ability to help them?</t>
  </si>
  <si>
    <t xml:space="preserve"> Thinking about your oldest school-age child, have they learned about budgeting, taxes, percentages, interest rates?</t>
  </si>
  <si>
    <t xml:space="preserve"> You said that your oldest school-age child has learnt about budgeting, taxes, percentages, interest rates. How much time have they spent learning about this?</t>
  </si>
  <si>
    <t xml:space="preserve"> You said that your oldest school-age child has learnt about budgeting, taxes, percentages, interest rates. How confident are they in this topic?</t>
  </si>
  <si>
    <t xml:space="preserve"> You said that your oldest school-age child has learnt about budgeting, taxes, percentages, interest rates. How much did they enjoy learning about this?</t>
  </si>
  <si>
    <t xml:space="preserve"> When your oldest school-age child has been learning about budgeting, taxes, percentages, interest rates, which of the following comes closest to your view?</t>
  </si>
  <si>
    <t xml:space="preserve"> Do you think learning about budgeting, taxes, percentages, interest rates will be useful to your oldest school-age child when they leave school?</t>
  </si>
  <si>
    <t xml:space="preserve"> If your oldest school-age child was struggling with their learning in budgeting, taxes, percentages, interest rates, how confident would you feel in your ability to help them?</t>
  </si>
  <si>
    <t xml:space="preserve"> Thinking about your oldest school-age child, have they learned about writing or adapting computer code to solve math-related problems?</t>
  </si>
  <si>
    <t xml:space="preserve"> You said that your oldest school-age child has learnt about writing or adapting computer code to solve math-related problems. How much time have they spent learning about this?</t>
  </si>
  <si>
    <t xml:space="preserve"> You said that your oldest school-age child has learnt about writing or adapting computer code to solve math-related problems. How confident are they in this topic?</t>
  </si>
  <si>
    <t xml:space="preserve"> You said that your oldest school-age child has learnt about writing or adapting computer code to solve math-related problems. How much did they enjoy learning about this?</t>
  </si>
  <si>
    <t xml:space="preserve"> When your oldest school-age child has been learning about writing or adapting computer code to solve math-related problems, which of the following comes closest to your view?</t>
  </si>
  <si>
    <t xml:space="preserve"> Do you think learning about writing or adapting computer code to solve math-related problems will be useful to your oldest school-age child when they leave school?</t>
  </si>
  <si>
    <t xml:space="preserve"> If your oldest school-age child was struggling with their learning in writing or adapting computer code to solve math-related problems, how confident would you feel in your ability to help them?</t>
  </si>
  <si>
    <t xml:space="preserve"> Maths is an important skill for my child to use in their everyday life</t>
  </si>
  <si>
    <t xml:space="preserve"> Maths in schools should be focussed around problem solving, and allowing children to take the time to work out how to answer these problems</t>
  </si>
  <si>
    <t xml:space="preserve"> Maths in school should teach more real-life skills, such as budgeting and taxes</t>
  </si>
  <si>
    <t xml:space="preserve"> Maths education is important in teaching broader skills like critical thinking, problem solving, and logic</t>
  </si>
  <si>
    <t xml:space="preserve"> Maths is an important skill for my child to use in their future career</t>
  </si>
  <si>
    <t xml:space="preserve"> Maths in school should teach cutting edge mathematical concepts so as to prepare children for life in a society which is more technology focussed</t>
  </si>
  <si>
    <t xml:space="preserve"> My oldest child has enjoyed their maths education so far</t>
  </si>
  <si>
    <t>Strongly agree</t>
  </si>
  <si>
    <t>Somewhat agree</t>
  </si>
  <si>
    <t>Neither agree nor disagree</t>
  </si>
  <si>
    <t>Somewhat disagree</t>
  </si>
  <si>
    <t>Strongly disagree</t>
  </si>
  <si>
    <t>Total Agree:</t>
  </si>
  <si>
    <t>Total Disagree:</t>
  </si>
  <si>
    <t>Grid Summary: To what extent do you agree or disagree with the following statements?  </t>
  </si>
  <si>
    <t>To what extent do you agree or disagree with the following statements?  : Maths is an important skill for my child to use in their everyday life</t>
  </si>
  <si>
    <t>To what extent do you agree or disagree with the following statements?  : Maths is an important skill for my child to use in their future career</t>
  </si>
  <si>
    <t>To what extent do you agree or disagree with the following statements?  : Maths in school should teach more real-life skills, such as budgeting and taxes</t>
  </si>
  <si>
    <t>To what extent do you agree or disagree with the following statements?  : Maths education is important in teaching broader skills like critical thinking, problem solving, and logic</t>
  </si>
  <si>
    <t>To what extent do you agree or disagree with the following statements?  : Maths in schools should be focussed around problem solving, and allowing children to take the time to work out how to answer these problems</t>
  </si>
  <si>
    <t>To what extent do you agree or disagree with the following statements?  : Maths in school should teach cutting edge mathematical concepts so as to prepare children for life in a society which is more technology focussed</t>
  </si>
  <si>
    <t>To what extent do you agree or disagree with the following statements?  : My oldest child has enjoyed their maths education so far</t>
  </si>
  <si>
    <t xml:space="preserve"> My child loves learning maths in school|My child hates learning maths in school</t>
  </si>
  <si>
    <t xml:space="preserve"> Maths is the most important skill for my child to learn in school|Maths is the least important skill for my child to learn in school</t>
  </si>
  <si>
    <t xml:space="preserve"> Ensuring my child has the right maths skills for work lies entirely with their future employer|Ensuring my child has the right maths skills for work lies entirely with the education system</t>
  </si>
  <si>
    <t>-2</t>
  </si>
  <si>
    <t>-1</t>
  </si>
  <si>
    <t>1</t>
  </si>
  <si>
    <t>2</t>
  </si>
  <si>
    <t>Grid Summary: Which of the following comes closest to your view?  </t>
  </si>
  <si>
    <t>Which of the following comes closest to your view?  : My child loves learning maths in school|My child hates learning maths in school</t>
  </si>
  <si>
    <t>Which of the following comes closest to your view?  : Maths is the most important skill for my child to learn in school|Maths is the least important skill for my child to learn in school</t>
  </si>
  <si>
    <t>Which of the following comes closest to your view?  : Ensuring my child has the right maths skills for work lies entirely with their future employer|Ensuring my child has the right maths skills for work lies entirely with the education system</t>
  </si>
  <si>
    <t>They will likely want a very mathematical job</t>
  </si>
  <si>
    <t>They will likely want a job which requires some maths</t>
  </si>
  <si>
    <t>They will likely want a job which does not require much maths</t>
  </si>
  <si>
    <t>They will likely want to avoid jobs which require any maths</t>
  </si>
  <si>
    <t xml:space="preserve"> Do you think your oldest child will want to have a job in the future that requires a lot of maths?</t>
  </si>
  <si>
    <t>It has mainly repeated things they learned in primary school</t>
  </si>
  <si>
    <t>It has been a mix of repeating things and covering new things</t>
  </si>
  <si>
    <t>It has mainly covered new things</t>
  </si>
  <si>
    <t xml:space="preserve"> Would you say that the maths your oldest child has covered in secondary school has repeated things they learned in primary school, or is it covering new things?  </t>
  </si>
  <si>
    <t>They are much better at maths than the rest of the year group</t>
  </si>
  <si>
    <t>They are better at maths than the rest of the year group</t>
  </si>
  <si>
    <t>They are about the same at maths as the rest of the year group</t>
  </si>
  <si>
    <t>They are worse at maths than the rest of the year group</t>
  </si>
  <si>
    <t>They are much worse at maths than the rest of the year group</t>
  </si>
  <si>
    <t xml:space="preserve"> In your view, how would you compare your oldest school-age child’s mathematical skills to the rest of their year group?</t>
  </si>
  <si>
    <t>Somewhat confident</t>
  </si>
  <si>
    <t>Not very confident</t>
  </si>
  <si>
    <t>Not at all confident</t>
  </si>
  <si>
    <t xml:space="preserve"> How confident are you that if your oldest school-age child does not learn the maths skills they need in school, they will be able to learn it later on in life?</t>
  </si>
  <si>
    <t>My oldest child’s maths education is not focused enough on what will be useful to them in their career</t>
  </si>
  <si>
    <t>My oldest child’s maths education has the right level of focus on what will be useful to them in their career</t>
  </si>
  <si>
    <t>My oldest child’s maths education is too focused on their future career, rather than what is helpful to them now</t>
  </si>
  <si>
    <t xml:space="preserve"> Which of the following comes closest to your view?</t>
  </si>
  <si>
    <t>Learning maths skills is much more important than it used to be</t>
  </si>
  <si>
    <t>Learning maths skills is more important than it used to be</t>
  </si>
  <si>
    <t>There has been no real change</t>
  </si>
  <si>
    <t>Learning maths skills is less important than it used to be</t>
  </si>
  <si>
    <t>Learning maths skills is much less important than it used to be</t>
  </si>
  <si>
    <t xml:space="preserve"> In your view, how has the importance of maths as a skill that your child needs to learn changed in the last 2 years, if at all?</t>
  </si>
  <si>
    <t>Advances in AI (artificial intelligence) mean it is more important now to learn skills in maths</t>
  </si>
  <si>
    <t>Advances in AI (artificial intelligence) mean it is less important now to learn skills in maths</t>
  </si>
  <si>
    <t>Advances in AI (artificial intelligence) have not really impacted how important it is to learn skills in maths</t>
  </si>
  <si>
    <t>Full Results</t>
  </si>
  <si>
    <t>BASE: Secondary school parents and 'yes' to above question</t>
  </si>
  <si>
    <t>All results are weighted using Iterative Proportional Fitting, or 'Raking'. The results are  weighted by gender, region, and social grade to Nationally Representative Proportions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</si>
</sst>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b/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8" fillId="0" borderId="4" xfId="0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/>
    </xf>
    <xf numFmtId="9" fontId="8" fillId="0" borderId="4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calcChain" Target="calcChain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1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3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8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2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3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5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7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8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9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0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1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2.xml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3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4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5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7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8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9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0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1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2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3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4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5.xml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6.xml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7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9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0.xml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1.xml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2.xml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3.xml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4.xml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5.xml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6.xml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7.xml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8.xml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9.xml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0.xml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1.xml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2.xml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3.xml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4.xml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5.xml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6.xml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7.xml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8.xml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9.xml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topLeftCell="A8" workbookViewId="0">
      <selection activeCell="F18" sqref="F18"/>
    </sheetView>
  </sheetViews>
  <sheetFormatPr defaultColWidth="10.90625" defaultRowHeight="14.5" x14ac:dyDescent="0.35"/>
  <sheetData>
    <row r="7" spans="6:12" ht="40" customHeight="1" x14ac:dyDescent="0.35">
      <c r="F7" s="31" t="s">
        <v>0</v>
      </c>
      <c r="G7" s="32"/>
      <c r="H7" s="32"/>
      <c r="I7" s="32"/>
      <c r="J7" s="32"/>
      <c r="K7" s="32"/>
      <c r="L7" s="32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2065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33" t="s">
        <v>464</v>
      </c>
      <c r="G17" s="32"/>
      <c r="H17" s="32"/>
      <c r="I17" s="32"/>
      <c r="J17" s="32"/>
      <c r="K17" s="32"/>
      <c r="L17" s="32"/>
      <c r="M17" s="32"/>
    </row>
    <row r="19" spans="6:13" ht="30" customHeight="1" x14ac:dyDescent="0.35">
      <c r="F19" s="4" t="s">
        <v>9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245"/>
  <sheetViews>
    <sheetView showGridLines="0" topLeftCell="D59" workbookViewId="0">
      <selection activeCell="E66" sqref="E66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10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11</v>
      </c>
      <c r="E8" s="6" t="s">
        <v>12</v>
      </c>
      <c r="F8" s="6" t="s">
        <v>13</v>
      </c>
    </row>
    <row r="9" spans="3:6" x14ac:dyDescent="0.35">
      <c r="C9">
        <v>1</v>
      </c>
      <c r="D9" s="8" t="str">
        <f>HYPERLINK("#'Table 1'!A1", "Grid Summary: In your view, how important are each of the following subjects for your oldest child to learn?")</f>
        <v>Grid Summary: In your view, how important are each of the following subjects for your oldest child to learn?</v>
      </c>
      <c r="E9" s="7"/>
      <c r="F9" t="s">
        <v>86</v>
      </c>
    </row>
    <row r="10" spans="3:6" x14ac:dyDescent="0.35">
      <c r="C10">
        <v>2</v>
      </c>
      <c r="D10" s="8" t="str">
        <f>HYPERLINK("#'Table 2'!A1", "In your view, how important are each of the following subjects for your oldest child to learn?: Maths")</f>
        <v>In your view, how important are each of the following subjects for your oldest child to learn?: Maths</v>
      </c>
      <c r="E10" s="21" t="str">
        <f>HYPERLINK("#'Full Results'!A11", "11")</f>
        <v>11</v>
      </c>
      <c r="F10" t="s">
        <v>86</v>
      </c>
    </row>
    <row r="11" spans="3:6" x14ac:dyDescent="0.35">
      <c r="C11">
        <v>3</v>
      </c>
      <c r="D11" s="8" t="str">
        <f>HYPERLINK("#'Table 3'!A1", "In your view, how important are each of the following subjects for your oldest child to learn?: English")</f>
        <v>In your view, how important are each of the following subjects for your oldest child to learn?: English</v>
      </c>
      <c r="E11" s="21" t="str">
        <f>HYPERLINK("#'Full Results'!A21", "21")</f>
        <v>21</v>
      </c>
      <c r="F11" t="s">
        <v>86</v>
      </c>
    </row>
    <row r="12" spans="3:6" x14ac:dyDescent="0.35">
      <c r="C12">
        <v>4</v>
      </c>
      <c r="D12" s="8" t="str">
        <f>HYPERLINK("#'Table 4'!A1", "In your view, how important are each of the following subjects for your oldest child to learn?: Computing")</f>
        <v>In your view, how important are each of the following subjects for your oldest child to learn?: Computing</v>
      </c>
      <c r="E12" s="21" t="str">
        <f>HYPERLINK("#'Full Results'!A31", "31")</f>
        <v>31</v>
      </c>
      <c r="F12" t="s">
        <v>86</v>
      </c>
    </row>
    <row r="13" spans="3:6" x14ac:dyDescent="0.35">
      <c r="C13">
        <v>5</v>
      </c>
      <c r="D13" s="8" t="str">
        <f>HYPERLINK("#'Table 5'!A1", "In your view, how important are each of the following subjects for your oldest child to learn?: Sciences")</f>
        <v>In your view, how important are each of the following subjects for your oldest child to learn?: Sciences</v>
      </c>
      <c r="E13" s="21" t="str">
        <f>HYPERLINK("#'Full Results'!A41", "41")</f>
        <v>41</v>
      </c>
      <c r="F13" t="s">
        <v>86</v>
      </c>
    </row>
    <row r="14" spans="3:6" x14ac:dyDescent="0.35">
      <c r="C14">
        <v>6</v>
      </c>
      <c r="D14" s="8" t="str">
        <f>HYPERLINK("#'Table 6'!A1", "In your view, how important are each of the following subjects for your oldest child to learn?: PE / Sports / Games")</f>
        <v>In your view, how important are each of the following subjects for your oldest child to learn?: PE / Sports / Games</v>
      </c>
      <c r="E14" s="21" t="str">
        <f>HYPERLINK("#'Full Results'!A51", "51")</f>
        <v>51</v>
      </c>
      <c r="F14" t="s">
        <v>86</v>
      </c>
    </row>
    <row r="15" spans="3:6" x14ac:dyDescent="0.35">
      <c r="C15">
        <v>7</v>
      </c>
      <c r="D15" s="8" t="str">
        <f>HYPERLINK("#'Table 7'!A1", "In your view, how important are each of the following subjects for your oldest child to learn?: History")</f>
        <v>In your view, how important are each of the following subjects for your oldest child to learn?: History</v>
      </c>
      <c r="E15" s="21" t="str">
        <f>HYPERLINK("#'Full Results'!A61", "61")</f>
        <v>61</v>
      </c>
      <c r="F15" t="s">
        <v>86</v>
      </c>
    </row>
    <row r="16" spans="3:6" x14ac:dyDescent="0.35">
      <c r="C16">
        <v>8</v>
      </c>
      <c r="D16" s="8" t="str">
        <f>HYPERLINK("#'Table 8'!A1", "In your view, how important are each of the following subjects for your oldest child to learn?: Geography")</f>
        <v>In your view, how important are each of the following subjects for your oldest child to learn?: Geography</v>
      </c>
      <c r="E16" s="21" t="str">
        <f>HYPERLINK("#'Full Results'!A71", "71")</f>
        <v>71</v>
      </c>
      <c r="F16" t="s">
        <v>86</v>
      </c>
    </row>
    <row r="17" spans="3:6" x14ac:dyDescent="0.35">
      <c r="C17">
        <v>9</v>
      </c>
      <c r="D17" s="8" t="str">
        <f>HYPERLINK("#'Table 9'!A1", "In your view, how important are each of the following subjects for your oldest child to learn?: Art and design")</f>
        <v>In your view, how important are each of the following subjects for your oldest child to learn?: Art and design</v>
      </c>
      <c r="E17" s="21" t="str">
        <f>HYPERLINK("#'Full Results'!A81", "81")</f>
        <v>81</v>
      </c>
      <c r="F17" t="s">
        <v>86</v>
      </c>
    </row>
    <row r="18" spans="3:6" x14ac:dyDescent="0.35">
      <c r="C18">
        <v>10</v>
      </c>
      <c r="D18" s="8" t="str">
        <f>HYPERLINK("#'Table 10'!A1", "In your view, how important are each of the following subjects for your oldest child to learn?: Foreign languages")</f>
        <v>In your view, how important are each of the following subjects for your oldest child to learn?: Foreign languages</v>
      </c>
      <c r="E18" s="21" t="str">
        <f>HYPERLINK("#'Full Results'!A91", "91")</f>
        <v>91</v>
      </c>
      <c r="F18" t="s">
        <v>86</v>
      </c>
    </row>
    <row r="19" spans="3:6" x14ac:dyDescent="0.35">
      <c r="C19">
        <v>11</v>
      </c>
      <c r="D19" s="8" t="str">
        <f>HYPERLINK("#'Table 11'!A1", "Grid Summary: In your view, how important are each of the following subjects for your oldest child to learn?")</f>
        <v>Grid Summary: In your view, how important are each of the following subjects for your oldest child to learn?</v>
      </c>
      <c r="E19" s="7"/>
      <c r="F19" t="s">
        <v>101</v>
      </c>
    </row>
    <row r="20" spans="3:6" x14ac:dyDescent="0.35">
      <c r="C20">
        <v>12</v>
      </c>
      <c r="D20" s="8" t="str">
        <f>HYPERLINK("#'Table 12'!A1", "In your view, how important are each of the following subjects for your oldest child to learn?: Maths")</f>
        <v>In your view, how important are each of the following subjects for your oldest child to learn?: Maths</v>
      </c>
      <c r="E20" s="21" t="str">
        <f>HYPERLINK("#'Full Results'!A101", "101")</f>
        <v>101</v>
      </c>
      <c r="F20" t="s">
        <v>101</v>
      </c>
    </row>
    <row r="21" spans="3:6" x14ac:dyDescent="0.35">
      <c r="C21">
        <v>13</v>
      </c>
      <c r="D21" s="8" t="str">
        <f>HYPERLINK("#'Table 13'!A1", "In your view, how important are each of the following subjects for your oldest child to learn?: English")</f>
        <v>In your view, how important are each of the following subjects for your oldest child to learn?: English</v>
      </c>
      <c r="E21" s="21" t="str">
        <f>HYPERLINK("#'Full Results'!A111", "111")</f>
        <v>111</v>
      </c>
      <c r="F21" t="s">
        <v>101</v>
      </c>
    </row>
    <row r="22" spans="3:6" x14ac:dyDescent="0.35">
      <c r="C22">
        <v>14</v>
      </c>
      <c r="D22" s="8" t="str">
        <f>HYPERLINK("#'Table 14'!A1", "In your view, how important are each of the following subjects for your oldest child to learn?: Computing")</f>
        <v>In your view, how important are each of the following subjects for your oldest child to learn?: Computing</v>
      </c>
      <c r="E22" s="21" t="str">
        <f>HYPERLINK("#'Full Results'!A121", "121")</f>
        <v>121</v>
      </c>
      <c r="F22" t="s">
        <v>101</v>
      </c>
    </row>
    <row r="23" spans="3:6" x14ac:dyDescent="0.35">
      <c r="C23">
        <v>15</v>
      </c>
      <c r="D23" s="8" t="str">
        <f>HYPERLINK("#'Table 15'!A1", "In your view, how important are each of the following subjects for your oldest child to learn?: Physics")</f>
        <v>In your view, how important are each of the following subjects for your oldest child to learn?: Physics</v>
      </c>
      <c r="E23" s="21" t="str">
        <f>HYPERLINK("#'Full Results'!A131", "131")</f>
        <v>131</v>
      </c>
      <c r="F23" t="s">
        <v>101</v>
      </c>
    </row>
    <row r="24" spans="3:6" x14ac:dyDescent="0.35">
      <c r="C24">
        <v>16</v>
      </c>
      <c r="D24" s="8" t="str">
        <f>HYPERLINK("#'Table 16'!A1", "In your view, how important are each of the following subjects for your oldest child to learn?: Biology")</f>
        <v>In your view, how important are each of the following subjects for your oldest child to learn?: Biology</v>
      </c>
      <c r="E24" s="21" t="str">
        <f>HYPERLINK("#'Full Results'!A141", "141")</f>
        <v>141</v>
      </c>
      <c r="F24" t="s">
        <v>101</v>
      </c>
    </row>
    <row r="25" spans="3:6" x14ac:dyDescent="0.35">
      <c r="C25">
        <v>17</v>
      </c>
      <c r="D25" s="8" t="str">
        <f>HYPERLINK("#'Table 17'!A1", "In your view, how important are each of the following subjects for your oldest child to learn?: Chemistry")</f>
        <v>In your view, how important are each of the following subjects for your oldest child to learn?: Chemistry</v>
      </c>
      <c r="E25" s="21" t="str">
        <f>HYPERLINK("#'Full Results'!A151", "151")</f>
        <v>151</v>
      </c>
      <c r="F25" t="s">
        <v>101</v>
      </c>
    </row>
    <row r="26" spans="3:6" x14ac:dyDescent="0.35">
      <c r="C26">
        <v>18</v>
      </c>
      <c r="D26" s="8" t="str">
        <f>HYPERLINK("#'Table 18'!A1", "In your view, how important are each of the following subjects for your oldest child to learn?: PE / Sports / Games")</f>
        <v>In your view, how important are each of the following subjects for your oldest child to learn?: PE / Sports / Games</v>
      </c>
      <c r="E26" s="21" t="str">
        <f>HYPERLINK("#'Full Results'!A161", "161")</f>
        <v>161</v>
      </c>
      <c r="F26" t="s">
        <v>101</v>
      </c>
    </row>
    <row r="27" spans="3:6" x14ac:dyDescent="0.35">
      <c r="C27">
        <v>19</v>
      </c>
      <c r="D27" s="8" t="str">
        <f>HYPERLINK("#'Table 19'!A1", "In your view, how important are each of the following subjects for your oldest child to learn?: History")</f>
        <v>In your view, how important are each of the following subjects for your oldest child to learn?: History</v>
      </c>
      <c r="E27" s="21" t="str">
        <f>HYPERLINK("#'Full Results'!A171", "171")</f>
        <v>171</v>
      </c>
      <c r="F27" t="s">
        <v>101</v>
      </c>
    </row>
    <row r="28" spans="3:6" x14ac:dyDescent="0.35">
      <c r="C28">
        <v>20</v>
      </c>
      <c r="D28" s="8" t="str">
        <f>HYPERLINK("#'Table 20'!A1", "In your view, how important are each of the following subjects for your oldest child to learn?: Geography")</f>
        <v>In your view, how important are each of the following subjects for your oldest child to learn?: Geography</v>
      </c>
      <c r="E28" s="21" t="str">
        <f>HYPERLINK("#'Full Results'!A181", "181")</f>
        <v>181</v>
      </c>
      <c r="F28" t="s">
        <v>101</v>
      </c>
    </row>
    <row r="29" spans="3:6" x14ac:dyDescent="0.35">
      <c r="C29">
        <v>21</v>
      </c>
      <c r="D29" s="8" t="str">
        <f>HYPERLINK("#'Table 21'!A1", "In your view, how important are each of the following subjects for your oldest child to learn?: Art and design")</f>
        <v>In your view, how important are each of the following subjects for your oldest child to learn?: Art and design</v>
      </c>
      <c r="E29" s="21" t="str">
        <f>HYPERLINK("#'Full Results'!A191", "191")</f>
        <v>191</v>
      </c>
      <c r="F29" t="s">
        <v>101</v>
      </c>
    </row>
    <row r="30" spans="3:6" x14ac:dyDescent="0.35">
      <c r="C30">
        <v>22</v>
      </c>
      <c r="D30" s="8" t="str">
        <f>HYPERLINK("#'Table 22'!A1", "In your view, how important are each of the following subjects for your oldest child to learn?: Foreign languages")</f>
        <v>In your view, how important are each of the following subjects for your oldest child to learn?: Foreign languages</v>
      </c>
      <c r="E30" s="21" t="str">
        <f>HYPERLINK("#'Full Results'!A201", "201")</f>
        <v>201</v>
      </c>
      <c r="F30" t="s">
        <v>101</v>
      </c>
    </row>
    <row r="31" spans="3:6" x14ac:dyDescent="0.35">
      <c r="C31">
        <v>23</v>
      </c>
      <c r="D31" s="8" t="str">
        <f>HYPERLINK("#'Table 23'!A1", "Which of the following school subjects do you expect will help your oldest child most when they have left education?Select up to three  ")</f>
        <v>Which of the following school subjects do you expect will help your oldest child most when they have left education?Select up to three  </v>
      </c>
      <c r="E31" s="21" t="str">
        <f>HYPERLINK("#'Full Results'!A211", "211")</f>
        <v>211</v>
      </c>
      <c r="F31" t="s">
        <v>118</v>
      </c>
    </row>
    <row r="32" spans="3:6" x14ac:dyDescent="0.35">
      <c r="C32">
        <v>24</v>
      </c>
      <c r="D32" s="8" t="str">
        <f>HYPERLINK("#'Table 24'!A1", "Grid Summary: Thinking about the general skills or abilities that your children need in life, how important are each of the following?  ")</f>
        <v>Grid Summary: Thinking about the general skills or abilities that your children need in life, how important are each of the following?  </v>
      </c>
      <c r="E32" s="7"/>
      <c r="F32" t="s">
        <v>118</v>
      </c>
    </row>
    <row r="33" spans="3:6" x14ac:dyDescent="0.35">
      <c r="C33">
        <v>25</v>
      </c>
      <c r="D33" s="8" t="str">
        <f>HYPERLINK("#'Table 25'!A1", "Thinking about the general skills or abilities that your children need in life, how important are each of the following?  : Time management")</f>
        <v>Thinking about the general skills or abilities that your children need in life, how important are each of the following?  : Time management</v>
      </c>
      <c r="E33" s="21" t="str">
        <f>HYPERLINK("#'Full Results'!A226", "226")</f>
        <v>226</v>
      </c>
      <c r="F33" t="s">
        <v>118</v>
      </c>
    </row>
    <row r="34" spans="3:6" x14ac:dyDescent="0.35">
      <c r="C34">
        <v>26</v>
      </c>
      <c r="D34" s="8" t="str">
        <f>HYPERLINK("#'Table 26'!A1", "Thinking about the general skills or abilities that your children need in life, how important are each of the following?  : Written communication")</f>
        <v>Thinking about the general skills or abilities that your children need in life, how important are each of the following?  : Written communication</v>
      </c>
      <c r="E34" s="21" t="str">
        <f>HYPERLINK("#'Full Results'!A236", "236")</f>
        <v>236</v>
      </c>
      <c r="F34" t="s">
        <v>118</v>
      </c>
    </row>
    <row r="35" spans="3:6" x14ac:dyDescent="0.35">
      <c r="C35">
        <v>27</v>
      </c>
      <c r="D35" s="8" t="str">
        <f>HYPERLINK("#'Table 27'!A1", "Thinking about the general skills or abilities that your children need in life, how important are each of the following?  : Verbal communication")</f>
        <v>Thinking about the general skills or abilities that your children need in life, how important are each of the following?  : Verbal communication</v>
      </c>
      <c r="E35" s="21" t="str">
        <f>HYPERLINK("#'Full Results'!A246", "246")</f>
        <v>246</v>
      </c>
      <c r="F35" t="s">
        <v>118</v>
      </c>
    </row>
    <row r="36" spans="3:6" x14ac:dyDescent="0.35">
      <c r="C36">
        <v>28</v>
      </c>
      <c r="D36" s="8" t="str">
        <f>HYPERLINK("#'Table 28'!A1", "Thinking about the general skills or abilities that your children need in life, how important are each of the following?  : Data analysis (e.g. spreadsheets, statistical calculations)")</f>
        <v>Thinking about the general skills or abilities that your children need in life, how important are each of the following?  : Data analysis (e.g. spreadsheets, statistical calculations)</v>
      </c>
      <c r="E36" s="21" t="str">
        <f>HYPERLINK("#'Full Results'!A256", "256")</f>
        <v>256</v>
      </c>
      <c r="F36" t="s">
        <v>118</v>
      </c>
    </row>
    <row r="37" spans="3:6" x14ac:dyDescent="0.35">
      <c r="C37">
        <v>29</v>
      </c>
      <c r="D37" s="8" t="str">
        <f>HYPERLINK("#'Table 29'!A1", "Thinking about the general skills or abilities that your children need in life, how important are each of the following?  : If you are paying attention, select ""Very important""")</f>
        <v>Thinking about the general skills or abilities that your children need in life, how important are each of the following?  : If you are paying attention, select "Very important"</v>
      </c>
      <c r="E37" s="21" t="str">
        <f>HYPERLINK("#'Full Results'!A266", "266")</f>
        <v>266</v>
      </c>
      <c r="F37" t="s">
        <v>134</v>
      </c>
    </row>
    <row r="38" spans="3:6" x14ac:dyDescent="0.35">
      <c r="C38">
        <v>30</v>
      </c>
      <c r="D38" s="8" t="str">
        <f>HYPERLINK("#'Table 30'!A1", "Thinking about the general skills or abilities that your children need in life, how important are each of the following?  : Logic and problem solving")</f>
        <v>Thinking about the general skills or abilities that your children need in life, how important are each of the following?  : Logic and problem solving</v>
      </c>
      <c r="E38" s="21" t="str">
        <f>HYPERLINK("#'Full Results'!A276", "276")</f>
        <v>276</v>
      </c>
      <c r="F38" t="s">
        <v>118</v>
      </c>
    </row>
    <row r="39" spans="3:6" x14ac:dyDescent="0.35">
      <c r="C39">
        <v>31</v>
      </c>
      <c r="D39" s="8" t="str">
        <f>HYPERLINK("#'Table 31'!A1", "Thinking about the general skills or abilities that your children need in life, how important are each of the following?  : Teamwork")</f>
        <v>Thinking about the general skills or abilities that your children need in life, how important are each of the following?  : Teamwork</v>
      </c>
      <c r="E39" s="21" t="str">
        <f>HYPERLINK("#'Full Results'!A286", "286")</f>
        <v>286</v>
      </c>
      <c r="F39" t="s">
        <v>118</v>
      </c>
    </row>
    <row r="40" spans="3:6" x14ac:dyDescent="0.35">
      <c r="C40">
        <v>32</v>
      </c>
      <c r="D40" s="8" t="str">
        <f>HYPERLINK("#'Table 32'!A1", "Thinking about the general skills or abilities that your children need in life, how important are each of the following?  : Budgeting")</f>
        <v>Thinking about the general skills or abilities that your children need in life, how important are each of the following?  : Budgeting</v>
      </c>
      <c r="E40" s="21" t="str">
        <f>HYPERLINK("#'Full Results'!A296", "296")</f>
        <v>296</v>
      </c>
      <c r="F40" t="s">
        <v>118</v>
      </c>
    </row>
    <row r="41" spans="3:6" x14ac:dyDescent="0.35">
      <c r="C41">
        <v>33</v>
      </c>
      <c r="D41" s="8" t="str">
        <f>HYPERLINK("#'Table 33'!A1", "Thinking about the general skills or abilities that your children need in life, how important are each of the following?  : Basic arithmetic")</f>
        <v>Thinking about the general skills or abilities that your children need in life, how important are each of the following?  : Basic arithmetic</v>
      </c>
      <c r="E41" s="21" t="str">
        <f>HYPERLINK("#'Full Results'!A306", "306")</f>
        <v>306</v>
      </c>
      <c r="F41" t="s">
        <v>118</v>
      </c>
    </row>
    <row r="42" spans="3:6" x14ac:dyDescent="0.35">
      <c r="C42">
        <v>34</v>
      </c>
      <c r="D42" s="8" t="str">
        <f>HYPERLINK("#'Table 34'!A1", "Grid Summary: And for each of the following skills, where would you say your child should learn them?")</f>
        <v>Grid Summary: And for each of the following skills, where would you say your child should learn them?</v>
      </c>
      <c r="E42" s="7"/>
      <c r="F42" t="s">
        <v>118</v>
      </c>
    </row>
    <row r="43" spans="3:6" x14ac:dyDescent="0.35">
      <c r="C43">
        <v>35</v>
      </c>
      <c r="D43" s="8" t="str">
        <f>HYPERLINK("#'Table 35'!A1", "And for each of the following skills, where would you say your child should learn them?: Time management")</f>
        <v>And for each of the following skills, where would you say your child should learn them?: Time management</v>
      </c>
      <c r="E43" s="21" t="str">
        <f>HYPERLINK("#'Full Results'!A316", "316")</f>
        <v>316</v>
      </c>
      <c r="F43" t="s">
        <v>118</v>
      </c>
    </row>
    <row r="44" spans="3:6" x14ac:dyDescent="0.35">
      <c r="C44">
        <v>36</v>
      </c>
      <c r="D44" s="8" t="str">
        <f>HYPERLINK("#'Table 36'!A1", "And for each of the following skills, where would you say your child should learn them?: Written communication")</f>
        <v>And for each of the following skills, where would you say your child should learn them?: Written communication</v>
      </c>
      <c r="E44" s="21" t="str">
        <f>HYPERLINK("#'Full Results'!A326", "326")</f>
        <v>326</v>
      </c>
      <c r="F44" t="s">
        <v>118</v>
      </c>
    </row>
    <row r="45" spans="3:6" x14ac:dyDescent="0.35">
      <c r="C45">
        <v>37</v>
      </c>
      <c r="D45" s="8" t="str">
        <f>HYPERLINK("#'Table 37'!A1", "And for each of the following skills, where would you say your child should learn them?: Verbal communication")</f>
        <v>And for each of the following skills, where would you say your child should learn them?: Verbal communication</v>
      </c>
      <c r="E45" s="21" t="str">
        <f>HYPERLINK("#'Full Results'!A336", "336")</f>
        <v>336</v>
      </c>
      <c r="F45" t="s">
        <v>118</v>
      </c>
    </row>
    <row r="46" spans="3:6" x14ac:dyDescent="0.35">
      <c r="C46">
        <v>38</v>
      </c>
      <c r="D46" s="8" t="str">
        <f>HYPERLINK("#'Table 38'!A1", "And for each of the following skills, where would you say your child should learn them?: Data analysis (e.g. spreadsheets, statistical calculations)")</f>
        <v>And for each of the following skills, where would you say your child should learn them?: Data analysis (e.g. spreadsheets, statistical calculations)</v>
      </c>
      <c r="E46" s="21" t="str">
        <f>HYPERLINK("#'Full Results'!A346", "346")</f>
        <v>346</v>
      </c>
      <c r="F46" t="s">
        <v>118</v>
      </c>
    </row>
    <row r="47" spans="3:6" x14ac:dyDescent="0.35">
      <c r="C47">
        <v>39</v>
      </c>
      <c r="D47" s="8" t="str">
        <f>HYPERLINK("#'Table 39'!A1", "And for each of the following skills, where would you say your child should learn them?: Logic and problem solving")</f>
        <v>And for each of the following skills, where would you say your child should learn them?: Logic and problem solving</v>
      </c>
      <c r="E47" s="21" t="str">
        <f>HYPERLINK("#'Full Results'!A356", "356")</f>
        <v>356</v>
      </c>
      <c r="F47" t="s">
        <v>118</v>
      </c>
    </row>
    <row r="48" spans="3:6" x14ac:dyDescent="0.35">
      <c r="C48">
        <v>40</v>
      </c>
      <c r="D48" s="8" t="str">
        <f>HYPERLINK("#'Table 40'!A1", "And for each of the following skills, where would you say your child should learn them?: Teamwork")</f>
        <v>And for each of the following skills, where would you say your child should learn them?: Teamwork</v>
      </c>
      <c r="E48" s="21" t="str">
        <f>HYPERLINK("#'Full Results'!A366", "366")</f>
        <v>366</v>
      </c>
      <c r="F48" t="s">
        <v>118</v>
      </c>
    </row>
    <row r="49" spans="3:6" x14ac:dyDescent="0.35">
      <c r="C49">
        <v>41</v>
      </c>
      <c r="D49" s="8" t="str">
        <f>HYPERLINK("#'Table 41'!A1", "And for each of the following skills, where would you say your child should learn them?: Budgeting")</f>
        <v>And for each of the following skills, where would you say your child should learn them?: Budgeting</v>
      </c>
      <c r="E49" s="21" t="str">
        <f>HYPERLINK("#'Full Results'!A376", "376")</f>
        <v>376</v>
      </c>
      <c r="F49" t="s">
        <v>118</v>
      </c>
    </row>
    <row r="50" spans="3:6" x14ac:dyDescent="0.35">
      <c r="C50">
        <v>42</v>
      </c>
      <c r="D50" s="8" t="str">
        <f>HYPERLINK("#'Table 42'!A1", "And for each of the following skills, where would you say your child should learn them?: Basic arithmetic")</f>
        <v>And for each of the following skills, where would you say your child should learn them?: Basic arithmetic</v>
      </c>
      <c r="E50" s="21" t="str">
        <f>HYPERLINK("#'Full Results'!A386", "386")</f>
        <v>386</v>
      </c>
      <c r="F50" t="s">
        <v>118</v>
      </c>
    </row>
    <row r="51" spans="3:6" x14ac:dyDescent="0.35">
      <c r="C51">
        <v>43</v>
      </c>
      <c r="D51" s="8" t="str">
        <f>HYPERLINK("#'Table 43'!A1", " Did you take A-level or an equivalent level maths yourself?")</f>
        <v xml:space="preserve"> Did you take A-level or an equivalent level maths yourself?</v>
      </c>
      <c r="E51" s="21" t="str">
        <f>HYPERLINK("#'Full Results'!A396", "396")</f>
        <v>396</v>
      </c>
      <c r="F51" t="s">
        <v>118</v>
      </c>
    </row>
    <row r="52" spans="3:6" x14ac:dyDescent="0.35">
      <c r="C52">
        <v>44</v>
      </c>
      <c r="D52" s="8" t="str">
        <f>HYPERLINK("#'Table 44'!A1", " You said you have taken A-Level maths or equivalent. What grade did you receive?")</f>
        <v xml:space="preserve"> You said you have taken A-Level maths or equivalent. What grade did you receive?</v>
      </c>
      <c r="E52" s="21" t="str">
        <f>HYPERLINK("#'Full Results'!A402", "402")</f>
        <v>402</v>
      </c>
      <c r="F52" t="s">
        <v>118</v>
      </c>
    </row>
    <row r="53" spans="3:6" x14ac:dyDescent="0.35">
      <c r="C53">
        <v>45</v>
      </c>
      <c r="D53" s="8" t="str">
        <f>HYPERLINK("#'Table 45'!A1", " Did you take GCSE or an equivalent level maths yourself?")</f>
        <v xml:space="preserve"> Did you take GCSE or an equivalent level maths yourself?</v>
      </c>
      <c r="E53" s="21" t="str">
        <f>HYPERLINK("#'Full Results'!A409", "409")</f>
        <v>409</v>
      </c>
      <c r="F53" t="s">
        <v>118</v>
      </c>
    </row>
    <row r="54" spans="3:6" x14ac:dyDescent="0.35">
      <c r="C54">
        <v>46</v>
      </c>
      <c r="D54" s="8" t="str">
        <f>HYPERLINK("#'Table 46'!A1", " You said you have taken a Maths GCSE or equivalent. What grade did you receive?")</f>
        <v xml:space="preserve"> You said you have taken a Maths GCSE or equivalent. What grade did you receive?</v>
      </c>
      <c r="E54" s="21" t="str">
        <f>HYPERLINK("#'Full Results'!A415", "415")</f>
        <v>415</v>
      </c>
      <c r="F54" t="s">
        <v>118</v>
      </c>
    </row>
    <row r="55" spans="3:6" x14ac:dyDescent="0.35">
      <c r="C55">
        <v>47</v>
      </c>
      <c r="D55" s="8" t="str">
        <f>HYPERLINK("#'Table 47'!A1", " Which of the following best describes how you feel about your maths skills?  ")</f>
        <v xml:space="preserve"> Which of the following best describes how you feel about your maths skills?  </v>
      </c>
      <c r="E55" s="21" t="str">
        <f>HYPERLINK("#'Full Results'!A422", "422")</f>
        <v>422</v>
      </c>
      <c r="F55" t="s">
        <v>118</v>
      </c>
    </row>
    <row r="56" spans="3:6" x14ac:dyDescent="0.35">
      <c r="C56">
        <v>48</v>
      </c>
      <c r="D56" s="8" t="str">
        <f>HYPERLINK("#'Table 48'!A1", " To what extent are you aware of what is on your oldest school-age child’s maths curriculum for this current school year (i.e. are you aware of what this year’s learning objectives are)?   ")</f>
        <v xml:space="preserve"> To what extent are you aware of what is on your oldest school-age child’s maths curriculum for this current school year (i.e. are you aware of what this year’s learning objectives are)?   </v>
      </c>
      <c r="E56" s="21" t="str">
        <f>HYPERLINK("#'Full Results'!A430", "430")</f>
        <v>430</v>
      </c>
      <c r="F56" t="s">
        <v>118</v>
      </c>
    </row>
    <row r="57" spans="3:6" x14ac:dyDescent="0.35">
      <c r="C57">
        <v>49</v>
      </c>
      <c r="D57" s="8" t="str">
        <f>HYPERLINK("#'Table 49'!A1", " To what extent are you aware of what is on your oldest school-age child’s English curriculum for this current school year (i.e. are you aware of what this year’s learning objectives are)? ")</f>
        <v xml:space="preserve"> To what extent are you aware of what is on your oldest school-age child’s English curriculum for this current school year (i.e. are you aware of what this year’s learning objectives are)? </v>
      </c>
      <c r="E57" s="21" t="str">
        <f>HYPERLINK("#'Full Results'!A439", "439")</f>
        <v>439</v>
      </c>
      <c r="F57" t="s">
        <v>118</v>
      </c>
    </row>
    <row r="58" spans="3:6" x14ac:dyDescent="0.35">
      <c r="C58">
        <v>50</v>
      </c>
      <c r="D58" s="8" t="str">
        <f>HYPERLINK("#'Table 50'!A1", "Which of the following maths skills, if any, would you expect your school-age children to be taught in school?Select any which apply  ")</f>
        <v>Which of the following maths skills, if any, would you expect your school-age children to be taught in school?Select any which apply  </v>
      </c>
      <c r="E58" s="21" t="str">
        <f>HYPERLINK("#'Full Results'!A448", "448")</f>
        <v>448</v>
      </c>
      <c r="F58" t="s">
        <v>118</v>
      </c>
    </row>
    <row r="59" spans="3:6" x14ac:dyDescent="0.35">
      <c r="C59">
        <v>51</v>
      </c>
      <c r="D59" s="8" t="str">
        <f>HYPERLINK("#'Table 51'!A1", "Grid Summary: How important would you say the following are to your child’s future and career, if at all?")</f>
        <v>Grid Summary: How important would you say the following are to your child’s future and career, if at all?</v>
      </c>
      <c r="E59" s="7"/>
      <c r="F59" t="s">
        <v>118</v>
      </c>
    </row>
    <row r="60" spans="3:6" x14ac:dyDescent="0.35">
      <c r="C60">
        <v>52</v>
      </c>
      <c r="D60" s="8" t="str">
        <f>HYPERLINK("#'Table 52'!A1", "How important would you say the following are to your child’s future and career, if at all?: Getting a good grade in Maths GCSE")</f>
        <v>How important would you say the following are to your child’s future and career, if at all?: Getting a good grade in Maths GCSE</v>
      </c>
      <c r="E60" s="21" t="str">
        <f>HYPERLINK("#'Full Results'!A468", "468")</f>
        <v>468</v>
      </c>
      <c r="F60" t="s">
        <v>118</v>
      </c>
    </row>
    <row r="61" spans="3:6" x14ac:dyDescent="0.35">
      <c r="C61">
        <v>53</v>
      </c>
      <c r="D61" s="8" t="str">
        <f>HYPERLINK("#'Table 53'!A1", "How important would you say the following are to your child’s future and career, if at all?: Getting a good grade in Maths A Level")</f>
        <v>How important would you say the following are to your child’s future and career, if at all?: Getting a good grade in Maths A Level</v>
      </c>
      <c r="E61" s="21" t="str">
        <f>HYPERLINK("#'Full Results'!A478", "478")</f>
        <v>478</v>
      </c>
      <c r="F61" t="s">
        <v>118</v>
      </c>
    </row>
    <row r="62" spans="3:6" x14ac:dyDescent="0.35">
      <c r="C62">
        <v>54</v>
      </c>
      <c r="D62" s="8" t="str">
        <f>HYPERLINK("#'Table 54'!A1", "How important would you say the following are to your child’s future and career, if at all?: Knowing how to code")</f>
        <v>How important would you say the following are to your child’s future and career, if at all?: Knowing how to code</v>
      </c>
      <c r="E62" s="21" t="str">
        <f>HYPERLINK("#'Full Results'!A488", "488")</f>
        <v>488</v>
      </c>
      <c r="F62" t="s">
        <v>118</v>
      </c>
    </row>
    <row r="63" spans="3:6" x14ac:dyDescent="0.35">
      <c r="C63">
        <v>55</v>
      </c>
      <c r="D63" s="8" t="str">
        <f>HYPERLINK("#'Table 55'!A1", "How important would you say the following are to your child’s future and career, if at all?: Being good at writing in general")</f>
        <v>How important would you say the following are to your child’s future and career, if at all?: Being good at writing in general</v>
      </c>
      <c r="E63" s="21" t="str">
        <f>HYPERLINK("#'Full Results'!A498", "498")</f>
        <v>498</v>
      </c>
      <c r="F63" t="s">
        <v>118</v>
      </c>
    </row>
    <row r="64" spans="3:6" x14ac:dyDescent="0.35">
      <c r="C64">
        <v>56</v>
      </c>
      <c r="D64" s="8" t="str">
        <f>HYPERLINK("#'Table 56'!A1", "How important would you say the following are to your child’s future and career, if at all?: Being good at maths in general")</f>
        <v>How important would you say the following are to your child’s future and career, if at all?: Being good at maths in general</v>
      </c>
      <c r="E64" s="21" t="str">
        <f>HYPERLINK("#'Full Results'!A508", "508")</f>
        <v>508</v>
      </c>
      <c r="F64" t="s">
        <v>118</v>
      </c>
    </row>
    <row r="65" spans="3:6" x14ac:dyDescent="0.35">
      <c r="C65">
        <v>57</v>
      </c>
      <c r="D65" s="8" t="str">
        <f>HYPERLINK("#'Table 57'!A1", " Which of these comes closest to your view?If you have more than one child, please think of your oldest child who is in school  ")</f>
        <v xml:space="preserve"> Which of these comes closest to your view?If you have more than one child, please think of your oldest child who is in school  </v>
      </c>
      <c r="E65" s="21" t="str">
        <f>HYPERLINK("#'Full Results'!A518", "518")</f>
        <v>518</v>
      </c>
      <c r="F65" t="s">
        <v>118</v>
      </c>
    </row>
    <row r="66" spans="3:6" x14ac:dyDescent="0.35">
      <c r="C66">
        <v>58</v>
      </c>
      <c r="D66" s="8" t="str">
        <f>HYPERLINK("#'Table 58'!A1", " Thinking about your oldest school-age child, have they learned about doing sums and calculations (+, -, x, ÷) in their time at school?")</f>
        <v xml:space="preserve"> Thinking about your oldest school-age child, have they learned about doing sums and calculations (+, -, x, ÷) in their time at school?</v>
      </c>
      <c r="E66" s="21" t="str">
        <f>HYPERLINK("#'Full Results'!A525", "525")</f>
        <v>525</v>
      </c>
      <c r="F66" t="s">
        <v>213</v>
      </c>
    </row>
    <row r="67" spans="3:6" x14ac:dyDescent="0.35">
      <c r="C67">
        <v>59</v>
      </c>
      <c r="D67" s="8" t="str">
        <f>HYPERLINK("#'Table 59'!A1", " You said that your oldest school-age child has learnt about doing sums and calculations (+, -, x, ÷). How much time have they spent learning about this as far as you are aware?")</f>
        <v xml:space="preserve"> You said that your oldest school-age child has learnt about doing sums and calculations (+, -, x, ÷). How much time have they spent learning about this as far as you are aware?</v>
      </c>
      <c r="E67" s="21" t="str">
        <f>HYPERLINK("#'Full Results'!A531", "531")</f>
        <v>531</v>
      </c>
      <c r="F67" t="s">
        <v>219</v>
      </c>
    </row>
    <row r="68" spans="3:6" x14ac:dyDescent="0.35">
      <c r="C68">
        <v>60</v>
      </c>
      <c r="D68" s="8" t="str">
        <f>HYPERLINK("#'Table 60'!A1", " You said your oldest school-age child has learnt about doing sums and calculations (+, -, x, ÷). How confident are they in this topic?")</f>
        <v xml:space="preserve"> You said your oldest school-age child has learnt about doing sums and calculations (+, -, x, ÷). How confident are they in this topic?</v>
      </c>
      <c r="E68" s="21" t="str">
        <f>HYPERLINK("#'Full Results'!A539", "539")</f>
        <v>539</v>
      </c>
      <c r="F68" t="s">
        <v>219</v>
      </c>
    </row>
    <row r="69" spans="3:6" x14ac:dyDescent="0.35">
      <c r="C69">
        <v>61</v>
      </c>
      <c r="D69" s="8" t="str">
        <f>HYPERLINK("#'Table 61'!A1", " You said your oldest school-age child has learnt about doing sums and calculations (+, -, x, ÷). How much did they enjoy learning about this?")</f>
        <v xml:space="preserve"> You said your oldest school-age child has learnt about doing sums and calculations (+, -, x, ÷). How much did they enjoy learning about this?</v>
      </c>
      <c r="E69" s="21" t="str">
        <f>HYPERLINK("#'Full Results'!A549", "549")</f>
        <v>549</v>
      </c>
      <c r="F69" t="s">
        <v>219</v>
      </c>
    </row>
    <row r="70" spans="3:6" x14ac:dyDescent="0.35">
      <c r="C70">
        <v>62</v>
      </c>
      <c r="D70" s="8" t="str">
        <f>HYPERLINK("#'Table 62'!A1", " When your oldest school-age child has been learning about doing sums and calculations (+, -, x, ÷) , which of the following comes closest to your view?")</f>
        <v xml:space="preserve"> When your oldest school-age child has been learning about doing sums and calculations (+, -, x, ÷) , which of the following comes closest to your view?</v>
      </c>
      <c r="E70" s="21" t="str">
        <f>HYPERLINK("#'Full Results'!A557", "557")</f>
        <v>557</v>
      </c>
      <c r="F70" t="s">
        <v>219</v>
      </c>
    </row>
    <row r="71" spans="3:6" x14ac:dyDescent="0.35">
      <c r="C71">
        <v>63</v>
      </c>
      <c r="D71" s="8" t="str">
        <f>HYPERLINK("#'Table 63'!A1", " Do you think learning about doing sums and calculations (+, -, x, ÷) will be useful to your oldest school-age child when they leave school?")</f>
        <v xml:space="preserve"> Do you think learning about doing sums and calculations (+, -, x, ÷) will be useful to your oldest school-age child when they leave school?</v>
      </c>
      <c r="E71" s="21" t="str">
        <f>HYPERLINK("#'Full Results'!A564", "564")</f>
        <v>564</v>
      </c>
      <c r="F71" t="s">
        <v>219</v>
      </c>
    </row>
    <row r="72" spans="3:6" x14ac:dyDescent="0.35">
      <c r="C72">
        <v>64</v>
      </c>
      <c r="D72" s="8" t="str">
        <f>HYPERLINK("#'Table 64'!A1", " If your oldest school-age child was struggling with their learning in doing sums and calculations (+, -, x, ÷) , how confident would you feel in your ability to help them?")</f>
        <v xml:space="preserve"> If your oldest school-age child was struggling with their learning in doing sums and calculations (+, -, x, ÷) , how confident would you feel in your ability to help them?</v>
      </c>
      <c r="E72" s="21" t="str">
        <f>HYPERLINK("#'Full Results'!A572", "572")</f>
        <v>572</v>
      </c>
      <c r="F72" t="s">
        <v>219</v>
      </c>
    </row>
    <row r="73" spans="3:6" x14ac:dyDescent="0.35">
      <c r="C73">
        <v>65</v>
      </c>
      <c r="D73" s="8" t="str">
        <f>HYPERLINK("#'Table 65'!A1", " Thinking about your oldest school-age child, have they learned about fractions like a half and a quarter in their time at school?")</f>
        <v xml:space="preserve"> Thinking about your oldest school-age child, have they learned about fractions like a half and a quarter in their time at school?</v>
      </c>
      <c r="E73" s="21" t="str">
        <f>HYPERLINK("#'Full Results'!A582", "582")</f>
        <v>582</v>
      </c>
      <c r="F73" t="s">
        <v>213</v>
      </c>
    </row>
    <row r="74" spans="3:6" x14ac:dyDescent="0.35">
      <c r="C74">
        <v>66</v>
      </c>
      <c r="D74" s="8" t="str">
        <f>HYPERLINK("#'Table 66'!A1", " You said your oldest school-age child has learnt about fractions like a half and a quarter. How much time have they spent learning about this as far as you are aware?")</f>
        <v xml:space="preserve"> You said your oldest school-age child has learnt about fractions like a half and a quarter. How much time have they spent learning about this as far as you are aware?</v>
      </c>
      <c r="E74" s="21" t="str">
        <f>HYPERLINK("#'Full Results'!A588", "588")</f>
        <v>588</v>
      </c>
      <c r="F74" t="s">
        <v>219</v>
      </c>
    </row>
    <row r="75" spans="3:6" x14ac:dyDescent="0.35">
      <c r="C75">
        <v>67</v>
      </c>
      <c r="D75" s="8" t="str">
        <f>HYPERLINK("#'Table 67'!A1", " You said your oldest school-age child has learnt about fractions like a half and a quarter. How confident are they in this topic?")</f>
        <v xml:space="preserve"> You said your oldest school-age child has learnt about fractions like a half and a quarter. How confident are they in this topic?</v>
      </c>
      <c r="E75" s="21" t="str">
        <f>HYPERLINK("#'Full Results'!A596", "596")</f>
        <v>596</v>
      </c>
      <c r="F75" t="s">
        <v>219</v>
      </c>
    </row>
    <row r="76" spans="3:6" x14ac:dyDescent="0.35">
      <c r="C76">
        <v>68</v>
      </c>
      <c r="D76" s="8" t="str">
        <f>HYPERLINK("#'Table 68'!A1", " You said your oldest school-age child has learnt about fractions like a half and a quarter. How much did they enjoy learning about this?")</f>
        <v xml:space="preserve"> You said your oldest school-age child has learnt about fractions like a half and a quarter. How much did they enjoy learning about this?</v>
      </c>
      <c r="E76" s="21" t="str">
        <f>HYPERLINK("#'Full Results'!A606", "606")</f>
        <v>606</v>
      </c>
      <c r="F76" t="s">
        <v>219</v>
      </c>
    </row>
    <row r="77" spans="3:6" x14ac:dyDescent="0.35">
      <c r="C77">
        <v>69</v>
      </c>
      <c r="D77" s="8" t="str">
        <f>HYPERLINK("#'Table 69'!A1", " When your oldest school-age child has been learning about fractions like a half and a quarter, which of the following comes closest to your view?")</f>
        <v xml:space="preserve"> When your oldest school-age child has been learning about fractions like a half and a quarter, which of the following comes closest to your view?</v>
      </c>
      <c r="E77" s="21" t="str">
        <f>HYPERLINK("#'Full Results'!A614", "614")</f>
        <v>614</v>
      </c>
      <c r="F77" t="s">
        <v>219</v>
      </c>
    </row>
    <row r="78" spans="3:6" x14ac:dyDescent="0.35">
      <c r="C78">
        <v>70</v>
      </c>
      <c r="D78" s="8" t="str">
        <f>HYPERLINK("#'Table 70'!A1", " Do you think learning about about fractions like a half and a quarter, will be useful to your oldest school-age child when they leave school?")</f>
        <v xml:space="preserve"> Do you think learning about about fractions like a half and a quarter, will be useful to your oldest school-age child when they leave school?</v>
      </c>
      <c r="E78" s="21" t="str">
        <f>HYPERLINK("#'Full Results'!A621", "621")</f>
        <v>621</v>
      </c>
      <c r="F78" t="s">
        <v>219</v>
      </c>
    </row>
    <row r="79" spans="3:6" x14ac:dyDescent="0.35">
      <c r="C79">
        <v>71</v>
      </c>
      <c r="D79" s="8" t="str">
        <f>HYPERLINK("#'Table 71'!A1", " If your oldest school-age child was struggling with their learning in fractions like a half and a quarter, how confident would you feel in your ability to help them?")</f>
        <v xml:space="preserve"> If your oldest school-age child was struggling with their learning in fractions like a half and a quarter, how confident would you feel in your ability to help them?</v>
      </c>
      <c r="E79" s="21" t="str">
        <f>HYPERLINK("#'Full Results'!A629", "629")</f>
        <v>629</v>
      </c>
      <c r="F79" t="s">
        <v>219</v>
      </c>
    </row>
    <row r="80" spans="3:6" x14ac:dyDescent="0.35">
      <c r="C80">
        <v>72</v>
      </c>
      <c r="D80" s="8" t="str">
        <f>HYPERLINK("#'Table 72'!A1", " Thinking about your oldest school-age child, have they learned about measuring and guessing things like lengths and minutes in their time at school?")</f>
        <v xml:space="preserve"> Thinking about your oldest school-age child, have they learned about measuring and guessing things like lengths and minutes in their time at school?</v>
      </c>
      <c r="E80" s="21" t="str">
        <f>HYPERLINK("#'Full Results'!A640", "640")</f>
        <v>640</v>
      </c>
      <c r="F80" t="s">
        <v>213</v>
      </c>
    </row>
    <row r="81" spans="3:6" x14ac:dyDescent="0.35">
      <c r="C81">
        <v>73</v>
      </c>
      <c r="D81" s="8" t="str">
        <f>HYPERLINK("#'Table 73'!A1", " You said that your oldest school-age child has learnt about measuring and guessing things like lengths and minutes. How much time have they spent learning about this?")</f>
        <v xml:space="preserve"> You said that your oldest school-age child has learnt about measuring and guessing things like lengths and minutes. How much time have they spent learning about this?</v>
      </c>
      <c r="E81" s="21" t="str">
        <f>HYPERLINK("#'Full Results'!A646", "646")</f>
        <v>646</v>
      </c>
      <c r="F81" t="s">
        <v>219</v>
      </c>
    </row>
    <row r="82" spans="3:6" x14ac:dyDescent="0.35">
      <c r="C82">
        <v>74</v>
      </c>
      <c r="D82" s="8" t="str">
        <f>HYPERLINK("#'Table 74'!A1", " You said your oldest school-age child has learnt about measuring and guessing things like lengths and minutes. How confident are they in this topic?")</f>
        <v xml:space="preserve"> You said your oldest school-age child has learnt about measuring and guessing things like lengths and minutes. How confident are they in this topic?</v>
      </c>
      <c r="E82" s="21" t="str">
        <f>HYPERLINK("#'Full Results'!A654", "654")</f>
        <v>654</v>
      </c>
      <c r="F82" t="s">
        <v>219</v>
      </c>
    </row>
    <row r="83" spans="3:6" x14ac:dyDescent="0.35">
      <c r="C83">
        <v>75</v>
      </c>
      <c r="D83" s="8" t="str">
        <f>HYPERLINK("#'Table 75'!A1", " You said your oldest school-age child has learnt about measuring and guessing things like lengths and minutes. How much did they enjoy learning about this?")</f>
        <v xml:space="preserve"> You said your oldest school-age child has learnt about measuring and guessing things like lengths and minutes. How much did they enjoy learning about this?</v>
      </c>
      <c r="E83" s="21" t="str">
        <f>HYPERLINK("#'Full Results'!A664", "664")</f>
        <v>664</v>
      </c>
      <c r="F83" t="s">
        <v>219</v>
      </c>
    </row>
    <row r="84" spans="3:6" x14ac:dyDescent="0.35">
      <c r="C84">
        <v>76</v>
      </c>
      <c r="D84" s="8" t="str">
        <f>HYPERLINK("#'Table 76'!A1", " When your oldest school-age child has been learning about measuring and guessing things like lengths and minutes, which of the following comes closest to your view?")</f>
        <v xml:space="preserve"> When your oldest school-age child has been learning about measuring and guessing things like lengths and minutes, which of the following comes closest to your view?</v>
      </c>
      <c r="E84" s="21" t="str">
        <f>HYPERLINK("#'Full Results'!A672", "672")</f>
        <v>672</v>
      </c>
      <c r="F84" t="s">
        <v>219</v>
      </c>
    </row>
    <row r="85" spans="3:6" x14ac:dyDescent="0.35">
      <c r="C85">
        <v>77</v>
      </c>
      <c r="D85" s="8" t="str">
        <f>HYPERLINK("#'Table 77'!A1", " Do you think learning about measuring and guessing things like lengths and minutes will be useful to your oldest school-age child when they leave school?")</f>
        <v xml:space="preserve"> Do you think learning about measuring and guessing things like lengths and minutes will be useful to your oldest school-age child when they leave school?</v>
      </c>
      <c r="E85" s="21" t="str">
        <f>HYPERLINK("#'Full Results'!A679", "679")</f>
        <v>679</v>
      </c>
      <c r="F85" t="s">
        <v>219</v>
      </c>
    </row>
    <row r="86" spans="3:6" x14ac:dyDescent="0.35">
      <c r="C86">
        <v>78</v>
      </c>
      <c r="D86" s="8" t="str">
        <f>HYPERLINK("#'Table 78'!A1", " If your oldest school-age child was struggling with their learning in measuring and guessing things like lengths and minutes, how confident would you feel in your ability to help them?")</f>
        <v xml:space="preserve"> If your oldest school-age child was struggling with their learning in measuring and guessing things like lengths and minutes, how confident would you feel in your ability to help them?</v>
      </c>
      <c r="E86" s="21" t="str">
        <f>HYPERLINK("#'Full Results'!A687", "687")</f>
        <v>687</v>
      </c>
      <c r="F86" t="s">
        <v>219</v>
      </c>
    </row>
    <row r="87" spans="3:6" x14ac:dyDescent="0.35">
      <c r="C87">
        <v>79</v>
      </c>
      <c r="D87" s="8" t="str">
        <f>HYPERLINK("#'Table 79'!A1", " Thinking about your oldest school-age child, have they learned about recognising and drawing shapes (like squares, triangles, circles, cubes)?")</f>
        <v xml:space="preserve"> Thinking about your oldest school-age child, have they learned about recognising and drawing shapes (like squares, triangles, circles, cubes)?</v>
      </c>
      <c r="E87" s="21" t="str">
        <f>HYPERLINK("#'Full Results'!A697", "697")</f>
        <v>697</v>
      </c>
      <c r="F87" t="s">
        <v>213</v>
      </c>
    </row>
    <row r="88" spans="3:6" x14ac:dyDescent="0.35">
      <c r="C88">
        <v>80</v>
      </c>
      <c r="D88" s="8" t="str">
        <f>HYPERLINK("#'Table 80'!A1", " You said that your oldest school-age child has learnt about recognising and drawing shapes (like squares, triangles, circles, cubes). How much time have they spent learning about this?")</f>
        <v xml:space="preserve"> You said that your oldest school-age child has learnt about recognising and drawing shapes (like squares, triangles, circles, cubes). How much time have they spent learning about this?</v>
      </c>
      <c r="E88" s="21" t="str">
        <f>HYPERLINK("#'Full Results'!A703", "703")</f>
        <v>703</v>
      </c>
      <c r="F88" t="s">
        <v>219</v>
      </c>
    </row>
    <row r="89" spans="3:6" x14ac:dyDescent="0.35">
      <c r="C89">
        <v>81</v>
      </c>
      <c r="D89" s="8" t="str">
        <f>HYPERLINK("#'Table 81'!A1", " You said that your oldest school-age child has learnt about recognising and drawing shapes (like squares, triangles, circles, cubes). How confident are they in this topic?")</f>
        <v xml:space="preserve"> You said that your oldest school-age child has learnt about recognising and drawing shapes (like squares, triangles, circles, cubes). How confident are they in this topic?</v>
      </c>
      <c r="E89" s="21" t="str">
        <f>HYPERLINK("#'Full Results'!A711", "711")</f>
        <v>711</v>
      </c>
      <c r="F89" t="s">
        <v>219</v>
      </c>
    </row>
    <row r="90" spans="3:6" x14ac:dyDescent="0.35">
      <c r="C90">
        <v>82</v>
      </c>
      <c r="D90" s="8" t="str">
        <f>HYPERLINK("#'Table 82'!A1", " You said that your oldest school-age child has learnt about recognising and drawing shapes (like squares, triangles, circles, cubes). How much did they enjoy learning about this?")</f>
        <v xml:space="preserve"> You said that your oldest school-age child has learnt about recognising and drawing shapes (like squares, triangles, circles, cubes). How much did they enjoy learning about this?</v>
      </c>
      <c r="E90" s="21" t="str">
        <f>HYPERLINK("#'Full Results'!A721", "721")</f>
        <v>721</v>
      </c>
      <c r="F90" t="s">
        <v>219</v>
      </c>
    </row>
    <row r="91" spans="3:6" x14ac:dyDescent="0.35">
      <c r="C91">
        <v>83</v>
      </c>
      <c r="D91" s="8" t="str">
        <f>HYPERLINK("#'Table 83'!A1", " When your oldest school-age child has been learning about recognising and drawing shapes (like squares, triangles, circles, cubes), which of the following comes closest to your view?")</f>
        <v xml:space="preserve"> When your oldest school-age child has been learning about recognising and drawing shapes (like squares, triangles, circles, cubes), which of the following comes closest to your view?</v>
      </c>
      <c r="E91" s="21" t="str">
        <f>HYPERLINK("#'Full Results'!A729", "729")</f>
        <v>729</v>
      </c>
      <c r="F91" t="s">
        <v>219</v>
      </c>
    </row>
    <row r="92" spans="3:6" x14ac:dyDescent="0.35">
      <c r="C92">
        <v>84</v>
      </c>
      <c r="D92" s="8" t="str">
        <f>HYPERLINK("#'Table 84'!A1", " Do you think learning about recognising and drawing shapes (like squares, triangles, circles, cubes) will be useful to your oldest school-age child when they leave school?")</f>
        <v xml:space="preserve"> Do you think learning about recognising and drawing shapes (like squares, triangles, circles, cubes) will be useful to your oldest school-age child when they leave school?</v>
      </c>
      <c r="E92" s="21" t="str">
        <f>HYPERLINK("#'Full Results'!A736", "736")</f>
        <v>736</v>
      </c>
      <c r="F92" t="s">
        <v>219</v>
      </c>
    </row>
    <row r="93" spans="3:6" x14ac:dyDescent="0.35">
      <c r="C93">
        <v>85</v>
      </c>
      <c r="D93" s="8" t="str">
        <f>HYPERLINK("#'Table 85'!A1", " If your oldest school-age child was struggling with their learning in recognising and drawing shapes (like squares, triangles, circles, cubes), how confident would you feel in your ability to help them?")</f>
        <v xml:space="preserve"> If your oldest school-age child was struggling with their learning in recognising and drawing shapes (like squares, triangles, circles, cubes), how confident would you feel in your ability to help them?</v>
      </c>
      <c r="E93" s="21" t="str">
        <f>HYPERLINK("#'Full Results'!A744", "744")</f>
        <v>744</v>
      </c>
      <c r="F93" t="s">
        <v>219</v>
      </c>
    </row>
    <row r="94" spans="3:6" x14ac:dyDescent="0.35">
      <c r="C94">
        <v>86</v>
      </c>
      <c r="D94" s="8" t="str">
        <f>HYPERLINK("#'Table 86'!A1", " Thinking about your oldest school-age child, have they learned about using charts (like pie charts, bar charts)?")</f>
        <v xml:space="preserve"> Thinking about your oldest school-age child, have they learned about using charts (like pie charts, bar charts)?</v>
      </c>
      <c r="E94" s="21" t="str">
        <f>HYPERLINK("#'Full Results'!A754", "754")</f>
        <v>754</v>
      </c>
      <c r="F94" t="s">
        <v>213</v>
      </c>
    </row>
    <row r="95" spans="3:6" x14ac:dyDescent="0.35">
      <c r="C95">
        <v>87</v>
      </c>
      <c r="D95" s="8" t="str">
        <f>HYPERLINK("#'Table 87'!A1", " You said that your oldest school-age child has learnt about using charts (like pie charts, bar charts). How much time have they spent learning about this?")</f>
        <v xml:space="preserve"> You said that your oldest school-age child has learnt about using charts (like pie charts, bar charts). How much time have they spent learning about this?</v>
      </c>
      <c r="E95" s="21" t="str">
        <f>HYPERLINK("#'Full Results'!A760", "760")</f>
        <v>760</v>
      </c>
      <c r="F95" t="s">
        <v>219</v>
      </c>
    </row>
    <row r="96" spans="3:6" x14ac:dyDescent="0.35">
      <c r="C96">
        <v>88</v>
      </c>
      <c r="D96" s="8" t="str">
        <f>HYPERLINK("#'Table 88'!A1", " You said that your oldest school-age child has learnt about using charts (like pie charts, bar charts). How confident are they in this topic?")</f>
        <v xml:space="preserve"> You said that your oldest school-age child has learnt about using charts (like pie charts, bar charts). How confident are they in this topic?</v>
      </c>
      <c r="E96" s="21" t="str">
        <f>HYPERLINK("#'Full Results'!A768", "768")</f>
        <v>768</v>
      </c>
      <c r="F96" t="s">
        <v>219</v>
      </c>
    </row>
    <row r="97" spans="3:6" x14ac:dyDescent="0.35">
      <c r="C97">
        <v>89</v>
      </c>
      <c r="D97" s="8" t="str">
        <f>HYPERLINK("#'Table 89'!A1", " You said that your oldest school-age child has learnt about using charts (like pie charts, bar charts). How much did they enjoy learning about this?")</f>
        <v xml:space="preserve"> You said that your oldest school-age child has learnt about using charts (like pie charts, bar charts). How much did they enjoy learning about this?</v>
      </c>
      <c r="E97" s="21" t="str">
        <f>HYPERLINK("#'Full Results'!A778", "778")</f>
        <v>778</v>
      </c>
      <c r="F97" t="s">
        <v>219</v>
      </c>
    </row>
    <row r="98" spans="3:6" x14ac:dyDescent="0.35">
      <c r="C98">
        <v>90</v>
      </c>
      <c r="D98" s="8" t="str">
        <f>HYPERLINK("#'Table 90'!A1", " When your oldest school-age child has been learning about using charts (like pie charts, bar charts), which of the following comes closest to your view?")</f>
        <v xml:space="preserve"> When your oldest school-age child has been learning about using charts (like pie charts, bar charts), which of the following comes closest to your view?</v>
      </c>
      <c r="E98" s="21" t="str">
        <f>HYPERLINK("#'Full Results'!A786", "786")</f>
        <v>786</v>
      </c>
      <c r="F98" t="s">
        <v>219</v>
      </c>
    </row>
    <row r="99" spans="3:6" x14ac:dyDescent="0.35">
      <c r="C99">
        <v>91</v>
      </c>
      <c r="D99" s="8" t="str">
        <f>HYPERLINK("#'Table 91'!A1", " Do you think learning about using charts (like pie charts, bar charts) will be useful to your oldest school-age child when they leave school?")</f>
        <v xml:space="preserve"> Do you think learning about using charts (like pie charts, bar charts) will be useful to your oldest school-age child when they leave school?</v>
      </c>
      <c r="E99" s="21" t="str">
        <f>HYPERLINK("#'Full Results'!A793", "793")</f>
        <v>793</v>
      </c>
      <c r="F99" t="s">
        <v>219</v>
      </c>
    </row>
    <row r="100" spans="3:6" x14ac:dyDescent="0.35">
      <c r="C100">
        <v>92</v>
      </c>
      <c r="D100" s="8" t="str">
        <f>HYPERLINK("#'Table 92'!A1", " If your oldest school-age child was struggling with their learning in using charts (like pie charts, bar charts), how confident would you feel in your ability to help them?")</f>
        <v xml:space="preserve"> If your oldest school-age child was struggling with their learning in using charts (like pie charts, bar charts), how confident would you feel in your ability to help them?</v>
      </c>
      <c r="E100" s="21" t="str">
        <f>HYPERLINK("#'Full Results'!A801", "801")</f>
        <v>801</v>
      </c>
      <c r="F100" t="s">
        <v>219</v>
      </c>
    </row>
    <row r="101" spans="3:6" x14ac:dyDescent="0.35">
      <c r="C101">
        <v>93</v>
      </c>
      <c r="D101" s="8" t="str">
        <f>HYPERLINK("#'Table 93'!A1", " Thinking about your oldest school-age child, have they learned about working out what comes next in a pattern?")</f>
        <v xml:space="preserve"> Thinking about your oldest school-age child, have they learned about working out what comes next in a pattern?</v>
      </c>
      <c r="E101" s="21" t="str">
        <f>HYPERLINK("#'Full Results'!A811", "811")</f>
        <v>811</v>
      </c>
      <c r="F101" t="s">
        <v>213</v>
      </c>
    </row>
    <row r="102" spans="3:6" x14ac:dyDescent="0.35">
      <c r="C102">
        <v>94</v>
      </c>
      <c r="D102" s="8" t="str">
        <f>HYPERLINK("#'Table 94'!A1", " You said that your oldest school-age child has learnt about working out what comes next in a pattern. How much time have they spent learning about this?")</f>
        <v xml:space="preserve"> You said that your oldest school-age child has learnt about working out what comes next in a pattern. How much time have they spent learning about this?</v>
      </c>
      <c r="E102" s="21" t="str">
        <f>HYPERLINK("#'Full Results'!A817", "817")</f>
        <v>817</v>
      </c>
      <c r="F102" t="s">
        <v>219</v>
      </c>
    </row>
    <row r="103" spans="3:6" x14ac:dyDescent="0.35">
      <c r="C103">
        <v>95</v>
      </c>
      <c r="D103" s="8" t="str">
        <f>HYPERLINK("#'Table 95'!A1", " You said that your oldest school-age child has learnt about working out what comes next in a pattern. How confident are they in this topic?")</f>
        <v xml:space="preserve"> You said that your oldest school-age child has learnt about working out what comes next in a pattern. How confident are they in this topic?</v>
      </c>
      <c r="E103" s="21" t="str">
        <f>HYPERLINK("#'Full Results'!A825", "825")</f>
        <v>825</v>
      </c>
      <c r="F103" t="s">
        <v>219</v>
      </c>
    </row>
    <row r="104" spans="3:6" x14ac:dyDescent="0.35">
      <c r="C104">
        <v>96</v>
      </c>
      <c r="D104" s="8" t="str">
        <f>HYPERLINK("#'Table 96'!A1", " You said that your oldest school-age child has learnt about working out what comes next in a pattern. How much did they enjoy learning about this?")</f>
        <v xml:space="preserve"> You said that your oldest school-age child has learnt about working out what comes next in a pattern. How much did they enjoy learning about this?</v>
      </c>
      <c r="E104" s="21" t="str">
        <f>HYPERLINK("#'Full Results'!A835", "835")</f>
        <v>835</v>
      </c>
      <c r="F104" t="s">
        <v>219</v>
      </c>
    </row>
    <row r="105" spans="3:6" x14ac:dyDescent="0.35">
      <c r="C105">
        <v>97</v>
      </c>
      <c r="D105" s="8" t="str">
        <f>HYPERLINK("#'Table 97'!A1", " When your oldest school-age child has been learning about working out what comes next in a pattern, which of the following comes closest to your view?")</f>
        <v xml:space="preserve"> When your oldest school-age child has been learning about working out what comes next in a pattern, which of the following comes closest to your view?</v>
      </c>
      <c r="E105" s="21" t="str">
        <f>HYPERLINK("#'Full Results'!A843", "843")</f>
        <v>843</v>
      </c>
      <c r="F105" t="s">
        <v>219</v>
      </c>
    </row>
    <row r="106" spans="3:6" x14ac:dyDescent="0.35">
      <c r="C106">
        <v>98</v>
      </c>
      <c r="D106" s="8" t="str">
        <f>HYPERLINK("#'Table 98'!A1", " Do you think learning about working out what comes next in a pattern will be useful to your oldest school-age child when they leave school?")</f>
        <v xml:space="preserve"> Do you think learning about working out what comes next in a pattern will be useful to your oldest school-age child when they leave school?</v>
      </c>
      <c r="E106" s="21" t="str">
        <f>HYPERLINK("#'Full Results'!A850", "850")</f>
        <v>850</v>
      </c>
      <c r="F106" t="s">
        <v>219</v>
      </c>
    </row>
    <row r="107" spans="3:6" x14ac:dyDescent="0.35">
      <c r="C107">
        <v>99</v>
      </c>
      <c r="D107" s="8" t="str">
        <f>HYPERLINK("#'Table 99'!A1", " If your oldest school-age child was struggling with their learning in working out what comes next in a pattern, how confident would you feel in your ability to help them?")</f>
        <v xml:space="preserve"> If your oldest school-age child was struggling with their learning in working out what comes next in a pattern, how confident would you feel in your ability to help them?</v>
      </c>
      <c r="E107" s="21" t="str">
        <f>HYPERLINK("#'Full Results'!A858", "858")</f>
        <v>858</v>
      </c>
      <c r="F107" t="s">
        <v>219</v>
      </c>
    </row>
    <row r="108" spans="3:6" x14ac:dyDescent="0.35">
      <c r="C108">
        <v>100</v>
      </c>
      <c r="D108" s="8" t="str">
        <f>HYPERLINK("#'Table 100'!A1", " Thinking about your oldest school-age child, have they learned about finding different ways to solve puzzles and problems?")</f>
        <v xml:space="preserve"> Thinking about your oldest school-age child, have they learned about finding different ways to solve puzzles and problems?</v>
      </c>
      <c r="E108" s="21" t="str">
        <f>HYPERLINK("#'Full Results'!A868", "868")</f>
        <v>868</v>
      </c>
      <c r="F108" t="s">
        <v>213</v>
      </c>
    </row>
    <row r="109" spans="3:6" x14ac:dyDescent="0.35">
      <c r="C109">
        <v>101</v>
      </c>
      <c r="D109" s="8" t="str">
        <f>HYPERLINK("#'Table 101'!A1", " You said that your oldest school-age child has learnt about finding different ways to solve puzzles and problems. How much time have they spent learning about this?")</f>
        <v xml:space="preserve"> You said that your oldest school-age child has learnt about finding different ways to solve puzzles and problems. How much time have they spent learning about this?</v>
      </c>
      <c r="E109" s="21" t="str">
        <f>HYPERLINK("#'Full Results'!A874", "874")</f>
        <v>874</v>
      </c>
      <c r="F109" t="s">
        <v>219</v>
      </c>
    </row>
    <row r="110" spans="3:6" x14ac:dyDescent="0.35">
      <c r="C110">
        <v>102</v>
      </c>
      <c r="D110" s="8" t="str">
        <f>HYPERLINK("#'Table 102'!A1", " You said that your oldest school-age child has learnt about finding different ways to solve puzzles and problems. How confident are they in this topic?")</f>
        <v xml:space="preserve"> You said that your oldest school-age child has learnt about finding different ways to solve puzzles and problems. How confident are they in this topic?</v>
      </c>
      <c r="E110" s="21" t="str">
        <f>HYPERLINK("#'Full Results'!A882", "882")</f>
        <v>882</v>
      </c>
      <c r="F110" t="s">
        <v>219</v>
      </c>
    </row>
    <row r="111" spans="3:6" x14ac:dyDescent="0.35">
      <c r="C111">
        <v>103</v>
      </c>
      <c r="D111" s="8" t="str">
        <f>HYPERLINK("#'Table 103'!A1", " You said that your oldest school-age child has learnt about finding different ways to solve puzzles and problems. How much did they enjoy learning about this?")</f>
        <v xml:space="preserve"> You said that your oldest school-age child has learnt about finding different ways to solve puzzles and problems. How much did they enjoy learning about this?</v>
      </c>
      <c r="E111" s="21" t="str">
        <f>HYPERLINK("#'Full Results'!A892", "892")</f>
        <v>892</v>
      </c>
      <c r="F111" t="s">
        <v>219</v>
      </c>
    </row>
    <row r="112" spans="3:6" x14ac:dyDescent="0.35">
      <c r="C112">
        <v>104</v>
      </c>
      <c r="D112" s="8" t="str">
        <f>HYPERLINK("#'Table 104'!A1", " When your oldest school-age child has been learning about finding different ways to solve puzzles and problems, which of the following comes closest to your view?")</f>
        <v xml:space="preserve"> When your oldest school-age child has been learning about finding different ways to solve puzzles and problems, which of the following comes closest to your view?</v>
      </c>
      <c r="E112" s="21" t="str">
        <f>HYPERLINK("#'Full Results'!A900", "900")</f>
        <v>900</v>
      </c>
      <c r="F112" t="s">
        <v>219</v>
      </c>
    </row>
    <row r="113" spans="3:6" x14ac:dyDescent="0.35">
      <c r="C113">
        <v>105</v>
      </c>
      <c r="D113" s="8" t="str">
        <f>HYPERLINK("#'Table 105'!A1", " Do you think learning about finding different ways to solve puzzles and problems will be useful to your oldest school-age child when they leave school?")</f>
        <v xml:space="preserve"> Do you think learning about finding different ways to solve puzzles and problems will be useful to your oldest school-age child when they leave school?</v>
      </c>
      <c r="E113" s="21" t="str">
        <f>HYPERLINK("#'Full Results'!A907", "907")</f>
        <v>907</v>
      </c>
      <c r="F113" t="s">
        <v>219</v>
      </c>
    </row>
    <row r="114" spans="3:6" x14ac:dyDescent="0.35">
      <c r="C114">
        <v>106</v>
      </c>
      <c r="D114" s="8" t="str">
        <f>HYPERLINK("#'Table 106'!A1", " If your oldest school-age child was struggling with their learning in finding different ways to solve puzzles and problems, how confident would you feel in your ability to help them?")</f>
        <v xml:space="preserve"> If your oldest school-age child was struggling with their learning in finding different ways to solve puzzles and problems, how confident would you feel in your ability to help them?</v>
      </c>
      <c r="E114" s="21" t="str">
        <f>HYPERLINK("#'Full Results'!A915", "915")</f>
        <v>915</v>
      </c>
      <c r="F114" t="s">
        <v>219</v>
      </c>
    </row>
    <row r="115" spans="3:6" x14ac:dyDescent="0.35">
      <c r="C115">
        <v>107</v>
      </c>
      <c r="D115" s="8" t="str">
        <f>HYPERLINK("#'Table 107'!A1", " Thinking about your oldest school-age child, have they learned about doing mental sums and calculations (+, -, x, ÷)?")</f>
        <v xml:space="preserve"> Thinking about your oldest school-age child, have they learned about doing mental sums and calculations (+, -, x, ÷)?</v>
      </c>
      <c r="E115" s="21" t="str">
        <f>HYPERLINK("#'Full Results'!A925", "925")</f>
        <v>925</v>
      </c>
      <c r="F115" t="s">
        <v>320</v>
      </c>
    </row>
    <row r="116" spans="3:6" x14ac:dyDescent="0.35">
      <c r="C116">
        <v>108</v>
      </c>
      <c r="D116" s="8" t="str">
        <f>HYPERLINK("#'Table 108'!A1", " You said that your oldest school-age child has learnt about doing mental sums and calculations (+, -, x, ÷). How much time have they spent learning about this?")</f>
        <v xml:space="preserve"> You said that your oldest school-age child has learnt about doing mental sums and calculations (+, -, x, ÷). How much time have they spent learning about this?</v>
      </c>
      <c r="E116" s="21" t="str">
        <f>HYPERLINK("#'Full Results'!A931", "931")</f>
        <v>931</v>
      </c>
      <c r="F116" t="s">
        <v>328</v>
      </c>
    </row>
    <row r="117" spans="3:6" x14ac:dyDescent="0.35">
      <c r="C117">
        <v>109</v>
      </c>
      <c r="D117" s="8" t="str">
        <f>HYPERLINK("#'Table 109'!A1", " You said that your oldest school-age child has learnt about doing mental sums and calculations (+, -, x, ÷). How confident are they in this topic?")</f>
        <v xml:space="preserve"> You said that your oldest school-age child has learnt about doing mental sums and calculations (+, -, x, ÷). How confident are they in this topic?</v>
      </c>
      <c r="E117" s="21" t="str">
        <f>HYPERLINK("#'Full Results'!A939", "939")</f>
        <v>939</v>
      </c>
      <c r="F117" t="s">
        <v>328</v>
      </c>
    </row>
    <row r="118" spans="3:6" x14ac:dyDescent="0.35">
      <c r="C118">
        <v>110</v>
      </c>
      <c r="D118" s="8" t="str">
        <f>HYPERLINK("#'Table 110'!A1", " You said that your oldest school-age child has learnt about doing mental sums and calculations (+, -, x, ÷). How much did they enjoy learning about this?")</f>
        <v xml:space="preserve"> You said that your oldest school-age child has learnt about doing mental sums and calculations (+, -, x, ÷). How much did they enjoy learning about this?</v>
      </c>
      <c r="E118" s="21" t="str">
        <f>HYPERLINK("#'Full Results'!A949", "949")</f>
        <v>949</v>
      </c>
      <c r="F118" t="s">
        <v>328</v>
      </c>
    </row>
    <row r="119" spans="3:6" x14ac:dyDescent="0.35">
      <c r="C119">
        <v>111</v>
      </c>
      <c r="D119" s="8" t="str">
        <f>HYPERLINK("#'Table 111'!A1", " When your oldest school-age child has been learning about doing mental sums and calculations (+, -, x, ÷), which of the following comes closest to your view?")</f>
        <v xml:space="preserve"> When your oldest school-age child has been learning about doing mental sums and calculations (+, -, x, ÷), which of the following comes closest to your view?</v>
      </c>
      <c r="E119" s="21" t="str">
        <f>HYPERLINK("#'Full Results'!A957", "957")</f>
        <v>957</v>
      </c>
      <c r="F119" t="s">
        <v>328</v>
      </c>
    </row>
    <row r="120" spans="3:6" x14ac:dyDescent="0.35">
      <c r="C120">
        <v>112</v>
      </c>
      <c r="D120" s="8" t="str">
        <f>HYPERLINK("#'Table 112'!A1", " Do you think learning about doing mental sums and calculations (+, -, x, ÷) will be useful to your oldest school-age child when they leave school?")</f>
        <v xml:space="preserve"> Do you think learning about doing mental sums and calculations (+, -, x, ÷) will be useful to your oldest school-age child when they leave school?</v>
      </c>
      <c r="E120" s="21" t="str">
        <f>HYPERLINK("#'Full Results'!A964", "964")</f>
        <v>964</v>
      </c>
      <c r="F120" t="s">
        <v>328</v>
      </c>
    </row>
    <row r="121" spans="3:6" x14ac:dyDescent="0.35">
      <c r="C121">
        <v>113</v>
      </c>
      <c r="D121" s="8" t="str">
        <f>HYPERLINK("#'Table 113'!A1", " If your oldest school-age child was struggling with their learning in doing mental sums and calculations (+, -, x, ÷), how confident would you feel in your ability to help them?")</f>
        <v xml:space="preserve"> If your oldest school-age child was struggling with their learning in doing mental sums and calculations (+, -, x, ÷), how confident would you feel in your ability to help them?</v>
      </c>
      <c r="E121" s="21" t="str">
        <f>HYPERLINK("#'Full Results'!A972", "972")</f>
        <v>972</v>
      </c>
      <c r="F121" t="s">
        <v>328</v>
      </c>
    </row>
    <row r="122" spans="3:6" x14ac:dyDescent="0.35">
      <c r="C122">
        <v>114</v>
      </c>
      <c r="D122" s="8" t="str">
        <f>HYPERLINK("#'Table 114'!A1", " Thinking about your oldest school-age child, have they learned about fractions (½) ,  percentages (%) and decimals (2.6)?")</f>
        <v xml:space="preserve"> Thinking about your oldest school-age child, have they learned about fractions (½) ,  percentages (%) and decimals (2.6)?</v>
      </c>
      <c r="E122" s="21" t="str">
        <f>HYPERLINK("#'Full Results'!A982", "982")</f>
        <v>982</v>
      </c>
      <c r="F122" t="s">
        <v>320</v>
      </c>
    </row>
    <row r="123" spans="3:6" x14ac:dyDescent="0.35">
      <c r="C123">
        <v>115</v>
      </c>
      <c r="D123" s="8" t="str">
        <f>HYPERLINK("#'Table 115'!A1", " You said that your oldest school-age child has learnt about fractions (½) ,  percentages (%) and decimals (2.6). How much time have they spent learning about this?")</f>
        <v xml:space="preserve"> You said that your oldest school-age child has learnt about fractions (½) ,  percentages (%) and decimals (2.6). How much time have they spent learning about this?</v>
      </c>
      <c r="E123" s="21" t="str">
        <f>HYPERLINK("#'Full Results'!A988", "988")</f>
        <v>988</v>
      </c>
      <c r="F123" t="s">
        <v>328</v>
      </c>
    </row>
    <row r="124" spans="3:6" x14ac:dyDescent="0.35">
      <c r="C124">
        <v>116</v>
      </c>
      <c r="D124" s="8" t="str">
        <f>HYPERLINK("#'Table 116'!A1", " You said that your oldest school-age child has learnt about fractions (½) ,  percentages (%) and decimals (2.6). How confident are they in this topic?")</f>
        <v xml:space="preserve"> You said that your oldest school-age child has learnt about fractions (½) ,  percentages (%) and decimals (2.6). How confident are they in this topic?</v>
      </c>
      <c r="E124" s="21" t="str">
        <f>HYPERLINK("#'Full Results'!A996", "996")</f>
        <v>996</v>
      </c>
      <c r="F124" t="s">
        <v>328</v>
      </c>
    </row>
    <row r="125" spans="3:6" x14ac:dyDescent="0.35">
      <c r="C125">
        <v>117</v>
      </c>
      <c r="D125" s="8" t="str">
        <f>HYPERLINK("#'Table 117'!A1", " You said that your oldest school-age child has learnt about fractions (½) ,  percentages (%) and decimals (2.6). How much did they enjoy learning about this?")</f>
        <v xml:space="preserve"> You said that your oldest school-age child has learnt about fractions (½) ,  percentages (%) and decimals (2.6). How much did they enjoy learning about this?</v>
      </c>
      <c r="E125" s="21" t="str">
        <f>HYPERLINK("#'Full Results'!A1006", "1006")</f>
        <v>1006</v>
      </c>
      <c r="F125" t="s">
        <v>328</v>
      </c>
    </row>
    <row r="126" spans="3:6" x14ac:dyDescent="0.35">
      <c r="C126">
        <v>118</v>
      </c>
      <c r="D126" s="8" t="str">
        <f>HYPERLINK("#'Table 118'!A1", " When your oldest school-age child has been learning about fractions (½) ,  percentages (%) and decimals (2.6), which of the following comes closest to your view?")</f>
        <v xml:space="preserve"> When your oldest school-age child has been learning about fractions (½) ,  percentages (%) and decimals (2.6), which of the following comes closest to your view?</v>
      </c>
      <c r="E126" s="21" t="str">
        <f>HYPERLINK("#'Full Results'!A1014", "1014")</f>
        <v>1014</v>
      </c>
      <c r="F126" t="s">
        <v>328</v>
      </c>
    </row>
    <row r="127" spans="3:6" x14ac:dyDescent="0.35">
      <c r="C127">
        <v>119</v>
      </c>
      <c r="D127" s="8" t="str">
        <f>HYPERLINK("#'Table 119'!A1", " Do you think learning about fractions (½) ,  percentages (%) and decimals (2.6) will be useful to your oldest school-age child when they leave school?")</f>
        <v xml:space="preserve"> Do you think learning about fractions (½) ,  percentages (%) and decimals (2.6) will be useful to your oldest school-age child when they leave school?</v>
      </c>
      <c r="E127" s="21" t="str">
        <f>HYPERLINK("#'Full Results'!A1021", "1021")</f>
        <v>1021</v>
      </c>
      <c r="F127" t="s">
        <v>328</v>
      </c>
    </row>
    <row r="128" spans="3:6" x14ac:dyDescent="0.35">
      <c r="C128">
        <v>120</v>
      </c>
      <c r="D128" s="8" t="str">
        <f>HYPERLINK("#'Table 120'!A1", " If your oldest school-age child was struggling with their learning in fractions (½) ,  percentages (%) and decimals (2.6), how confident would you feel in your ability to help them?")</f>
        <v xml:space="preserve"> If your oldest school-age child was struggling with their learning in fractions (½) ,  percentages (%) and decimals (2.6), how confident would you feel in your ability to help them?</v>
      </c>
      <c r="E128" s="21" t="str">
        <f>HYPERLINK("#'Full Results'!A1029", "1029")</f>
        <v>1029</v>
      </c>
      <c r="F128" t="s">
        <v>328</v>
      </c>
    </row>
    <row r="129" spans="3:6" x14ac:dyDescent="0.35">
      <c r="C129">
        <v>121</v>
      </c>
      <c r="D129" s="8" t="str">
        <f>HYPERLINK("#'Table 121'!A1", " Thinking about your oldest school-age child, have they learned about measuring, estimating, time and money?")</f>
        <v xml:space="preserve"> Thinking about your oldest school-age child, have they learned about measuring, estimating, time and money?</v>
      </c>
      <c r="E129" s="21" t="str">
        <f>HYPERLINK("#'Full Results'!A1039", "1039")</f>
        <v>1039</v>
      </c>
      <c r="F129" t="s">
        <v>320</v>
      </c>
    </row>
    <row r="130" spans="3:6" x14ac:dyDescent="0.35">
      <c r="C130">
        <v>122</v>
      </c>
      <c r="D130" s="8" t="str">
        <f>HYPERLINK("#'Table 122'!A1", " You said that your oldest school-age child has learnt about measuring, estimating, time and money. How much time have they spent learning about this?")</f>
        <v xml:space="preserve"> You said that your oldest school-age child has learnt about measuring, estimating, time and money. How much time have they spent learning about this?</v>
      </c>
      <c r="E130" s="21" t="str">
        <f>HYPERLINK("#'Full Results'!A1045", "1045")</f>
        <v>1045</v>
      </c>
      <c r="F130" t="s">
        <v>328</v>
      </c>
    </row>
    <row r="131" spans="3:6" x14ac:dyDescent="0.35">
      <c r="C131">
        <v>123</v>
      </c>
      <c r="D131" s="8" t="str">
        <f>HYPERLINK("#'Table 123'!A1", " You said that your oldest school-age child has learnt about measuring, estimating, time and money. How confident are they in this topic?")</f>
        <v xml:space="preserve"> You said that your oldest school-age child has learnt about measuring, estimating, time and money. How confident are they in this topic?</v>
      </c>
      <c r="E131" s="21" t="str">
        <f>HYPERLINK("#'Full Results'!A1053", "1053")</f>
        <v>1053</v>
      </c>
      <c r="F131" t="s">
        <v>328</v>
      </c>
    </row>
    <row r="132" spans="3:6" x14ac:dyDescent="0.35">
      <c r="C132">
        <v>124</v>
      </c>
      <c r="D132" s="8" t="str">
        <f>HYPERLINK("#'Table 124'!A1", " You said that your oldest school-age child has learnt about measuring, estimating, time and money. How much did they enjoy learning about this?")</f>
        <v xml:space="preserve"> You said that your oldest school-age child has learnt about measuring, estimating, time and money. How much did they enjoy learning about this?</v>
      </c>
      <c r="E132" s="21" t="str">
        <f>HYPERLINK("#'Full Results'!A1063", "1063")</f>
        <v>1063</v>
      </c>
      <c r="F132" t="s">
        <v>328</v>
      </c>
    </row>
    <row r="133" spans="3:6" x14ac:dyDescent="0.35">
      <c r="C133">
        <v>125</v>
      </c>
      <c r="D133" s="8" t="str">
        <f>HYPERLINK("#'Table 125'!A1", " When your oldest school-age child has been learning about measuring, estimating, time and money, which of the following comes closest to your view?")</f>
        <v xml:space="preserve"> When your oldest school-age child has been learning about measuring, estimating, time and money, which of the following comes closest to your view?</v>
      </c>
      <c r="E133" s="21" t="str">
        <f>HYPERLINK("#'Full Results'!A1071", "1071")</f>
        <v>1071</v>
      </c>
      <c r="F133" t="s">
        <v>328</v>
      </c>
    </row>
    <row r="134" spans="3:6" x14ac:dyDescent="0.35">
      <c r="C134">
        <v>126</v>
      </c>
      <c r="D134" s="8" t="str">
        <f>HYPERLINK("#'Table 126'!A1", " Do you think learning about measuring, estimating, time and money will be useful to your oldest school-age child when they leave school?")</f>
        <v xml:space="preserve"> Do you think learning about measuring, estimating, time and money will be useful to your oldest school-age child when they leave school?</v>
      </c>
      <c r="E134" s="21" t="str">
        <f>HYPERLINK("#'Full Results'!A1078", "1078")</f>
        <v>1078</v>
      </c>
      <c r="F134" t="s">
        <v>328</v>
      </c>
    </row>
    <row r="135" spans="3:6" x14ac:dyDescent="0.35">
      <c r="C135">
        <v>127</v>
      </c>
      <c r="D135" s="8" t="str">
        <f>HYPERLINK("#'Table 127'!A1", " If your oldest school-age child was struggling with their learning in measuring, estimating, time and money, how confident would you feel in your ability to help them?")</f>
        <v xml:space="preserve"> If your oldest school-age child was struggling with their learning in measuring, estimating, time and money, how confident would you feel in your ability to help them?</v>
      </c>
      <c r="E135" s="21" t="str">
        <f>HYPERLINK("#'Full Results'!A1086", "1086")</f>
        <v>1086</v>
      </c>
      <c r="F135" t="s">
        <v>328</v>
      </c>
    </row>
    <row r="136" spans="3:6" x14ac:dyDescent="0.35">
      <c r="C136">
        <v>128</v>
      </c>
      <c r="D136" s="8" t="str">
        <f>HYPERLINK("#'Table 128'!A1", " Thinking about your oldest school-age child, have they learned about recognising and drawing shapes, patterns, coordinates, angles, area, volume, symmetry?")</f>
        <v xml:space="preserve"> Thinking about your oldest school-age child, have they learned about recognising and drawing shapes, patterns, coordinates, angles, area, volume, symmetry?</v>
      </c>
      <c r="E136" s="21" t="str">
        <f>HYPERLINK("#'Full Results'!A1096", "1096")</f>
        <v>1096</v>
      </c>
      <c r="F136" t="s">
        <v>320</v>
      </c>
    </row>
    <row r="137" spans="3:6" x14ac:dyDescent="0.35">
      <c r="C137">
        <v>129</v>
      </c>
      <c r="D137" s="8" t="str">
        <f>HYPERLINK("#'Table 129'!A1", " You said your oldest school-age child has learnt about recognising and drawing shapes, patterns, coordinates, angles, area, volume, symmetry. How much time have they spent learning about this?")</f>
        <v xml:space="preserve"> You said your oldest school-age child has learnt about recognising and drawing shapes, patterns, coordinates, angles, area, volume, symmetry. How much time have they spent learning about this?</v>
      </c>
      <c r="E137" s="21" t="str">
        <f>HYPERLINK("#'Full Results'!A1102", "1102")</f>
        <v>1102</v>
      </c>
      <c r="F137" t="s">
        <v>328</v>
      </c>
    </row>
    <row r="138" spans="3:6" x14ac:dyDescent="0.35">
      <c r="C138">
        <v>130</v>
      </c>
      <c r="D138" s="8" t="str">
        <f>HYPERLINK("#'Table 130'!A1", " You said that your oldest school-age child has learnt about recognising and drawing shapes, patterns, coordinates, angles, area, volume, symmetry. How confident are they in this topic?")</f>
        <v xml:space="preserve"> You said that your oldest school-age child has learnt about recognising and drawing shapes, patterns, coordinates, angles, area, volume, symmetry. How confident are they in this topic?</v>
      </c>
      <c r="E138" s="21" t="str">
        <f>HYPERLINK("#'Full Results'!A1110", "1110")</f>
        <v>1110</v>
      </c>
      <c r="F138" t="s">
        <v>328</v>
      </c>
    </row>
    <row r="139" spans="3:6" x14ac:dyDescent="0.35">
      <c r="C139">
        <v>131</v>
      </c>
      <c r="D139" s="8" t="str">
        <f>HYPERLINK("#'Table 131'!A1", " You said your oldest school-age child has learnt about recognising and drawing shapes, patterns, coordinates, angles, area, volume, symmetry. How much did they enjoy learning about this?")</f>
        <v xml:space="preserve"> You said your oldest school-age child has learnt about recognising and drawing shapes, patterns, coordinates, angles, area, volume, symmetry. How much did they enjoy learning about this?</v>
      </c>
      <c r="E139" s="21" t="str">
        <f>HYPERLINK("#'Full Results'!A1120", "1120")</f>
        <v>1120</v>
      </c>
      <c r="F139" t="s">
        <v>328</v>
      </c>
    </row>
    <row r="140" spans="3:6" x14ac:dyDescent="0.35">
      <c r="C140">
        <v>132</v>
      </c>
      <c r="D140" s="8" t="str">
        <f>HYPERLINK("#'Table 132'!A1", " When your oldest school-age child has been learning about recognising and drawing shapes, patterns, coordinates, angles, area, volume, symmetry, which of the following comes closest to your view?")</f>
        <v xml:space="preserve"> When your oldest school-age child has been learning about recognising and drawing shapes, patterns, coordinates, angles, area, volume, symmetry, which of the following comes closest to your view?</v>
      </c>
      <c r="E140" s="21" t="str">
        <f>HYPERLINK("#'Full Results'!A1128", "1128")</f>
        <v>1128</v>
      </c>
      <c r="F140" t="s">
        <v>328</v>
      </c>
    </row>
    <row r="141" spans="3:6" x14ac:dyDescent="0.35">
      <c r="C141">
        <v>133</v>
      </c>
      <c r="D141" s="8" t="str">
        <f>HYPERLINK("#'Table 133'!A1", " Do you think learning about recognising and drawing shapes, patterns, coordinates, angles, area, volume, symmetry will be useful to your oldest school-age child when they leave school?")</f>
        <v xml:space="preserve"> Do you think learning about recognising and drawing shapes, patterns, coordinates, angles, area, volume, symmetry will be useful to your oldest school-age child when they leave school?</v>
      </c>
      <c r="E141" s="21" t="str">
        <f>HYPERLINK("#'Full Results'!A1135", "1135")</f>
        <v>1135</v>
      </c>
      <c r="F141" t="s">
        <v>328</v>
      </c>
    </row>
    <row r="142" spans="3:6" x14ac:dyDescent="0.35">
      <c r="C142">
        <v>134</v>
      </c>
      <c r="D142" s="8" t="str">
        <f>HYPERLINK("#'Table 134'!A1", " If your oldest school-age child was struggling with their learning in recognising and drawing shapes, patterns, coordinates, angles, area, volume, symmetry, how confident would you feel in your ability to help them?")</f>
        <v xml:space="preserve"> If your oldest school-age child was struggling with their learning in recognising and drawing shapes, patterns, coordinates, angles, area, volume, symmetry, how confident would you feel in your ability to help them?</v>
      </c>
      <c r="E142" s="21" t="str">
        <f>HYPERLINK("#'Full Results'!A1143", "1143")</f>
        <v>1143</v>
      </c>
      <c r="F142" t="s">
        <v>328</v>
      </c>
    </row>
    <row r="143" spans="3:6" x14ac:dyDescent="0.35">
      <c r="C143">
        <v>135</v>
      </c>
      <c r="D143" s="8" t="str">
        <f>HYPERLINK("#'Table 135'!A1", " Thinking about your oldest school-age child, have they learned about data, tables, charts and graphs?")</f>
        <v xml:space="preserve"> Thinking about your oldest school-age child, have they learned about data, tables, charts and graphs?</v>
      </c>
      <c r="E143" s="21" t="str">
        <f>HYPERLINK("#'Full Results'!A1153", "1153")</f>
        <v>1153</v>
      </c>
      <c r="F143" t="s">
        <v>320</v>
      </c>
    </row>
    <row r="144" spans="3:6" x14ac:dyDescent="0.35">
      <c r="C144">
        <v>136</v>
      </c>
      <c r="D144" s="8" t="str">
        <f>HYPERLINK("#'Table 136'!A1", " You said that your oldest school-age child has learnt about data, tables, charts and graphs. How much time have they spent learning about this?")</f>
        <v xml:space="preserve"> You said that your oldest school-age child has learnt about data, tables, charts and graphs. How much time have they spent learning about this?</v>
      </c>
      <c r="E144" s="21" t="str">
        <f>HYPERLINK("#'Full Results'!A1159", "1159")</f>
        <v>1159</v>
      </c>
      <c r="F144" t="s">
        <v>328</v>
      </c>
    </row>
    <row r="145" spans="3:6" x14ac:dyDescent="0.35">
      <c r="C145">
        <v>137</v>
      </c>
      <c r="D145" s="8" t="str">
        <f>HYPERLINK("#'Table 137'!A1", " You said that your oldest school-age child has learnt about data, tables, charts and graphs. How confident are they in this topic?")</f>
        <v xml:space="preserve"> You said that your oldest school-age child has learnt about data, tables, charts and graphs. How confident are they in this topic?</v>
      </c>
      <c r="E145" s="21" t="str">
        <f>HYPERLINK("#'Full Results'!A1167", "1167")</f>
        <v>1167</v>
      </c>
      <c r="F145" t="s">
        <v>328</v>
      </c>
    </row>
    <row r="146" spans="3:6" x14ac:dyDescent="0.35">
      <c r="C146">
        <v>138</v>
      </c>
      <c r="D146" s="8" t="str">
        <f>HYPERLINK("#'Table 138'!A1", " You said that your oldest school-age child has learnt about data, tables, charts and graphs. How much did they enjoy learning about this?")</f>
        <v xml:space="preserve"> You said that your oldest school-age child has learnt about data, tables, charts and graphs. How much did they enjoy learning about this?</v>
      </c>
      <c r="E146" s="21" t="str">
        <f>HYPERLINK("#'Full Results'!A1177", "1177")</f>
        <v>1177</v>
      </c>
      <c r="F146" t="s">
        <v>328</v>
      </c>
    </row>
    <row r="147" spans="3:6" x14ac:dyDescent="0.35">
      <c r="C147">
        <v>139</v>
      </c>
      <c r="D147" s="8" t="str">
        <f>HYPERLINK("#'Table 139'!A1", " When your oldest school-age child has been learning about data, tables, charts and graphs, which of the following comes closest to your view?")</f>
        <v xml:space="preserve"> When your oldest school-age child has been learning about data, tables, charts and graphs, which of the following comes closest to your view?</v>
      </c>
      <c r="E147" s="21" t="str">
        <f>HYPERLINK("#'Full Results'!A1185", "1185")</f>
        <v>1185</v>
      </c>
      <c r="F147" t="s">
        <v>328</v>
      </c>
    </row>
    <row r="148" spans="3:6" x14ac:dyDescent="0.35">
      <c r="C148">
        <v>140</v>
      </c>
      <c r="D148" s="8" t="str">
        <f>HYPERLINK("#'Table 140'!A1", " Do you think learning about data, tables, charts and graphs will be useful to your oldest school-age child when they leave school?")</f>
        <v xml:space="preserve"> Do you think learning about data, tables, charts and graphs will be useful to your oldest school-age child when they leave school?</v>
      </c>
      <c r="E148" s="21" t="str">
        <f>HYPERLINK("#'Full Results'!A1192", "1192")</f>
        <v>1192</v>
      </c>
      <c r="F148" t="s">
        <v>328</v>
      </c>
    </row>
    <row r="149" spans="3:6" x14ac:dyDescent="0.35">
      <c r="C149">
        <v>141</v>
      </c>
      <c r="D149" s="8" t="str">
        <f>HYPERLINK("#'Table 141'!A1", " If your oldest school-age child was struggling with their learning in data, tables, charts and graphs, how confident would you feel in your ability to help them?")</f>
        <v xml:space="preserve"> If your oldest school-age child was struggling with their learning in data, tables, charts and graphs, how confident would you feel in your ability to help them?</v>
      </c>
      <c r="E149" s="21" t="str">
        <f>HYPERLINK("#'Full Results'!A1200", "1200")</f>
        <v>1200</v>
      </c>
      <c r="F149" t="s">
        <v>328</v>
      </c>
    </row>
    <row r="150" spans="3:6" x14ac:dyDescent="0.35">
      <c r="C150">
        <v>142</v>
      </c>
      <c r="D150" s="8" t="str">
        <f>HYPERLINK("#'Table 142'!A1", " Thinking about your oldest school-age child, have they learned about patterns, sequences?")</f>
        <v xml:space="preserve"> Thinking about your oldest school-age child, have they learned about patterns, sequences?</v>
      </c>
      <c r="E150" s="21" t="str">
        <f>HYPERLINK("#'Full Results'!A1210", "1210")</f>
        <v>1210</v>
      </c>
      <c r="F150" t="s">
        <v>320</v>
      </c>
    </row>
    <row r="151" spans="3:6" x14ac:dyDescent="0.35">
      <c r="C151">
        <v>143</v>
      </c>
      <c r="D151" s="8" t="str">
        <f>HYPERLINK("#'Table 143'!A1", " You said that your oldest school-age child has learnt about patterns, sequences. How much time have they spent learning about this?")</f>
        <v xml:space="preserve"> You said that your oldest school-age child has learnt about patterns, sequences. How much time have they spent learning about this?</v>
      </c>
      <c r="E151" s="21" t="str">
        <f>HYPERLINK("#'Full Results'!A1216", "1216")</f>
        <v>1216</v>
      </c>
      <c r="F151" t="s">
        <v>328</v>
      </c>
    </row>
    <row r="152" spans="3:6" x14ac:dyDescent="0.35">
      <c r="C152">
        <v>144</v>
      </c>
      <c r="D152" s="8" t="str">
        <f>HYPERLINK("#'Table 144'!A1", " You said that your oldest school-age child has learnt about patterns, sequences. How confident are they in this topic?")</f>
        <v xml:space="preserve"> You said that your oldest school-age child has learnt about patterns, sequences. How confident are they in this topic?</v>
      </c>
      <c r="E152" s="21" t="str">
        <f>HYPERLINK("#'Full Results'!A1224", "1224")</f>
        <v>1224</v>
      </c>
      <c r="F152" t="s">
        <v>328</v>
      </c>
    </row>
    <row r="153" spans="3:6" x14ac:dyDescent="0.35">
      <c r="C153">
        <v>145</v>
      </c>
      <c r="D153" s="8" t="str">
        <f>HYPERLINK("#'Table 145'!A1", " You said that your oldest school-age child has learnt about patterns, sequences. How much did they enjoy learning about this?")</f>
        <v xml:space="preserve"> You said that your oldest school-age child has learnt about patterns, sequences. How much did they enjoy learning about this?</v>
      </c>
      <c r="E153" s="21" t="str">
        <f>HYPERLINK("#'Full Results'!A1234", "1234")</f>
        <v>1234</v>
      </c>
      <c r="F153" t="s">
        <v>328</v>
      </c>
    </row>
    <row r="154" spans="3:6" x14ac:dyDescent="0.35">
      <c r="C154">
        <v>146</v>
      </c>
      <c r="D154" s="8" t="str">
        <f>HYPERLINK("#'Table 146'!A1", " When your oldest school-age child has been learning about patterns, sequences, which of the following comes closest to your view?")</f>
        <v xml:space="preserve"> When your oldest school-age child has been learning about patterns, sequences, which of the following comes closest to your view?</v>
      </c>
      <c r="E154" s="21" t="str">
        <f>HYPERLINK("#'Full Results'!A1242", "1242")</f>
        <v>1242</v>
      </c>
      <c r="F154" t="s">
        <v>328</v>
      </c>
    </row>
    <row r="155" spans="3:6" x14ac:dyDescent="0.35">
      <c r="C155">
        <v>147</v>
      </c>
      <c r="D155" s="8" t="str">
        <f>HYPERLINK("#'Table 147'!A1", " Do you think learning about patterns, sequences will be useful to your oldest school-age child when they leave school?")</f>
        <v xml:space="preserve"> Do you think learning about patterns, sequences will be useful to your oldest school-age child when they leave school?</v>
      </c>
      <c r="E155" s="21" t="str">
        <f>HYPERLINK("#'Full Results'!A1249", "1249")</f>
        <v>1249</v>
      </c>
      <c r="F155" t="s">
        <v>328</v>
      </c>
    </row>
    <row r="156" spans="3:6" x14ac:dyDescent="0.35">
      <c r="C156">
        <v>148</v>
      </c>
      <c r="D156" s="8" t="str">
        <f>HYPERLINK("#'Table 148'!A1", " If your oldest school-age child was struggling with their learning in patterns, sequences, how confident would you feel in your ability to help them?")</f>
        <v xml:space="preserve"> If your oldest school-age child was struggling with their learning in patterns, sequences, how confident would you feel in your ability to help them?</v>
      </c>
      <c r="E156" s="21" t="str">
        <f>HYPERLINK("#'Full Results'!A1257", "1257")</f>
        <v>1257</v>
      </c>
      <c r="F156" t="s">
        <v>328</v>
      </c>
    </row>
    <row r="157" spans="3:6" x14ac:dyDescent="0.35">
      <c r="C157">
        <v>149</v>
      </c>
      <c r="D157" s="8" t="str">
        <f>HYPERLINK("#'Table 149'!A1", " Thinking about your oldest school-age child, have they learned about deeper problems, investigations, problem-solving?")</f>
        <v xml:space="preserve"> Thinking about your oldest school-age child, have they learned about deeper problems, investigations, problem-solving?</v>
      </c>
      <c r="E157" s="21" t="str">
        <f>HYPERLINK("#'Full Results'!A1267", "1267")</f>
        <v>1267</v>
      </c>
      <c r="F157" t="s">
        <v>320</v>
      </c>
    </row>
    <row r="158" spans="3:6" x14ac:dyDescent="0.35">
      <c r="C158">
        <v>150</v>
      </c>
      <c r="D158" s="8" t="str">
        <f>HYPERLINK("#'Table 150'!A1", " You said that your oldest school-age child has learnt about deeper problems, investigations, problem-solving. How much time have they spent learning about this?")</f>
        <v xml:space="preserve"> You said that your oldest school-age child has learnt about deeper problems, investigations, problem-solving. How much time have they spent learning about this?</v>
      </c>
      <c r="E158" s="21" t="str">
        <f>HYPERLINK("#'Full Results'!A1273", "1273")</f>
        <v>1273</v>
      </c>
      <c r="F158" t="s">
        <v>328</v>
      </c>
    </row>
    <row r="159" spans="3:6" x14ac:dyDescent="0.35">
      <c r="C159">
        <v>151</v>
      </c>
      <c r="D159" s="8" t="str">
        <f>HYPERLINK("#'Table 151'!A1", " You said that your oldest school-age child has learnt about deeper problems, investigations, problem-solving. How confident are they in this topic?")</f>
        <v xml:space="preserve"> You said that your oldest school-age child has learnt about deeper problems, investigations, problem-solving. How confident are they in this topic?</v>
      </c>
      <c r="E159" s="21" t="str">
        <f>HYPERLINK("#'Full Results'!A1281", "1281")</f>
        <v>1281</v>
      </c>
      <c r="F159" t="s">
        <v>328</v>
      </c>
    </row>
    <row r="160" spans="3:6" x14ac:dyDescent="0.35">
      <c r="C160">
        <v>152</v>
      </c>
      <c r="D160" s="8" t="str">
        <f>HYPERLINK("#'Table 152'!A1", " You said that your oldest school-age child has learnt about deeper problems, investigations, problem-solving. How much did they enjoy learning about this?")</f>
        <v xml:space="preserve"> You said that your oldest school-age child has learnt about deeper problems, investigations, problem-solving. How much did they enjoy learning about this?</v>
      </c>
      <c r="E160" s="21" t="str">
        <f>HYPERLINK("#'Full Results'!A1291", "1291")</f>
        <v>1291</v>
      </c>
      <c r="F160" t="s">
        <v>328</v>
      </c>
    </row>
    <row r="161" spans="3:6" x14ac:dyDescent="0.35">
      <c r="C161">
        <v>153</v>
      </c>
      <c r="D161" s="8" t="str">
        <f>HYPERLINK("#'Table 153'!A1", " When your oldest school-age child has been learning about deeper problems, investigations, problem-solving, which of the following comes closest to your view?")</f>
        <v xml:space="preserve"> When your oldest school-age child has been learning about deeper problems, investigations, problem-solving, which of the following comes closest to your view?</v>
      </c>
      <c r="E161" s="21" t="str">
        <f>HYPERLINK("#'Full Results'!A1299", "1299")</f>
        <v>1299</v>
      </c>
      <c r="F161" t="s">
        <v>328</v>
      </c>
    </row>
    <row r="162" spans="3:6" x14ac:dyDescent="0.35">
      <c r="C162">
        <v>154</v>
      </c>
      <c r="D162" s="8" t="str">
        <f>HYPERLINK("#'Table 154'!A1", " Do you think learning about deeper problems, investigations, problem-solving will be useful to your oldest school-age child when they leave school?")</f>
        <v xml:space="preserve"> Do you think learning about deeper problems, investigations, problem-solving will be useful to your oldest school-age child when they leave school?</v>
      </c>
      <c r="E162" s="21" t="str">
        <f>HYPERLINK("#'Full Results'!A1306", "1306")</f>
        <v>1306</v>
      </c>
      <c r="F162" t="s">
        <v>328</v>
      </c>
    </row>
    <row r="163" spans="3:6" x14ac:dyDescent="0.35">
      <c r="C163">
        <v>155</v>
      </c>
      <c r="D163" s="8" t="str">
        <f>HYPERLINK("#'Table 155'!A1", " If your oldest school-age child was struggling with their learning in deeper problems, investigations, problem-solving, how confident would you feel in your ability to help them?")</f>
        <v xml:space="preserve"> If your oldest school-age child was struggling with their learning in deeper problems, investigations, problem-solving, how confident would you feel in your ability to help them?</v>
      </c>
      <c r="E163" s="21" t="str">
        <f>HYPERLINK("#'Full Results'!A1314", "1314")</f>
        <v>1314</v>
      </c>
      <c r="F163" t="s">
        <v>328</v>
      </c>
    </row>
    <row r="164" spans="3:6" x14ac:dyDescent="0.35">
      <c r="C164">
        <v>156</v>
      </c>
      <c r="D164" s="8" t="str">
        <f>HYPERLINK("#'Table 156'!A1", " Thinking about your oldest school-age child, have they learned about adding, subtracting, multiplying, dividing, using fractions, decimals, percentages, and ratios?")</f>
        <v xml:space="preserve"> Thinking about your oldest school-age child, have they learned about adding, subtracting, multiplying, dividing, using fractions, decimals, percentages, and ratios?</v>
      </c>
      <c r="E164" s="21" t="str">
        <f>HYPERLINK("#'Full Results'!A1324", "1324")</f>
        <v>1324</v>
      </c>
      <c r="F164" t="s">
        <v>101</v>
      </c>
    </row>
    <row r="165" spans="3:6" x14ac:dyDescent="0.35">
      <c r="C165">
        <v>157</v>
      </c>
      <c r="D165" s="8" t="str">
        <f>HYPERLINK("#'Table 157'!A1", " You said that your oldest school-age child has learnt about adding, subtracting, multiplying, dividing, using fractions, decimals, percentages, and ratios. How much time have they spent learning about this?")</f>
        <v xml:space="preserve"> You said that your oldest school-age child has learnt about adding, subtracting, multiplying, dividing, using fractions, decimals, percentages, and ratios. How much time have they spent learning about this?</v>
      </c>
      <c r="E165" s="21" t="str">
        <f>HYPERLINK("#'Full Results'!A1330", "1330")</f>
        <v>1330</v>
      </c>
      <c r="F165" t="s">
        <v>463</v>
      </c>
    </row>
    <row r="166" spans="3:6" x14ac:dyDescent="0.35">
      <c r="C166">
        <v>158</v>
      </c>
      <c r="D166" s="8" t="str">
        <f>HYPERLINK("#'Table 158'!A1", " You said that your oldest school-age child has learnt about adding, subtracting, multiplying, dividing, using fractions, decimals, percentages, and ratios. How confident are they in this topic?")</f>
        <v xml:space="preserve"> You said that your oldest school-age child has learnt about adding, subtracting, multiplying, dividing, using fractions, decimals, percentages, and ratios. How confident are they in this topic?</v>
      </c>
      <c r="E166" s="21" t="str">
        <f>HYPERLINK("#'Full Results'!A1338", "1338")</f>
        <v>1338</v>
      </c>
      <c r="F166" t="s">
        <v>463</v>
      </c>
    </row>
    <row r="167" spans="3:6" x14ac:dyDescent="0.35">
      <c r="C167">
        <v>159</v>
      </c>
      <c r="D167" s="8" t="str">
        <f>HYPERLINK("#'Table 159'!A1", " You said that your oldest school-age child has learnt about adding, subtracting, multiplying, dividing, using fractions, decimals, percentages, and ratios. How much did they enjoy learning about this?")</f>
        <v xml:space="preserve"> You said that your oldest school-age child has learnt about adding, subtracting, multiplying, dividing, using fractions, decimals, percentages, and ratios. How much did they enjoy learning about this?</v>
      </c>
      <c r="E167" s="21" t="str">
        <f>HYPERLINK("#'Full Results'!A1348", "1348")</f>
        <v>1348</v>
      </c>
      <c r="F167" t="s">
        <v>463</v>
      </c>
    </row>
    <row r="168" spans="3:6" x14ac:dyDescent="0.35">
      <c r="C168">
        <v>160</v>
      </c>
      <c r="D168" s="8" t="str">
        <f>HYPERLINK("#'Table 160'!A1", " When your oldest school-age child has been learning about adding, subtracting, multiplying, dividing, using fractions, decimals, percentages, and ratios, which of the following comes closest to your view?")</f>
        <v xml:space="preserve"> When your oldest school-age child has been learning about adding, subtracting, multiplying, dividing, using fractions, decimals, percentages, and ratios, which of the following comes closest to your view?</v>
      </c>
      <c r="E168" s="21" t="str">
        <f>HYPERLINK("#'Full Results'!A1356", "1356")</f>
        <v>1356</v>
      </c>
      <c r="F168" t="s">
        <v>463</v>
      </c>
    </row>
    <row r="169" spans="3:6" x14ac:dyDescent="0.35">
      <c r="C169">
        <v>161</v>
      </c>
      <c r="D169" s="8" t="str">
        <f>HYPERLINK("#'Table 161'!A1", " Do you think learning about adding, subtracting, multiplying, dividing, using fractions, decimals, percentages, and ratios will be useful to your oldest school-age child when they leave school?")</f>
        <v xml:space="preserve"> Do you think learning about adding, subtracting, multiplying, dividing, using fractions, decimals, percentages, and ratios will be useful to your oldest school-age child when they leave school?</v>
      </c>
      <c r="E169" s="21" t="str">
        <f>HYPERLINK("#'Full Results'!A1363", "1363")</f>
        <v>1363</v>
      </c>
      <c r="F169" t="s">
        <v>463</v>
      </c>
    </row>
    <row r="170" spans="3:6" x14ac:dyDescent="0.35">
      <c r="C170">
        <v>162</v>
      </c>
      <c r="D170" s="8" t="str">
        <f>HYPERLINK("#'Table 162'!A1", " If your oldest school-age child was struggling with their learning in adding, subtracting, multiplying, dividing, using fractions, decimals, percentages, and ratios, how confident would you feel in your ability to help them?")</f>
        <v xml:space="preserve"> If your oldest school-age child was struggling with their learning in adding, subtracting, multiplying, dividing, using fractions, decimals, percentages, and ratios, how confident would you feel in your ability to help them?</v>
      </c>
      <c r="E170" s="21" t="str">
        <f>HYPERLINK("#'Full Results'!A1371", "1371")</f>
        <v>1371</v>
      </c>
      <c r="F170" t="s">
        <v>463</v>
      </c>
    </row>
    <row r="171" spans="3:6" x14ac:dyDescent="0.35">
      <c r="C171">
        <v>163</v>
      </c>
      <c r="D171" s="8" t="str">
        <f>HYPERLINK("#'Table 163'!A1", " Thinking about your oldest school-age child, have they learned about reading, understanding, and applying diagrams, graphs, tables, spreadsheets, and statistics?")</f>
        <v xml:space="preserve"> Thinking about your oldest school-age child, have they learned about reading, understanding, and applying diagrams, graphs, tables, spreadsheets, and statistics?</v>
      </c>
      <c r="E171" s="21" t="str">
        <f>HYPERLINK("#'Full Results'!A1381", "1381")</f>
        <v>1381</v>
      </c>
      <c r="F171" t="s">
        <v>101</v>
      </c>
    </row>
    <row r="172" spans="3:6" x14ac:dyDescent="0.35">
      <c r="C172">
        <v>164</v>
      </c>
      <c r="D172" s="8" t="str">
        <f>HYPERLINK("#'Table 164'!A1", " You said that your oldest school-age child has learnt about reading, understanding, and applying diagrams, graphs, tables, spreadsheets, and statistics. How much time have they spent learning about this?")</f>
        <v xml:space="preserve"> You said that your oldest school-age child has learnt about reading, understanding, and applying diagrams, graphs, tables, spreadsheets, and statistics. How much time have they spent learning about this?</v>
      </c>
      <c r="E172" s="21" t="str">
        <f>HYPERLINK("#'Full Results'!A1387", "1387")</f>
        <v>1387</v>
      </c>
      <c r="F172" t="s">
        <v>463</v>
      </c>
    </row>
    <row r="173" spans="3:6" x14ac:dyDescent="0.35">
      <c r="C173">
        <v>165</v>
      </c>
      <c r="D173" s="8" t="str">
        <f>HYPERLINK("#'Table 165'!A1", " You said that your oldest school-age child has learnt about reading, understanding, and applying diagrams, graphs, tables, spreadsheets, and statistics. How confident are they in this topic?")</f>
        <v xml:space="preserve"> You said that your oldest school-age child has learnt about reading, understanding, and applying diagrams, graphs, tables, spreadsheets, and statistics. How confident are they in this topic?</v>
      </c>
      <c r="E173" s="21" t="str">
        <f>HYPERLINK("#'Full Results'!A1395", "1395")</f>
        <v>1395</v>
      </c>
      <c r="F173" t="s">
        <v>463</v>
      </c>
    </row>
    <row r="174" spans="3:6" x14ac:dyDescent="0.35">
      <c r="C174">
        <v>166</v>
      </c>
      <c r="D174" s="8" t="str">
        <f>HYPERLINK("#'Table 166'!A1", " You said that your oldest school-age child has learnt about reading, understanding, and applying diagrams, graphs, tables, spreadsheets, and statistics. How much did they enjoy learning about this?")</f>
        <v xml:space="preserve"> You said that your oldest school-age child has learnt about reading, understanding, and applying diagrams, graphs, tables, spreadsheets, and statistics. How much did they enjoy learning about this?</v>
      </c>
      <c r="E174" s="21" t="str">
        <f>HYPERLINK("#'Full Results'!A1405", "1405")</f>
        <v>1405</v>
      </c>
      <c r="F174" t="s">
        <v>463</v>
      </c>
    </row>
    <row r="175" spans="3:6" x14ac:dyDescent="0.35">
      <c r="C175">
        <v>167</v>
      </c>
      <c r="D175" s="8" t="str">
        <f>HYPERLINK("#'Table 167'!A1", " When your oldest school-age child has been learning about reading, understanding, and applying diagrams, graphs, tables, spreadsheets, and statistics, which of the following comes closest to your view?")</f>
        <v xml:space="preserve"> When your oldest school-age child has been learning about reading, understanding, and applying diagrams, graphs, tables, spreadsheets, and statistics, which of the following comes closest to your view?</v>
      </c>
      <c r="E175" s="21" t="str">
        <f>HYPERLINK("#'Full Results'!A1413", "1413")</f>
        <v>1413</v>
      </c>
      <c r="F175" t="s">
        <v>463</v>
      </c>
    </row>
    <row r="176" spans="3:6" x14ac:dyDescent="0.35">
      <c r="C176">
        <v>168</v>
      </c>
      <c r="D176" s="8" t="str">
        <f>HYPERLINK("#'Table 168'!A1", " Do you think learning about reading, understanding, and applying diagrams, graphs, tables, spreadsheets, and statistics will be useful to your oldest school-age child when they leave school?")</f>
        <v xml:space="preserve"> Do you think learning about reading, understanding, and applying diagrams, graphs, tables, spreadsheets, and statistics will be useful to your oldest school-age child when they leave school?</v>
      </c>
      <c r="E176" s="21" t="str">
        <f>HYPERLINK("#'Full Results'!A1420", "1420")</f>
        <v>1420</v>
      </c>
      <c r="F176" t="s">
        <v>463</v>
      </c>
    </row>
    <row r="177" spans="3:6" x14ac:dyDescent="0.35">
      <c r="C177">
        <v>169</v>
      </c>
      <c r="D177" s="8" t="str">
        <f>HYPERLINK("#'Table 169'!A1", " If your oldest school-age child was struggling with their learning in reading, understanding, and applying diagrams, graphs, tables, spreadsheets, and statistics, how confident would you feel in your ability to help them?")</f>
        <v xml:space="preserve"> If your oldest school-age child was struggling with their learning in reading, understanding, and applying diagrams, graphs, tables, spreadsheets, and statistics, how confident would you feel in your ability to help them?</v>
      </c>
      <c r="E177" s="21" t="str">
        <f>HYPERLINK("#'Full Results'!A1428", "1428")</f>
        <v>1428</v>
      </c>
      <c r="F177" t="s">
        <v>463</v>
      </c>
    </row>
    <row r="178" spans="3:6" x14ac:dyDescent="0.35">
      <c r="C178">
        <v>170</v>
      </c>
      <c r="D178" s="8" t="str">
        <f>HYPERLINK("#'Table 170'!A1", " Thinking about your oldest school-age child, have they learned about comparing, estimating, measuring, approximating, and ensuring accuracy of values?")</f>
        <v xml:space="preserve"> Thinking about your oldest school-age child, have they learned about comparing, estimating, measuring, approximating, and ensuring accuracy of values?</v>
      </c>
      <c r="E178" s="21" t="str">
        <f>HYPERLINK("#'Full Results'!A1438", "1438")</f>
        <v>1438</v>
      </c>
      <c r="F178" t="s">
        <v>101</v>
      </c>
    </row>
    <row r="179" spans="3:6" x14ac:dyDescent="0.35">
      <c r="C179">
        <v>171</v>
      </c>
      <c r="D179" s="8" t="str">
        <f>HYPERLINK("#'Table 171'!A1", " You said that your oldest school-age child has learnt about comparing, estimating, measuring, approximating, and ensuring accuracy of values. How much time have they spent learning about this?")</f>
        <v xml:space="preserve"> You said that your oldest school-age child has learnt about comparing, estimating, measuring, approximating, and ensuring accuracy of values. How much time have they spent learning about this?</v>
      </c>
      <c r="E179" s="21" t="str">
        <f>HYPERLINK("#'Full Results'!A1444", "1444")</f>
        <v>1444</v>
      </c>
      <c r="F179" t="s">
        <v>463</v>
      </c>
    </row>
    <row r="180" spans="3:6" x14ac:dyDescent="0.35">
      <c r="C180">
        <v>172</v>
      </c>
      <c r="D180" s="8" t="str">
        <f>HYPERLINK("#'Table 172'!A1", " You said that your oldest school-age child has learnt about comparing, estimating, measuring, approximating, and ensuring accuracy of values. How confident are they in this topic?")</f>
        <v xml:space="preserve"> You said that your oldest school-age child has learnt about comparing, estimating, measuring, approximating, and ensuring accuracy of values. How confident are they in this topic?</v>
      </c>
      <c r="E180" s="21" t="str">
        <f>HYPERLINK("#'Full Results'!A1452", "1452")</f>
        <v>1452</v>
      </c>
      <c r="F180" t="s">
        <v>463</v>
      </c>
    </row>
    <row r="181" spans="3:6" x14ac:dyDescent="0.35">
      <c r="C181">
        <v>173</v>
      </c>
      <c r="D181" s="8" t="str">
        <f>HYPERLINK("#'Table 173'!A1", " You said that your oldest school-age child has learnt about comparing, estimating, measuring, approximating, and ensuring accuracy of values. How much did they enjoy learning about this?")</f>
        <v xml:space="preserve"> You said that your oldest school-age child has learnt about comparing, estimating, measuring, approximating, and ensuring accuracy of values. How much did they enjoy learning about this?</v>
      </c>
      <c r="E181" s="21" t="str">
        <f>HYPERLINK("#'Full Results'!A1462", "1462")</f>
        <v>1462</v>
      </c>
      <c r="F181" t="s">
        <v>463</v>
      </c>
    </row>
    <row r="182" spans="3:6" x14ac:dyDescent="0.35">
      <c r="C182">
        <v>174</v>
      </c>
      <c r="D182" s="8" t="str">
        <f>HYPERLINK("#'Table 174'!A1", " When your oldest school-age child has been learning about comparing, estimating, measuring, approximating, and ensuring accuracy of values, which of the following comes closest to your view?")</f>
        <v xml:space="preserve"> When your oldest school-age child has been learning about comparing, estimating, measuring, approximating, and ensuring accuracy of values, which of the following comes closest to your view?</v>
      </c>
      <c r="E182" s="21" t="str">
        <f>HYPERLINK("#'Full Results'!A1470", "1470")</f>
        <v>1470</v>
      </c>
      <c r="F182" t="s">
        <v>463</v>
      </c>
    </row>
    <row r="183" spans="3:6" x14ac:dyDescent="0.35">
      <c r="C183">
        <v>175</v>
      </c>
      <c r="D183" s="8" t="str">
        <f>HYPERLINK("#'Table 175'!A1", " Do you think learning about comparing, estimating, measuring, approximating, and ensuring accuracy of values will be useful to your oldest school-age child when they leave school?")</f>
        <v xml:space="preserve"> Do you think learning about comparing, estimating, measuring, approximating, and ensuring accuracy of values will be useful to your oldest school-age child when they leave school?</v>
      </c>
      <c r="E183" s="21" t="str">
        <f>HYPERLINK("#'Full Results'!A1477", "1477")</f>
        <v>1477</v>
      </c>
      <c r="F183" t="s">
        <v>463</v>
      </c>
    </row>
    <row r="184" spans="3:6" x14ac:dyDescent="0.35">
      <c r="C184">
        <v>176</v>
      </c>
      <c r="D184" s="8" t="str">
        <f>HYPERLINK("#'Table 176'!A1", " If your oldest school-age child was struggling with their learning in comparing, estimating, measuring, approximating, and ensuring accuracy of values, how confident would you feel in your ability to help them?")</f>
        <v xml:space="preserve"> If your oldest school-age child was struggling with their learning in comparing, estimating, measuring, approximating, and ensuring accuracy of values, how confident would you feel in your ability to help them?</v>
      </c>
      <c r="E184" s="21" t="str">
        <f>HYPERLINK("#'Full Results'!A1485", "1485")</f>
        <v>1485</v>
      </c>
      <c r="F184" t="s">
        <v>463</v>
      </c>
    </row>
    <row r="185" spans="3:6" x14ac:dyDescent="0.35">
      <c r="C185">
        <v>177</v>
      </c>
      <c r="D185" s="8" t="str">
        <f>HYPERLINK("#'Table 177'!A1", " Thinking about your oldest school-age child, have they learned about understanding shapes, volumes, and spatial relationships?")</f>
        <v xml:space="preserve"> Thinking about your oldest school-age child, have they learned about understanding shapes, volumes, and spatial relationships?</v>
      </c>
      <c r="E185" s="21" t="str">
        <f>HYPERLINK("#'Full Results'!A1495", "1495")</f>
        <v>1495</v>
      </c>
      <c r="F185" t="s">
        <v>101</v>
      </c>
    </row>
    <row r="186" spans="3:6" x14ac:dyDescent="0.35">
      <c r="C186">
        <v>178</v>
      </c>
      <c r="D186" s="8" t="str">
        <f>HYPERLINK("#'Table 178'!A1", " You said that your oldest school-age child has learnt about understanding shapes, volumes, and spatial relationships. How much time have they spent learning about this?")</f>
        <v xml:space="preserve"> You said that your oldest school-age child has learnt about understanding shapes, volumes, and spatial relationships. How much time have they spent learning about this?</v>
      </c>
      <c r="E186" s="21" t="str">
        <f>HYPERLINK("#'Full Results'!A1501", "1501")</f>
        <v>1501</v>
      </c>
      <c r="F186" t="s">
        <v>463</v>
      </c>
    </row>
    <row r="187" spans="3:6" x14ac:dyDescent="0.35">
      <c r="C187">
        <v>179</v>
      </c>
      <c r="D187" s="8" t="str">
        <f>HYPERLINK("#'Table 179'!A1", " You said that your oldest school-age child has learnt about understanding shapes, volumes, and spatial relationships. How confident are they in this topic?")</f>
        <v xml:space="preserve"> You said that your oldest school-age child has learnt about understanding shapes, volumes, and spatial relationships. How confident are they in this topic?</v>
      </c>
      <c r="E187" s="21" t="str">
        <f>HYPERLINK("#'Full Results'!A1509", "1509")</f>
        <v>1509</v>
      </c>
      <c r="F187" t="s">
        <v>463</v>
      </c>
    </row>
    <row r="188" spans="3:6" x14ac:dyDescent="0.35">
      <c r="C188">
        <v>180</v>
      </c>
      <c r="D188" s="8" t="str">
        <f>HYPERLINK("#'Table 180'!A1", " You said that your oldest school-age child has learnt about understanding shapes, volumes, and spatial relationships. How much did they enjoy learning about this?")</f>
        <v xml:space="preserve"> You said that your oldest school-age child has learnt about understanding shapes, volumes, and spatial relationships. How much did they enjoy learning about this?</v>
      </c>
      <c r="E188" s="21" t="str">
        <f>HYPERLINK("#'Full Results'!A1519", "1519")</f>
        <v>1519</v>
      </c>
      <c r="F188" t="s">
        <v>463</v>
      </c>
    </row>
    <row r="189" spans="3:6" x14ac:dyDescent="0.35">
      <c r="C189">
        <v>181</v>
      </c>
      <c r="D189" s="8" t="str">
        <f>HYPERLINK("#'Table 181'!A1", " When your oldest school-age child has been learning about understanding shapes, volumes, and spatial relationships, which of the following comes closest to your view?")</f>
        <v xml:space="preserve"> When your oldest school-age child has been learning about understanding shapes, volumes, and spatial relationships, which of the following comes closest to your view?</v>
      </c>
      <c r="E189" s="21" t="str">
        <f>HYPERLINK("#'Full Results'!A1527", "1527")</f>
        <v>1527</v>
      </c>
      <c r="F189" t="s">
        <v>463</v>
      </c>
    </row>
    <row r="190" spans="3:6" x14ac:dyDescent="0.35">
      <c r="C190">
        <v>182</v>
      </c>
      <c r="D190" s="8" t="str">
        <f>HYPERLINK("#'Table 182'!A1", " Do you think learning about understanding shapes, volumes, and spatial relationships will be useful to your oldest school-age child when they leave school?")</f>
        <v xml:space="preserve"> Do you think learning about understanding shapes, volumes, and spatial relationships will be useful to your oldest school-age child when they leave school?</v>
      </c>
      <c r="E190" s="21" t="str">
        <f>HYPERLINK("#'Full Results'!A1534", "1534")</f>
        <v>1534</v>
      </c>
      <c r="F190" t="s">
        <v>463</v>
      </c>
    </row>
    <row r="191" spans="3:6" x14ac:dyDescent="0.35">
      <c r="C191">
        <v>183</v>
      </c>
      <c r="D191" s="8" t="str">
        <f>HYPERLINK("#'Table 183'!A1", " If your oldest school-age child was struggling with their learning in understanding shapes, volumes, and spatial relationships, how confident would you feel in your ability to help them?")</f>
        <v xml:space="preserve"> If your oldest school-age child was struggling with their learning in understanding shapes, volumes, and spatial relationships, how confident would you feel in your ability to help them?</v>
      </c>
      <c r="E191" s="21" t="str">
        <f>HYPERLINK("#'Full Results'!A1542", "1542")</f>
        <v>1542</v>
      </c>
      <c r="F191" t="s">
        <v>463</v>
      </c>
    </row>
    <row r="192" spans="3:6" x14ac:dyDescent="0.35">
      <c r="C192">
        <v>184</v>
      </c>
      <c r="D192" s="8" t="str">
        <f>HYPERLINK("#'Table 184'!A1", " Thinking about your oldest school-age child, have they learned about using and manipulating algebraic expressions to solve problems, including in spreadsheets?")</f>
        <v xml:space="preserve"> Thinking about your oldest school-age child, have they learned about using and manipulating algebraic expressions to solve problems, including in spreadsheets?</v>
      </c>
      <c r="E192" s="21" t="str">
        <f>HYPERLINK("#'Full Results'!A1552", "1552")</f>
        <v>1552</v>
      </c>
      <c r="F192" t="s">
        <v>101</v>
      </c>
    </row>
    <row r="193" spans="3:6" x14ac:dyDescent="0.35">
      <c r="C193">
        <v>185</v>
      </c>
      <c r="D193" s="8" t="str">
        <f>HYPERLINK("#'Table 185'!A1", " You said that your oldest school-age child has learnt about using and manipulating algebraic expressions to solve problems, including in spreadsheets. How much time have they spent learning about this?")</f>
        <v xml:space="preserve"> You said that your oldest school-age child has learnt about using and manipulating algebraic expressions to solve problems, including in spreadsheets. How much time have they spent learning about this?</v>
      </c>
      <c r="E193" s="21" t="str">
        <f>HYPERLINK("#'Full Results'!A1558", "1558")</f>
        <v>1558</v>
      </c>
      <c r="F193" t="s">
        <v>463</v>
      </c>
    </row>
    <row r="194" spans="3:6" x14ac:dyDescent="0.35">
      <c r="C194">
        <v>186</v>
      </c>
      <c r="D194" s="8" t="str">
        <f>HYPERLINK("#'Table 186'!A1", " You said that your oldest school-age child has learnt about using and manipulating algebraic expressions to solve problems, including in spreadsheets. How confident are they in this topic?")</f>
        <v xml:space="preserve"> You said that your oldest school-age child has learnt about using and manipulating algebraic expressions to solve problems, including in spreadsheets. How confident are they in this topic?</v>
      </c>
      <c r="E194" s="21" t="str">
        <f>HYPERLINK("#'Full Results'!A1566", "1566")</f>
        <v>1566</v>
      </c>
      <c r="F194" t="s">
        <v>463</v>
      </c>
    </row>
    <row r="195" spans="3:6" x14ac:dyDescent="0.35">
      <c r="C195">
        <v>187</v>
      </c>
      <c r="D195" s="8" t="str">
        <f>HYPERLINK("#'Table 187'!A1", " You said that your oldest school-age child has learnt about using and manipulating algebraic expressions to solve problems, including in spreadsheets. How much did they enjoy learning about this?")</f>
        <v xml:space="preserve"> You said that your oldest school-age child has learnt about using and manipulating algebraic expressions to solve problems, including in spreadsheets. How much did they enjoy learning about this?</v>
      </c>
      <c r="E195" s="21" t="str">
        <f>HYPERLINK("#'Full Results'!A1576", "1576")</f>
        <v>1576</v>
      </c>
      <c r="F195" t="s">
        <v>463</v>
      </c>
    </row>
    <row r="196" spans="3:6" x14ac:dyDescent="0.35">
      <c r="C196">
        <v>188</v>
      </c>
      <c r="D196" s="8" t="str">
        <f>HYPERLINK("#'Table 188'!A1", " When your oldest school-age child has been learning about using and manipulating algebraic expressions to solve problems, including in spreadsheets, which of the following comes closest to your view?")</f>
        <v xml:space="preserve"> When your oldest school-age child has been learning about using and manipulating algebraic expressions to solve problems, including in spreadsheets, which of the following comes closest to your view?</v>
      </c>
      <c r="E196" s="21" t="str">
        <f>HYPERLINK("#'Full Results'!A1584", "1584")</f>
        <v>1584</v>
      </c>
      <c r="F196" t="s">
        <v>463</v>
      </c>
    </row>
    <row r="197" spans="3:6" x14ac:dyDescent="0.35">
      <c r="C197">
        <v>189</v>
      </c>
      <c r="D197" s="8" t="str">
        <f>HYPERLINK("#'Table 189'!A1", " Do you think learning about using and manipulating algebraic expressions to solve problems, including in spreadsheets will be useful to your oldest school-age child when they leave school?")</f>
        <v xml:space="preserve"> Do you think learning about using and manipulating algebraic expressions to solve problems, including in spreadsheets will be useful to your oldest school-age child when they leave school?</v>
      </c>
      <c r="E197" s="21" t="str">
        <f>HYPERLINK("#'Full Results'!A1591", "1591")</f>
        <v>1591</v>
      </c>
      <c r="F197" t="s">
        <v>463</v>
      </c>
    </row>
    <row r="198" spans="3:6" x14ac:dyDescent="0.35">
      <c r="C198">
        <v>190</v>
      </c>
      <c r="D198" s="8" t="str">
        <f>HYPERLINK("#'Table 190'!A1", " If your oldest school-age child was struggling with their learning in using and manipulating algebraic expressions to solve problems, including in spreadsheets, how confident would you feel in your ability to help them?")</f>
        <v xml:space="preserve"> If your oldest school-age child was struggling with their learning in using and manipulating algebraic expressions to solve problems, including in spreadsheets, how confident would you feel in your ability to help them?</v>
      </c>
      <c r="E198" s="21" t="str">
        <f>HYPERLINK("#'Full Results'!A1599", "1599")</f>
        <v>1599</v>
      </c>
      <c r="F198" t="s">
        <v>463</v>
      </c>
    </row>
    <row r="199" spans="3:6" x14ac:dyDescent="0.35">
      <c r="C199">
        <v>191</v>
      </c>
      <c r="D199" s="8" t="str">
        <f>HYPERLINK("#'Table 191'!A1", " Thinking about your oldest school-age child, have they learned about assessing likelihood, randomness, predictions, causation, and uncertainty?")</f>
        <v xml:space="preserve"> Thinking about your oldest school-age child, have they learned about assessing likelihood, randomness, predictions, causation, and uncertainty?</v>
      </c>
      <c r="E199" s="21" t="str">
        <f>HYPERLINK("#'Full Results'!A1609", "1609")</f>
        <v>1609</v>
      </c>
      <c r="F199" t="s">
        <v>101</v>
      </c>
    </row>
    <row r="200" spans="3:6" x14ac:dyDescent="0.35">
      <c r="C200">
        <v>192</v>
      </c>
      <c r="D200" s="8" t="str">
        <f>HYPERLINK("#'Table 192'!A1", " You said that your oldest school-age child has learnt about assessing likelihood, randomness, predictions, causation, and uncertainty. How much time have they spent learning about this?")</f>
        <v xml:space="preserve"> You said that your oldest school-age child has learnt about assessing likelihood, randomness, predictions, causation, and uncertainty. How much time have they spent learning about this?</v>
      </c>
      <c r="E200" s="21" t="str">
        <f>HYPERLINK("#'Full Results'!A1615", "1615")</f>
        <v>1615</v>
      </c>
      <c r="F200" t="s">
        <v>463</v>
      </c>
    </row>
    <row r="201" spans="3:6" x14ac:dyDescent="0.35">
      <c r="C201">
        <v>193</v>
      </c>
      <c r="D201" s="8" t="str">
        <f>HYPERLINK("#'Table 193'!A1", " You said that your oldest school-age child has learnt about assessing likelihood, randomness, predictions, causation, and uncertainty. How confident are they in this topic?")</f>
        <v xml:space="preserve"> You said that your oldest school-age child has learnt about assessing likelihood, randomness, predictions, causation, and uncertainty. How confident are they in this topic?</v>
      </c>
      <c r="E201" s="21" t="str">
        <f>HYPERLINK("#'Full Results'!A1623", "1623")</f>
        <v>1623</v>
      </c>
      <c r="F201" t="s">
        <v>463</v>
      </c>
    </row>
    <row r="202" spans="3:6" x14ac:dyDescent="0.35">
      <c r="C202">
        <v>194</v>
      </c>
      <c r="D202" s="8" t="str">
        <f>HYPERLINK("#'Table 194'!A1", " You said that your oldest school-age child has learnt about assessing likelihood, randomness, predictions, causation, and uncertainty. How much did they enjoy learning about this?")</f>
        <v xml:space="preserve"> You said that your oldest school-age child has learnt about assessing likelihood, randomness, predictions, causation, and uncertainty. How much did they enjoy learning about this?</v>
      </c>
      <c r="E202" s="21" t="str">
        <f>HYPERLINK("#'Full Results'!A1633", "1633")</f>
        <v>1633</v>
      </c>
      <c r="F202" t="s">
        <v>463</v>
      </c>
    </row>
    <row r="203" spans="3:6" x14ac:dyDescent="0.35">
      <c r="C203">
        <v>195</v>
      </c>
      <c r="D203" s="8" t="str">
        <f>HYPERLINK("#'Table 195'!A1", " When your oldest school-age child has been learning about assessing likelihood, randomness, predictions, causation, and uncertainty, which of the following comes closest to your view?")</f>
        <v xml:space="preserve"> When your oldest school-age child has been learning about assessing likelihood, randomness, predictions, causation, and uncertainty, which of the following comes closest to your view?</v>
      </c>
      <c r="E203" s="21" t="str">
        <f>HYPERLINK("#'Full Results'!A1641", "1641")</f>
        <v>1641</v>
      </c>
      <c r="F203" t="s">
        <v>463</v>
      </c>
    </row>
    <row r="204" spans="3:6" x14ac:dyDescent="0.35">
      <c r="C204">
        <v>196</v>
      </c>
      <c r="D204" s="8" t="str">
        <f>HYPERLINK("#'Table 196'!A1", " Do you think learning about assessing likelihood, randomness, predictions, causation, and uncertainty will be useful to your oldest school-age child when they leave school?")</f>
        <v xml:space="preserve"> Do you think learning about assessing likelihood, randomness, predictions, causation, and uncertainty will be useful to your oldest school-age child when they leave school?</v>
      </c>
      <c r="E204" s="21" t="str">
        <f>HYPERLINK("#'Full Results'!A1648", "1648")</f>
        <v>1648</v>
      </c>
      <c r="F204" t="s">
        <v>463</v>
      </c>
    </row>
    <row r="205" spans="3:6" x14ac:dyDescent="0.35">
      <c r="C205">
        <v>197</v>
      </c>
      <c r="D205" s="8" t="str">
        <f>HYPERLINK("#'Table 197'!A1", " If your oldest school-age child was struggling with their learning in assessing likelihood, randomness, predictions, causation, and uncertainty, how confident would you feel in your ability to help them?")</f>
        <v xml:space="preserve"> If your oldest school-age child was struggling with their learning in assessing likelihood, randomness, predictions, causation, and uncertainty, how confident would you feel in your ability to help them?</v>
      </c>
      <c r="E205" s="21" t="str">
        <f>HYPERLINK("#'Full Results'!A1656", "1656")</f>
        <v>1656</v>
      </c>
      <c r="F205" t="s">
        <v>463</v>
      </c>
    </row>
    <row r="206" spans="3:6" x14ac:dyDescent="0.35">
      <c r="C206">
        <v>198</v>
      </c>
      <c r="D206" s="8" t="str">
        <f>HYPERLINK("#'Table 198'!A1", " Thinking about your oldest school-age child, have they learned about breaking down problems, finding patterns, critical thinking, and strategic planning?")</f>
        <v xml:space="preserve"> Thinking about your oldest school-age child, have they learned about breaking down problems, finding patterns, critical thinking, and strategic planning?</v>
      </c>
      <c r="E206" s="21" t="str">
        <f>HYPERLINK("#'Full Results'!A1666", "1666")</f>
        <v>1666</v>
      </c>
      <c r="F206" t="s">
        <v>101</v>
      </c>
    </row>
    <row r="207" spans="3:6" x14ac:dyDescent="0.35">
      <c r="C207">
        <v>199</v>
      </c>
      <c r="D207" s="8" t="str">
        <f>HYPERLINK("#'Table 199'!A1", " You said that your oldest school-age child has learnt about breaking down problems, finding patterns, critical thinking, and strategic planning. How much time have they spent learning about this?")</f>
        <v xml:space="preserve"> You said that your oldest school-age child has learnt about breaking down problems, finding patterns, critical thinking, and strategic planning. How much time have they spent learning about this?</v>
      </c>
      <c r="E207" s="21" t="str">
        <f>HYPERLINK("#'Full Results'!A1672", "1672")</f>
        <v>1672</v>
      </c>
      <c r="F207" t="s">
        <v>463</v>
      </c>
    </row>
    <row r="208" spans="3:6" x14ac:dyDescent="0.35">
      <c r="C208">
        <v>200</v>
      </c>
      <c r="D208" s="8" t="str">
        <f>HYPERLINK("#'Table 200'!A1", " You said that your oldest school-age child has learnt about breaking down problems, finding patterns, critical thinking, and strategic planning. How confident are they in this topic?")</f>
        <v xml:space="preserve"> You said that your oldest school-age child has learnt about breaking down problems, finding patterns, critical thinking, and strategic planning. How confident are they in this topic?</v>
      </c>
      <c r="E208" s="21" t="str">
        <f>HYPERLINK("#'Full Results'!A1680", "1680")</f>
        <v>1680</v>
      </c>
      <c r="F208" t="s">
        <v>463</v>
      </c>
    </row>
    <row r="209" spans="3:6" x14ac:dyDescent="0.35">
      <c r="C209">
        <v>201</v>
      </c>
      <c r="D209" s="8" t="str">
        <f>HYPERLINK("#'Table 201'!A1", " You said that your oldest school-age child has learnt about breaking down problems, finding patterns, critical thinking, and strategic planning. How much did they enjoy learning about this?")</f>
        <v xml:space="preserve"> You said that your oldest school-age child has learnt about breaking down problems, finding patterns, critical thinking, and strategic planning. How much did they enjoy learning about this?</v>
      </c>
      <c r="E209" s="21" t="str">
        <f>HYPERLINK("#'Full Results'!A1690", "1690")</f>
        <v>1690</v>
      </c>
      <c r="F209" t="s">
        <v>463</v>
      </c>
    </row>
    <row r="210" spans="3:6" x14ac:dyDescent="0.35">
      <c r="C210">
        <v>202</v>
      </c>
      <c r="D210" s="8" t="str">
        <f>HYPERLINK("#'Table 202'!A1", " When your oldest school-age child has been learning about breaking down problems, finding patterns, critical thinking, and strategic planning, which of the following comes closest to your view?")</f>
        <v xml:space="preserve"> When your oldest school-age child has been learning about breaking down problems, finding patterns, critical thinking, and strategic planning, which of the following comes closest to your view?</v>
      </c>
      <c r="E210" s="21" t="str">
        <f>HYPERLINK("#'Full Results'!A1698", "1698")</f>
        <v>1698</v>
      </c>
      <c r="F210" t="s">
        <v>463</v>
      </c>
    </row>
    <row r="211" spans="3:6" x14ac:dyDescent="0.35">
      <c r="C211">
        <v>203</v>
      </c>
      <c r="D211" s="8" t="str">
        <f>HYPERLINK("#'Table 203'!A1", " Do you think learning about breaking down problems, finding patterns, critical thinking, and strategic planning will be useful to your oldest school-age child when they leave school?")</f>
        <v xml:space="preserve"> Do you think learning about breaking down problems, finding patterns, critical thinking, and strategic planning will be useful to your oldest school-age child when they leave school?</v>
      </c>
      <c r="E211" s="21" t="str">
        <f>HYPERLINK("#'Full Results'!A1705", "1705")</f>
        <v>1705</v>
      </c>
      <c r="F211" t="s">
        <v>463</v>
      </c>
    </row>
    <row r="212" spans="3:6" x14ac:dyDescent="0.35">
      <c r="C212">
        <v>204</v>
      </c>
      <c r="D212" s="8" t="str">
        <f>HYPERLINK("#'Table 204'!A1", " If your oldest school-age child was struggling with their learning in breaking down problems, finding patterns, critical thinking, and strategic planning, how confident would you feel in your ability to help them?")</f>
        <v xml:space="preserve"> If your oldest school-age child was struggling with their learning in breaking down problems, finding patterns, critical thinking, and strategic planning, how confident would you feel in your ability to help them?</v>
      </c>
      <c r="E212" s="21" t="str">
        <f>HYPERLINK("#'Full Results'!A1713", "1713")</f>
        <v>1713</v>
      </c>
      <c r="F212" t="s">
        <v>463</v>
      </c>
    </row>
    <row r="213" spans="3:6" x14ac:dyDescent="0.35">
      <c r="C213">
        <v>205</v>
      </c>
      <c r="D213" s="8" t="str">
        <f>HYPERLINK("#'Table 205'!A1", " Thinking about your oldest school-age child, have they learned about budgeting, taxes, percentages, interest rates?")</f>
        <v xml:space="preserve"> Thinking about your oldest school-age child, have they learned about budgeting, taxes, percentages, interest rates?</v>
      </c>
      <c r="E213" s="21" t="str">
        <f>HYPERLINK("#'Full Results'!A1723", "1723")</f>
        <v>1723</v>
      </c>
      <c r="F213" t="s">
        <v>101</v>
      </c>
    </row>
    <row r="214" spans="3:6" x14ac:dyDescent="0.35">
      <c r="C214">
        <v>206</v>
      </c>
      <c r="D214" s="8" t="str">
        <f>HYPERLINK("#'Table 206'!A1", " You said that your oldest school-age child has learnt about budgeting, taxes, percentages, interest rates. How much time have they spent learning about this?")</f>
        <v xml:space="preserve"> You said that your oldest school-age child has learnt about budgeting, taxes, percentages, interest rates. How much time have they spent learning about this?</v>
      </c>
      <c r="E214" s="21" t="str">
        <f>HYPERLINK("#'Full Results'!A1729", "1729")</f>
        <v>1729</v>
      </c>
      <c r="F214" t="s">
        <v>463</v>
      </c>
    </row>
    <row r="215" spans="3:6" x14ac:dyDescent="0.35">
      <c r="C215">
        <v>207</v>
      </c>
      <c r="D215" s="8" t="str">
        <f>HYPERLINK("#'Table 207'!A1", " You said that your oldest school-age child has learnt about budgeting, taxes, percentages, interest rates. How confident are they in this topic?")</f>
        <v xml:space="preserve"> You said that your oldest school-age child has learnt about budgeting, taxes, percentages, interest rates. How confident are they in this topic?</v>
      </c>
      <c r="E215" s="21" t="str">
        <f>HYPERLINK("#'Full Results'!A1737", "1737")</f>
        <v>1737</v>
      </c>
      <c r="F215" t="s">
        <v>463</v>
      </c>
    </row>
    <row r="216" spans="3:6" x14ac:dyDescent="0.35">
      <c r="C216">
        <v>208</v>
      </c>
      <c r="D216" s="8" t="str">
        <f>HYPERLINK("#'Table 208'!A1", " You said that your oldest school-age child has learnt about budgeting, taxes, percentages, interest rates. How much did they enjoy learning about this?")</f>
        <v xml:space="preserve"> You said that your oldest school-age child has learnt about budgeting, taxes, percentages, interest rates. How much did they enjoy learning about this?</v>
      </c>
      <c r="E216" s="21" t="str">
        <f>HYPERLINK("#'Full Results'!A1747", "1747")</f>
        <v>1747</v>
      </c>
      <c r="F216" t="s">
        <v>463</v>
      </c>
    </row>
    <row r="217" spans="3:6" x14ac:dyDescent="0.35">
      <c r="C217">
        <v>209</v>
      </c>
      <c r="D217" s="8" t="str">
        <f>HYPERLINK("#'Table 209'!A1", " When your oldest school-age child has been learning about budgeting, taxes, percentages, interest rates, which of the following comes closest to your view?")</f>
        <v xml:space="preserve"> When your oldest school-age child has been learning about budgeting, taxes, percentages, interest rates, which of the following comes closest to your view?</v>
      </c>
      <c r="E217" s="21" t="str">
        <f>HYPERLINK("#'Full Results'!A1755", "1755")</f>
        <v>1755</v>
      </c>
      <c r="F217" t="s">
        <v>463</v>
      </c>
    </row>
    <row r="218" spans="3:6" x14ac:dyDescent="0.35">
      <c r="C218">
        <v>210</v>
      </c>
      <c r="D218" s="8" t="str">
        <f>HYPERLINK("#'Table 210'!A1", " Do you think learning about budgeting, taxes, percentages, interest rates will be useful to your oldest school-age child when they leave school?")</f>
        <v xml:space="preserve"> Do you think learning about budgeting, taxes, percentages, interest rates will be useful to your oldest school-age child when they leave school?</v>
      </c>
      <c r="E218" s="21" t="str">
        <f>HYPERLINK("#'Full Results'!A1762", "1762")</f>
        <v>1762</v>
      </c>
      <c r="F218" t="s">
        <v>463</v>
      </c>
    </row>
    <row r="219" spans="3:6" x14ac:dyDescent="0.35">
      <c r="C219">
        <v>211</v>
      </c>
      <c r="D219" s="8" t="str">
        <f>HYPERLINK("#'Table 211'!A1", " If your oldest school-age child was struggling with their learning in budgeting, taxes, percentages, interest rates, how confident would you feel in your ability to help them?")</f>
        <v xml:space="preserve"> If your oldest school-age child was struggling with their learning in budgeting, taxes, percentages, interest rates, how confident would you feel in your ability to help them?</v>
      </c>
      <c r="E219" s="21" t="str">
        <f>HYPERLINK("#'Full Results'!A1770", "1770")</f>
        <v>1770</v>
      </c>
      <c r="F219" t="s">
        <v>463</v>
      </c>
    </row>
    <row r="220" spans="3:6" x14ac:dyDescent="0.35">
      <c r="C220">
        <v>212</v>
      </c>
      <c r="D220" s="8" t="str">
        <f>HYPERLINK("#'Table 212'!A1", " Thinking about your oldest school-age child, have they learned about writing or adapting computer code to solve math-related problems?")</f>
        <v xml:space="preserve"> Thinking about your oldest school-age child, have they learned about writing or adapting computer code to solve math-related problems?</v>
      </c>
      <c r="E220" s="21" t="str">
        <f>HYPERLINK("#'Full Results'!A1780", "1780")</f>
        <v>1780</v>
      </c>
      <c r="F220" t="s">
        <v>101</v>
      </c>
    </row>
    <row r="221" spans="3:6" x14ac:dyDescent="0.35">
      <c r="C221">
        <v>213</v>
      </c>
      <c r="D221" s="8" t="str">
        <f>HYPERLINK("#'Table 213'!A1", " You said that your oldest school-age child has learnt about writing or adapting computer code to solve math-related problems. How much time have they spent learning about this?")</f>
        <v xml:space="preserve"> You said that your oldest school-age child has learnt about writing or adapting computer code to solve math-related problems. How much time have they spent learning about this?</v>
      </c>
      <c r="E221" s="21" t="str">
        <f>HYPERLINK("#'Full Results'!A1786", "1786")</f>
        <v>1786</v>
      </c>
      <c r="F221" t="s">
        <v>463</v>
      </c>
    </row>
    <row r="222" spans="3:6" x14ac:dyDescent="0.35">
      <c r="C222">
        <v>214</v>
      </c>
      <c r="D222" s="8" t="str">
        <f>HYPERLINK("#'Table 214'!A1", " You said that your oldest school-age child has learnt about writing or adapting computer code to solve math-related problems. How confident are they in this topic?")</f>
        <v xml:space="preserve"> You said that your oldest school-age child has learnt about writing or adapting computer code to solve math-related problems. How confident are they in this topic?</v>
      </c>
      <c r="E222" s="21" t="str">
        <f>HYPERLINK("#'Full Results'!A1794", "1794")</f>
        <v>1794</v>
      </c>
      <c r="F222" t="s">
        <v>463</v>
      </c>
    </row>
    <row r="223" spans="3:6" x14ac:dyDescent="0.35">
      <c r="C223">
        <v>215</v>
      </c>
      <c r="D223" s="8" t="str">
        <f>HYPERLINK("#'Table 215'!A1", " You said that your oldest school-age child has learnt about writing or adapting computer code to solve math-related problems. How much did they enjoy learning about this?")</f>
        <v xml:space="preserve"> You said that your oldest school-age child has learnt about writing or adapting computer code to solve math-related problems. How much did they enjoy learning about this?</v>
      </c>
      <c r="E223" s="21" t="str">
        <f>HYPERLINK("#'Full Results'!A1804", "1804")</f>
        <v>1804</v>
      </c>
      <c r="F223" t="s">
        <v>463</v>
      </c>
    </row>
    <row r="224" spans="3:6" x14ac:dyDescent="0.35">
      <c r="C224">
        <v>216</v>
      </c>
      <c r="D224" s="8" t="str">
        <f>HYPERLINK("#'Table 216'!A1", " When your oldest school-age child has been learning about writing or adapting computer code to solve math-related problems, which of the following comes closest to your view?")</f>
        <v xml:space="preserve"> When your oldest school-age child has been learning about writing or adapting computer code to solve math-related problems, which of the following comes closest to your view?</v>
      </c>
      <c r="E224" s="21" t="str">
        <f>HYPERLINK("#'Full Results'!A1812", "1812")</f>
        <v>1812</v>
      </c>
      <c r="F224" t="s">
        <v>463</v>
      </c>
    </row>
    <row r="225" spans="3:6" x14ac:dyDescent="0.35">
      <c r="C225">
        <v>217</v>
      </c>
      <c r="D225" s="8" t="str">
        <f>HYPERLINK("#'Table 217'!A1", " Do you think learning about writing or adapting computer code to solve math-related problems will be useful to your oldest school-age child when they leave school?")</f>
        <v xml:space="preserve"> Do you think learning about writing or adapting computer code to solve math-related problems will be useful to your oldest school-age child when they leave school?</v>
      </c>
      <c r="E225" s="21" t="str">
        <f>HYPERLINK("#'Full Results'!A1819", "1819")</f>
        <v>1819</v>
      </c>
      <c r="F225" t="s">
        <v>463</v>
      </c>
    </row>
    <row r="226" spans="3:6" x14ac:dyDescent="0.35">
      <c r="C226">
        <v>218</v>
      </c>
      <c r="D226" s="8" t="str">
        <f>HYPERLINK("#'Table 218'!A1", " If your oldest school-age child was struggling with their learning in writing or adapting computer code to solve math-related problems, how confident would you feel in your ability to help them?")</f>
        <v xml:space="preserve"> If your oldest school-age child was struggling with their learning in writing or adapting computer code to solve math-related problems, how confident would you feel in your ability to help them?</v>
      </c>
      <c r="E226" s="21" t="str">
        <f>HYPERLINK("#'Full Results'!A1827", "1827")</f>
        <v>1827</v>
      </c>
      <c r="F226" t="s">
        <v>463</v>
      </c>
    </row>
    <row r="227" spans="3:6" x14ac:dyDescent="0.35">
      <c r="C227">
        <v>219</v>
      </c>
      <c r="D227" s="8" t="str">
        <f>HYPERLINK("#'Table 219'!A1", "Grid Summary: To what extent do you agree or disagree with the following statements?  ")</f>
        <v>Grid Summary: To what extent do you agree or disagree with the following statements?  </v>
      </c>
      <c r="E227" s="7"/>
      <c r="F227" t="s">
        <v>118</v>
      </c>
    </row>
    <row r="228" spans="3:6" x14ac:dyDescent="0.35">
      <c r="C228">
        <v>220</v>
      </c>
      <c r="D228" s="8" t="str">
        <f>HYPERLINK("#'Table 220'!A1", "To what extent do you agree or disagree with the following statements?  : Maths is an important skill for my child to use in their everyday life")</f>
        <v>To what extent do you agree or disagree with the following statements?  : Maths is an important skill for my child to use in their everyday life</v>
      </c>
      <c r="E228" s="21" t="str">
        <f>HYPERLINK("#'Full Results'!A1837", "1837")</f>
        <v>1837</v>
      </c>
      <c r="F228" t="s">
        <v>118</v>
      </c>
    </row>
    <row r="229" spans="3:6" x14ac:dyDescent="0.35">
      <c r="C229">
        <v>221</v>
      </c>
      <c r="D229" s="8" t="str">
        <f>HYPERLINK("#'Table 221'!A1", "To what extent do you agree or disagree with the following statements?  : Maths is an important skill for my child to use in their future career")</f>
        <v>To what extent do you agree or disagree with the following statements?  : Maths is an important skill for my child to use in their future career</v>
      </c>
      <c r="E229" s="21" t="str">
        <f>HYPERLINK("#'Full Results'!A1849", "1849")</f>
        <v>1849</v>
      </c>
      <c r="F229" t="s">
        <v>118</v>
      </c>
    </row>
    <row r="230" spans="3:6" x14ac:dyDescent="0.35">
      <c r="C230">
        <v>222</v>
      </c>
      <c r="D230" s="8" t="str">
        <f>HYPERLINK("#'Table 222'!A1", "To what extent do you agree or disagree with the following statements?  : Maths in school should teach more real-life skills, such as budgeting and taxes")</f>
        <v>To what extent do you agree or disagree with the following statements?  : Maths in school should teach more real-life skills, such as budgeting and taxes</v>
      </c>
      <c r="E230" s="21" t="str">
        <f>HYPERLINK("#'Full Results'!A1861", "1861")</f>
        <v>1861</v>
      </c>
      <c r="F230" t="s">
        <v>118</v>
      </c>
    </row>
    <row r="231" spans="3:6" x14ac:dyDescent="0.35">
      <c r="C231">
        <v>223</v>
      </c>
      <c r="D231" s="8" t="str">
        <f>HYPERLINK("#'Table 223'!A1", "To what extent do you agree or disagree with the following statements?  : Maths education is important in teaching broader skills like critical thinking, problem solving, and logic")</f>
        <v>To what extent do you agree or disagree with the following statements?  : Maths education is important in teaching broader skills like critical thinking, problem solving, and logic</v>
      </c>
      <c r="E231" s="21" t="str">
        <f>HYPERLINK("#'Full Results'!A1873", "1873")</f>
        <v>1873</v>
      </c>
      <c r="F231" t="s">
        <v>118</v>
      </c>
    </row>
    <row r="232" spans="3:6" x14ac:dyDescent="0.35">
      <c r="C232">
        <v>224</v>
      </c>
      <c r="D232" s="8" t="str">
        <f>HYPERLINK("#'Table 224'!A1", "To what extent do you agree or disagree with the following statements?  : Maths in schools should be focussed around problem solving, and allowing children to take the time to work out how to answer these problems")</f>
        <v>To what extent do you agree or disagree with the following statements?  : Maths in schools should be focussed around problem solving, and allowing children to take the time to work out how to answer these problems</v>
      </c>
      <c r="E232" s="21" t="str">
        <f>HYPERLINK("#'Full Results'!A1885", "1885")</f>
        <v>1885</v>
      </c>
      <c r="F232" t="s">
        <v>118</v>
      </c>
    </row>
    <row r="233" spans="3:6" x14ac:dyDescent="0.35">
      <c r="C233">
        <v>225</v>
      </c>
      <c r="D233" s="8" t="str">
        <f>HYPERLINK("#'Table 225'!A1", "To what extent do you agree or disagree with the following statements?  : Maths in school should teach cutting edge mathematical concepts so as to prepare children for life in a society which is more technology focussed")</f>
        <v>To what extent do you agree or disagree with the following statements?  : Maths in school should teach cutting edge mathematical concepts so as to prepare children for life in a society which is more technology focussed</v>
      </c>
      <c r="E233" s="21" t="str">
        <f>HYPERLINK("#'Full Results'!A1897", "1897")</f>
        <v>1897</v>
      </c>
      <c r="F233" t="s">
        <v>118</v>
      </c>
    </row>
    <row r="234" spans="3:6" x14ac:dyDescent="0.35">
      <c r="C234">
        <v>226</v>
      </c>
      <c r="D234" s="8" t="str">
        <f>HYPERLINK("#'Table 226'!A1", "To what extent do you agree or disagree with the following statements?  : My oldest child has enjoyed their maths education so far")</f>
        <v>To what extent do you agree or disagree with the following statements?  : My oldest child has enjoyed their maths education so far</v>
      </c>
      <c r="E234" s="21" t="str">
        <f>HYPERLINK("#'Full Results'!A1909", "1909")</f>
        <v>1909</v>
      </c>
      <c r="F234" t="s">
        <v>118</v>
      </c>
    </row>
    <row r="235" spans="3:6" x14ac:dyDescent="0.35">
      <c r="C235">
        <v>227</v>
      </c>
      <c r="D235" s="8" t="str">
        <f>HYPERLINK("#'Table 227'!A1", "Grid Summary: Which of the following comes closest to your view?  ")</f>
        <v>Grid Summary: Which of the following comes closest to your view?  </v>
      </c>
      <c r="E235" s="7"/>
      <c r="F235" t="s">
        <v>118</v>
      </c>
    </row>
    <row r="236" spans="3:6" x14ac:dyDescent="0.35">
      <c r="C236">
        <v>228</v>
      </c>
      <c r="D236" s="8" t="str">
        <f>HYPERLINK("#'Table 228'!A1", "Which of the following comes closest to your view?  : My child loves learning maths in school|My child hates learning maths in school")</f>
        <v>Which of the following comes closest to your view?  : My child loves learning maths in school|My child hates learning maths in school</v>
      </c>
      <c r="E236" s="21" t="str">
        <f>HYPERLINK("#'Full Results'!A1921", "1921")</f>
        <v>1921</v>
      </c>
      <c r="F236" t="s">
        <v>118</v>
      </c>
    </row>
    <row r="237" spans="3:6" x14ac:dyDescent="0.35">
      <c r="C237">
        <v>229</v>
      </c>
      <c r="D237" s="8" t="str">
        <f>HYPERLINK("#'Table 229'!A1", "Which of the following comes closest to your view?  : Maths is the most important skill for my child to learn in school|Maths is the least important skill for my child to learn in school")</f>
        <v>Which of the following comes closest to your view?  : Maths is the most important skill for my child to learn in school|Maths is the least important skill for my child to learn in school</v>
      </c>
      <c r="E237" s="21" t="str">
        <f>HYPERLINK("#'Full Results'!A1929", "1929")</f>
        <v>1929</v>
      </c>
      <c r="F237" t="s">
        <v>118</v>
      </c>
    </row>
    <row r="238" spans="3:6" x14ac:dyDescent="0.35">
      <c r="C238">
        <v>230</v>
      </c>
      <c r="D238" s="8" t="str">
        <f>HYPERLINK("#'Table 230'!A1", "Which of the following comes closest to your view?  : Ensuring my child has the right maths skills for work lies entirely with their future employer|Ensuring my child has the right maths skills for work lies entirely with the education system")</f>
        <v>Which of the following comes closest to your view?  : Ensuring my child has the right maths skills for work lies entirely with their future employer|Ensuring my child has the right maths skills for work lies entirely with the education system</v>
      </c>
      <c r="E238" s="21" t="str">
        <f>HYPERLINK("#'Full Results'!A1937", "1937")</f>
        <v>1937</v>
      </c>
      <c r="F238" t="s">
        <v>118</v>
      </c>
    </row>
    <row r="239" spans="3:6" x14ac:dyDescent="0.35">
      <c r="C239">
        <v>231</v>
      </c>
      <c r="D239" s="8" t="str">
        <f>HYPERLINK("#'Table 231'!A1", " Do you think your oldest child will want to have a job in the future that requires a lot of maths?")</f>
        <v xml:space="preserve"> Do you think your oldest child will want to have a job in the future that requires a lot of maths?</v>
      </c>
      <c r="E239" s="21" t="str">
        <f>HYPERLINK("#'Full Results'!A1945", "1945")</f>
        <v>1945</v>
      </c>
      <c r="F239" t="s">
        <v>118</v>
      </c>
    </row>
    <row r="240" spans="3:6" x14ac:dyDescent="0.35">
      <c r="C240">
        <v>232</v>
      </c>
      <c r="D240" s="8" t="str">
        <f>HYPERLINK("#'Table 232'!A1", " Would you say that the maths your oldest child has covered in secondary school has repeated things they learned in primary school, or is it covering new things?  ")</f>
        <v xml:space="preserve"> Would you say that the maths your oldest child has covered in secondary school has repeated things they learned in primary school, or is it covering new things?  </v>
      </c>
      <c r="E240" s="21" t="str">
        <f>HYPERLINK("#'Full Results'!A1953", "1953")</f>
        <v>1953</v>
      </c>
      <c r="F240" t="s">
        <v>101</v>
      </c>
    </row>
    <row r="241" spans="3:6" x14ac:dyDescent="0.35">
      <c r="C241">
        <v>233</v>
      </c>
      <c r="D241" s="8" t="str">
        <f>HYPERLINK("#'Table 233'!A1", " In your view, how would you compare your oldest school-age child’s mathematical skills to the rest of their year group?")</f>
        <v xml:space="preserve"> In your view, how would you compare your oldest school-age child’s mathematical skills to the rest of their year group?</v>
      </c>
      <c r="E241" s="21" t="str">
        <f>HYPERLINK("#'Full Results'!A1960", "1960")</f>
        <v>1960</v>
      </c>
      <c r="F241" t="s">
        <v>118</v>
      </c>
    </row>
    <row r="242" spans="3:6" x14ac:dyDescent="0.35">
      <c r="C242">
        <v>234</v>
      </c>
      <c r="D242" s="8" t="str">
        <f>HYPERLINK("#'Table 234'!A1", " How confident are you that if your oldest school-age child does not learn the maths skills they need in school, they will be able to learn it later on in life?")</f>
        <v xml:space="preserve"> How confident are you that if your oldest school-age child does not learn the maths skills they need in school, they will be able to learn it later on in life?</v>
      </c>
      <c r="E242" s="21" t="str">
        <f>HYPERLINK("#'Full Results'!A1969", "1969")</f>
        <v>1969</v>
      </c>
      <c r="F242" t="s">
        <v>118</v>
      </c>
    </row>
    <row r="243" spans="3:6" x14ac:dyDescent="0.35">
      <c r="C243">
        <v>235</v>
      </c>
      <c r="D243" s="8" t="str">
        <f>HYPERLINK("#'Table 235'!A1", " Which of the following comes closest to your view?")</f>
        <v xml:space="preserve"> Which of the following comes closest to your view?</v>
      </c>
      <c r="E243" s="21" t="str">
        <f>HYPERLINK("#'Full Results'!A1979", "1979")</f>
        <v>1979</v>
      </c>
      <c r="F243" t="s">
        <v>118</v>
      </c>
    </row>
    <row r="244" spans="3:6" x14ac:dyDescent="0.35">
      <c r="C244">
        <v>236</v>
      </c>
      <c r="D244" s="8" t="str">
        <f>HYPERLINK("#'Table 236'!A1", " In your view, how has the importance of maths as a skill that your child needs to learn changed in the last 2 years, if at all?")</f>
        <v xml:space="preserve"> In your view, how has the importance of maths as a skill that your child needs to learn changed in the last 2 years, if at all?</v>
      </c>
      <c r="E244" s="21" t="str">
        <f>HYPERLINK("#'Full Results'!A1986", "1986")</f>
        <v>1986</v>
      </c>
      <c r="F244" t="s">
        <v>118</v>
      </c>
    </row>
    <row r="245" spans="3:6" x14ac:dyDescent="0.35">
      <c r="C245">
        <v>237</v>
      </c>
      <c r="D245" s="8" t="str">
        <f>HYPERLINK("#'Table 237'!A1", " Which of the following comes closest to your view?")</f>
        <v xml:space="preserve"> Which of the following comes closest to your view?</v>
      </c>
      <c r="E245" s="21" t="str">
        <f>HYPERLINK("#'Full Results'!A1995", "1995")</f>
        <v>1995</v>
      </c>
      <c r="F245" t="s">
        <v>118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A1920"/>
  <sheetViews>
    <sheetView showGridLines="0" zoomScaleNormal="100" workbookViewId="0">
      <pane xSplit="2" ySplit="8" topLeftCell="D1736" activePane="bottomRight" state="frozen"/>
      <selection pane="topRight"/>
      <selection pane="bottomLeft"/>
      <selection pane="bottomRight" activeCell="B1802" sqref="B1802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1" t="s">
        <v>462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13"/>
      <c r="C5" s="13"/>
      <c r="D5" s="34" t="s">
        <v>57</v>
      </c>
      <c r="E5" s="34"/>
      <c r="F5" s="13"/>
      <c r="G5" s="34" t="s">
        <v>58</v>
      </c>
      <c r="H5" s="34"/>
      <c r="I5" s="34"/>
      <c r="J5" s="34"/>
      <c r="K5" s="34"/>
      <c r="L5" s="34"/>
      <c r="M5" s="13"/>
      <c r="N5" s="34" t="s">
        <v>59</v>
      </c>
      <c r="O5" s="34"/>
      <c r="P5" s="34"/>
      <c r="Q5" s="34"/>
      <c r="R5" s="13"/>
      <c r="S5" s="34" t="s">
        <v>60</v>
      </c>
      <c r="T5" s="34"/>
      <c r="U5" s="34"/>
      <c r="V5" s="34"/>
      <c r="W5" s="34"/>
      <c r="X5" s="34"/>
      <c r="Y5" s="34"/>
      <c r="Z5" s="34"/>
      <c r="AA5" s="34"/>
      <c r="AB5" s="13"/>
      <c r="AC5" s="34" t="s">
        <v>61</v>
      </c>
      <c r="AD5" s="34"/>
      <c r="AE5" s="34"/>
      <c r="AF5" s="34"/>
      <c r="AG5" s="34"/>
      <c r="AH5" s="13"/>
      <c r="AI5" s="34" t="s">
        <v>62</v>
      </c>
      <c r="AJ5" s="34"/>
      <c r="AK5" s="34"/>
      <c r="AL5" s="34"/>
      <c r="AM5" s="34"/>
      <c r="AN5" s="34"/>
      <c r="AO5" s="13"/>
      <c r="AP5" s="34" t="s">
        <v>63</v>
      </c>
      <c r="AQ5" s="34"/>
      <c r="AR5" s="13"/>
      <c r="AS5" s="34" t="s">
        <v>64</v>
      </c>
      <c r="AT5" s="34"/>
      <c r="AU5" s="34"/>
      <c r="AV5" s="13"/>
      <c r="AW5" s="34" t="s">
        <v>65</v>
      </c>
      <c r="AX5" s="34"/>
      <c r="AY5" s="13"/>
      <c r="AZ5" s="34" t="s">
        <v>66</v>
      </c>
      <c r="BA5" s="34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2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2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11" spans="2:53" x14ac:dyDescent="0.35">
      <c r="B11" s="6" t="s">
        <v>89</v>
      </c>
    </row>
    <row r="12" spans="2:53" x14ac:dyDescent="0.35">
      <c r="B12" s="24" t="s">
        <v>86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</row>
    <row r="13" spans="2:53" x14ac:dyDescent="0.35">
      <c r="B13" t="s">
        <v>76</v>
      </c>
      <c r="C13" s="14">
        <v>0.84466260005014204</v>
      </c>
      <c r="D13" s="14">
        <v>0.87841071423136796</v>
      </c>
      <c r="E13" s="14">
        <v>0.81024640825524696</v>
      </c>
      <c r="F13" s="14"/>
      <c r="G13" s="14">
        <v>1</v>
      </c>
      <c r="H13" s="14">
        <v>0.77651382593721996</v>
      </c>
      <c r="I13" s="14">
        <v>0.86697045958848196</v>
      </c>
      <c r="J13" s="14">
        <v>0.87379643357377101</v>
      </c>
      <c r="K13" s="14">
        <v>0.92275512917831803</v>
      </c>
      <c r="L13" s="14">
        <v>0.34819201228478702</v>
      </c>
      <c r="M13" s="14"/>
      <c r="N13" s="14">
        <v>0.89923886280931298</v>
      </c>
      <c r="O13" s="14">
        <v>0.86190276791868603</v>
      </c>
      <c r="P13" s="14">
        <v>0.76168916806811504</v>
      </c>
      <c r="Q13" s="14">
        <v>0.83926986767904099</v>
      </c>
      <c r="R13" s="14"/>
      <c r="S13" s="14">
        <v>0.840895763054477</v>
      </c>
      <c r="T13" s="14">
        <v>0.83032641787366901</v>
      </c>
      <c r="U13" s="14">
        <v>0.92165543652366999</v>
      </c>
      <c r="V13" s="14">
        <v>0.86239579258611399</v>
      </c>
      <c r="W13" s="14">
        <v>0.87171543281598696</v>
      </c>
      <c r="X13" s="14">
        <v>0.84733809458760401</v>
      </c>
      <c r="Y13" s="14">
        <v>0.79583212014723803</v>
      </c>
      <c r="Z13" s="14">
        <v>0.82118456151066699</v>
      </c>
      <c r="AA13" s="14">
        <v>0.81714836429986804</v>
      </c>
      <c r="AB13" s="14"/>
      <c r="AC13" s="14">
        <v>0.84062782089851595</v>
      </c>
      <c r="AD13" s="14">
        <v>0.79944864542716199</v>
      </c>
      <c r="AE13" s="14">
        <v>0.89019485297495804</v>
      </c>
      <c r="AF13" s="14">
        <v>0.88106072137304503</v>
      </c>
      <c r="AG13" s="14">
        <v>0.78602749212313205</v>
      </c>
      <c r="AH13" s="14"/>
      <c r="AI13" s="14">
        <v>0.87516753990555296</v>
      </c>
      <c r="AJ13" s="14">
        <v>0.81634999321863</v>
      </c>
      <c r="AK13" s="14">
        <v>0.85702057955182598</v>
      </c>
      <c r="AL13" s="14">
        <v>0.78774825425984896</v>
      </c>
      <c r="AM13" s="14">
        <v>0.80048381254035605</v>
      </c>
      <c r="AN13" s="14">
        <v>0.88045614852170695</v>
      </c>
      <c r="AO13" s="14"/>
      <c r="AP13" s="14">
        <v>0.84449039771475698</v>
      </c>
      <c r="AQ13" s="14">
        <v>0.84485071732704597</v>
      </c>
      <c r="AR13" s="14"/>
      <c r="AS13" s="14">
        <v>0.86374703760377702</v>
      </c>
      <c r="AT13" s="14">
        <v>0.82729239125383303</v>
      </c>
      <c r="AU13" s="14" t="s">
        <v>88</v>
      </c>
      <c r="AV13" s="14"/>
      <c r="AW13" s="14">
        <v>0.85530191215692097</v>
      </c>
      <c r="AX13" s="14">
        <v>0.82963985360249104</v>
      </c>
      <c r="AY13" s="14"/>
      <c r="AZ13" s="14">
        <v>0.86132261305775504</v>
      </c>
      <c r="BA13" s="14">
        <v>0.80486048663959198</v>
      </c>
    </row>
    <row r="14" spans="2:53" x14ac:dyDescent="0.35">
      <c r="B14" t="s">
        <v>77</v>
      </c>
      <c r="C14" s="14">
        <v>0.133769834447448</v>
      </c>
      <c r="D14" s="14">
        <v>0.100756506539516</v>
      </c>
      <c r="E14" s="14">
        <v>0.16743669414117299</v>
      </c>
      <c r="F14" s="14"/>
      <c r="G14" s="14">
        <v>0</v>
      </c>
      <c r="H14" s="14">
        <v>0.176541520459846</v>
      </c>
      <c r="I14" s="14">
        <v>0.11966683518426</v>
      </c>
      <c r="J14" s="14">
        <v>0.113985359792229</v>
      </c>
      <c r="K14" s="14">
        <v>7.7244870821682105E-2</v>
      </c>
      <c r="L14" s="14">
        <v>0.65180798771521298</v>
      </c>
      <c r="M14" s="14"/>
      <c r="N14" s="14">
        <v>9.5146158395207903E-2</v>
      </c>
      <c r="O14" s="14">
        <v>0.109131408103137</v>
      </c>
      <c r="P14" s="14">
        <v>0.184216479386551</v>
      </c>
      <c r="Q14" s="14">
        <v>0.155778810275264</v>
      </c>
      <c r="R14" s="14"/>
      <c r="S14" s="14">
        <v>0.14406450174708599</v>
      </c>
      <c r="T14" s="14">
        <v>0.15980998091867199</v>
      </c>
      <c r="U14" s="14">
        <v>5.8934321773832898E-2</v>
      </c>
      <c r="V14" s="14">
        <v>9.3251699350483302E-2</v>
      </c>
      <c r="W14" s="14">
        <v>0.11290376274981</v>
      </c>
      <c r="X14" s="14">
        <v>7.5698026599700693E-2</v>
      </c>
      <c r="Y14" s="14">
        <v>0.196325740127199</v>
      </c>
      <c r="Z14" s="14">
        <v>0.17881543848933301</v>
      </c>
      <c r="AA14" s="14">
        <v>0.17445223572449001</v>
      </c>
      <c r="AB14" s="14"/>
      <c r="AC14" s="14">
        <v>0.143799275704344</v>
      </c>
      <c r="AD14" s="14">
        <v>0.16557680690541501</v>
      </c>
      <c r="AE14" s="14">
        <v>9.2223781250878295E-2</v>
      </c>
      <c r="AF14" s="14">
        <v>0.113239186291095</v>
      </c>
      <c r="AG14" s="14">
        <v>0.19839117288415301</v>
      </c>
      <c r="AH14" s="14"/>
      <c r="AI14" s="14">
        <v>0.103831929511926</v>
      </c>
      <c r="AJ14" s="14">
        <v>0.166827807253347</v>
      </c>
      <c r="AK14" s="14">
        <v>0.11383343394263901</v>
      </c>
      <c r="AL14" s="14">
        <v>0.175174780449454</v>
      </c>
      <c r="AM14" s="14">
        <v>0.199516187459644</v>
      </c>
      <c r="AN14" s="14">
        <v>0.106789504093319</v>
      </c>
      <c r="AO14" s="14"/>
      <c r="AP14" s="14">
        <v>0.13407948765458499</v>
      </c>
      <c r="AQ14" s="14">
        <v>0.13343156308788101</v>
      </c>
      <c r="AR14" s="14"/>
      <c r="AS14" s="14">
        <v>0.113827893772445</v>
      </c>
      <c r="AT14" s="14">
        <v>0.151920522533219</v>
      </c>
      <c r="AU14" s="14" t="s">
        <v>88</v>
      </c>
      <c r="AV14" s="14"/>
      <c r="AW14" s="14">
        <v>0.12924942222926</v>
      </c>
      <c r="AX14" s="14">
        <v>0.14509933834823999</v>
      </c>
      <c r="AY14" s="14"/>
      <c r="AZ14" s="14">
        <v>0.11652279819872</v>
      </c>
      <c r="BA14" s="14">
        <v>0.191495479032047</v>
      </c>
    </row>
    <row r="15" spans="2:53" x14ac:dyDescent="0.35">
      <c r="B15" t="s">
        <v>78</v>
      </c>
      <c r="C15" s="14">
        <v>1.07065014393411E-2</v>
      </c>
      <c r="D15" s="14">
        <v>8.1976786600535204E-3</v>
      </c>
      <c r="E15" s="14">
        <v>1.3264988870303999E-2</v>
      </c>
      <c r="F15" s="14"/>
      <c r="G15" s="14">
        <v>0</v>
      </c>
      <c r="H15" s="14">
        <v>2.2709049963986601E-2</v>
      </c>
      <c r="I15" s="14">
        <v>8.7443276948324499E-3</v>
      </c>
      <c r="J15" s="14">
        <v>0</v>
      </c>
      <c r="K15" s="14">
        <v>0</v>
      </c>
      <c r="L15" s="14">
        <v>0</v>
      </c>
      <c r="M15" s="14"/>
      <c r="N15" s="14">
        <v>1.6977030762250699E-3</v>
      </c>
      <c r="O15" s="14">
        <v>1.6824254259030599E-2</v>
      </c>
      <c r="P15" s="14">
        <v>2.14176376100303E-2</v>
      </c>
      <c r="Q15" s="14">
        <v>4.9513220456954901E-3</v>
      </c>
      <c r="R15" s="14"/>
      <c r="S15" s="14">
        <v>2.5147381672493102E-3</v>
      </c>
      <c r="T15" s="14">
        <v>0</v>
      </c>
      <c r="U15" s="14">
        <v>1.9410241702497302E-2</v>
      </c>
      <c r="V15" s="14">
        <v>0</v>
      </c>
      <c r="W15" s="14">
        <v>1.5380804434203499E-2</v>
      </c>
      <c r="X15" s="14">
        <v>6.1184817645277903E-2</v>
      </c>
      <c r="Y15" s="14">
        <v>0</v>
      </c>
      <c r="Z15" s="14">
        <v>0</v>
      </c>
      <c r="AA15" s="14">
        <v>8.3993999756419094E-3</v>
      </c>
      <c r="AB15" s="14"/>
      <c r="AC15" s="14">
        <v>1.5572903397140901E-2</v>
      </c>
      <c r="AD15" s="14">
        <v>1.34802267329645E-2</v>
      </c>
      <c r="AE15" s="14">
        <v>1.23258471374992E-2</v>
      </c>
      <c r="AF15" s="14">
        <v>0</v>
      </c>
      <c r="AG15" s="14">
        <v>1.55813349927148E-2</v>
      </c>
      <c r="AH15" s="14"/>
      <c r="AI15" s="14">
        <v>1.5694063439308001E-2</v>
      </c>
      <c r="AJ15" s="14">
        <v>0</v>
      </c>
      <c r="AK15" s="14">
        <v>2.91459865055347E-2</v>
      </c>
      <c r="AL15" s="14">
        <v>1.1432267575683899E-2</v>
      </c>
      <c r="AM15" s="14">
        <v>0</v>
      </c>
      <c r="AN15" s="14">
        <v>1.2754347384974401E-2</v>
      </c>
      <c r="AO15" s="14"/>
      <c r="AP15" s="14">
        <v>9.7235671665364103E-3</v>
      </c>
      <c r="AQ15" s="14">
        <v>1.1780278507246E-2</v>
      </c>
      <c r="AR15" s="14"/>
      <c r="AS15" s="14">
        <v>7.9155167592279401E-3</v>
      </c>
      <c r="AT15" s="14">
        <v>1.3246790431595599E-2</v>
      </c>
      <c r="AU15" s="14" t="s">
        <v>88</v>
      </c>
      <c r="AV15" s="14"/>
      <c r="AW15" s="14">
        <v>1.1832326900516501E-2</v>
      </c>
      <c r="AX15" s="14">
        <v>8.6322695294459295E-3</v>
      </c>
      <c r="AY15" s="14"/>
      <c r="AZ15" s="14">
        <v>1.35579171614177E-2</v>
      </c>
      <c r="BA15" s="14">
        <v>0</v>
      </c>
    </row>
    <row r="16" spans="2:53" x14ac:dyDescent="0.35">
      <c r="B16" t="s">
        <v>79</v>
      </c>
      <c r="C16" s="14">
        <v>7.4289252774678302E-3</v>
      </c>
      <c r="D16" s="14">
        <v>5.83744672843852E-3</v>
      </c>
      <c r="E16" s="14">
        <v>9.0519087332759703E-3</v>
      </c>
      <c r="F16" s="14"/>
      <c r="G16" s="14">
        <v>0</v>
      </c>
      <c r="H16" s="14">
        <v>1.85603152429041E-2</v>
      </c>
      <c r="I16" s="14">
        <v>4.6183775324246798E-3</v>
      </c>
      <c r="J16" s="14">
        <v>0</v>
      </c>
      <c r="K16" s="14">
        <v>0</v>
      </c>
      <c r="L16" s="14">
        <v>0</v>
      </c>
      <c r="M16" s="14"/>
      <c r="N16" s="14">
        <v>3.9172757192535903E-3</v>
      </c>
      <c r="O16" s="14">
        <v>0</v>
      </c>
      <c r="P16" s="14">
        <v>3.2676714935303899E-2</v>
      </c>
      <c r="Q16" s="14">
        <v>0</v>
      </c>
      <c r="R16" s="14"/>
      <c r="S16" s="14">
        <v>1.53745160554399E-3</v>
      </c>
      <c r="T16" s="14">
        <v>9.8636012076583693E-3</v>
      </c>
      <c r="U16" s="14">
        <v>0</v>
      </c>
      <c r="V16" s="14">
        <v>4.4352508063402601E-2</v>
      </c>
      <c r="W16" s="14">
        <v>0</v>
      </c>
      <c r="X16" s="14">
        <v>0</v>
      </c>
      <c r="Y16" s="14">
        <v>7.8421397255627207E-3</v>
      </c>
      <c r="Z16" s="14">
        <v>0</v>
      </c>
      <c r="AA16" s="14">
        <v>0</v>
      </c>
      <c r="AB16" s="14"/>
      <c r="AC16" s="14">
        <v>0</v>
      </c>
      <c r="AD16" s="14">
        <v>2.14943209344583E-2</v>
      </c>
      <c r="AE16" s="14">
        <v>5.2555186366647702E-3</v>
      </c>
      <c r="AF16" s="14">
        <v>5.7000923358602098E-3</v>
      </c>
      <c r="AG16" s="14">
        <v>0</v>
      </c>
      <c r="AH16" s="14"/>
      <c r="AI16" s="14">
        <v>5.3064671432131796E-3</v>
      </c>
      <c r="AJ16" s="14">
        <v>1.6822199528022701E-2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5.1326328460634197E-3</v>
      </c>
      <c r="AQ16" s="14">
        <v>9.9374410778271995E-3</v>
      </c>
      <c r="AR16" s="14"/>
      <c r="AS16" s="14">
        <v>1.052478432022E-2</v>
      </c>
      <c r="AT16" s="14">
        <v>4.6111467694339202E-3</v>
      </c>
      <c r="AU16" s="14" t="s">
        <v>88</v>
      </c>
      <c r="AV16" s="14"/>
      <c r="AW16" s="14">
        <v>3.61633871330256E-3</v>
      </c>
      <c r="AX16" s="14">
        <v>1.6628538519823301E-2</v>
      </c>
      <c r="AY16" s="14"/>
      <c r="AZ16" s="14">
        <v>6.1923058081930103E-3</v>
      </c>
      <c r="BA16" s="14">
        <v>3.6440343283611499E-3</v>
      </c>
    </row>
    <row r="17" spans="2:53" x14ac:dyDescent="0.35">
      <c r="B17" t="s">
        <v>80</v>
      </c>
      <c r="C17" s="14">
        <v>3.43213878560099E-3</v>
      </c>
      <c r="D17" s="14">
        <v>6.7976538406239297E-3</v>
      </c>
      <c r="E17" s="14">
        <v>0</v>
      </c>
      <c r="F17" s="14"/>
      <c r="G17" s="14">
        <v>0</v>
      </c>
      <c r="H17" s="14">
        <v>5.67528839604325E-3</v>
      </c>
      <c r="I17" s="14">
        <v>0</v>
      </c>
      <c r="J17" s="14">
        <v>1.22182066340001E-2</v>
      </c>
      <c r="K17" s="14">
        <v>0</v>
      </c>
      <c r="L17" s="14">
        <v>0</v>
      </c>
      <c r="M17" s="14"/>
      <c r="N17" s="14">
        <v>0</v>
      </c>
      <c r="O17" s="14">
        <v>1.21415697191464E-2</v>
      </c>
      <c r="P17" s="14">
        <v>0</v>
      </c>
      <c r="Q17" s="14">
        <v>0</v>
      </c>
      <c r="R17" s="14"/>
      <c r="S17" s="14">
        <v>1.09875454256444E-2</v>
      </c>
      <c r="T17" s="14">
        <v>0</v>
      </c>
      <c r="U17" s="14">
        <v>0</v>
      </c>
      <c r="V17" s="14">
        <v>0</v>
      </c>
      <c r="W17" s="14">
        <v>0</v>
      </c>
      <c r="X17" s="14">
        <v>1.5779061167417199E-2</v>
      </c>
      <c r="Y17" s="14">
        <v>0</v>
      </c>
      <c r="Z17" s="14">
        <v>0</v>
      </c>
      <c r="AA17" s="14">
        <v>0</v>
      </c>
      <c r="AB17" s="14"/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/>
      <c r="AI17" s="14">
        <v>0</v>
      </c>
      <c r="AJ17" s="14">
        <v>0</v>
      </c>
      <c r="AK17" s="14">
        <v>0</v>
      </c>
      <c r="AL17" s="14">
        <v>2.5644697715013001E-2</v>
      </c>
      <c r="AM17" s="14">
        <v>0</v>
      </c>
      <c r="AN17" s="14">
        <v>0</v>
      </c>
      <c r="AO17" s="14"/>
      <c r="AP17" s="14">
        <v>6.57391461805777E-3</v>
      </c>
      <c r="AQ17" s="14">
        <v>0</v>
      </c>
      <c r="AR17" s="14"/>
      <c r="AS17" s="14">
        <v>3.9847675443296501E-3</v>
      </c>
      <c r="AT17" s="14">
        <v>2.9291490119184201E-3</v>
      </c>
      <c r="AU17" s="14" t="s">
        <v>88</v>
      </c>
      <c r="AV17" s="14"/>
      <c r="AW17" s="14">
        <v>0</v>
      </c>
      <c r="AX17" s="14">
        <v>0</v>
      </c>
      <c r="AY17" s="14"/>
      <c r="AZ17" s="14">
        <v>2.40436577391386E-3</v>
      </c>
      <c r="BA17" s="14">
        <v>0</v>
      </c>
    </row>
    <row r="18" spans="2:53" x14ac:dyDescent="0.35">
      <c r="B18" t="s">
        <v>81</v>
      </c>
      <c r="C18" s="14">
        <v>0.97843243449758999</v>
      </c>
      <c r="D18" s="14">
        <v>0.97916722077088403</v>
      </c>
      <c r="E18" s="14">
        <v>0.97768310239641998</v>
      </c>
      <c r="F18" s="14"/>
      <c r="G18" s="14">
        <v>1</v>
      </c>
      <c r="H18" s="14">
        <v>0.95305534639706602</v>
      </c>
      <c r="I18" s="14">
        <v>0.98663729477274298</v>
      </c>
      <c r="J18" s="14">
        <v>0.98778179336600003</v>
      </c>
      <c r="K18" s="14">
        <v>1</v>
      </c>
      <c r="L18" s="14">
        <v>1</v>
      </c>
      <c r="M18" s="14"/>
      <c r="N18" s="14">
        <v>0.99438502120452099</v>
      </c>
      <c r="O18" s="14">
        <v>0.97103417602182296</v>
      </c>
      <c r="P18" s="14">
        <v>0.94590564745466599</v>
      </c>
      <c r="Q18" s="14">
        <v>0.99504867795430396</v>
      </c>
      <c r="R18" s="14"/>
      <c r="S18" s="14">
        <v>0.98496026480156196</v>
      </c>
      <c r="T18" s="14">
        <v>0.99013639879234205</v>
      </c>
      <c r="U18" s="14">
        <v>0.98058975829750294</v>
      </c>
      <c r="V18" s="14">
        <v>0.95564749193659704</v>
      </c>
      <c r="W18" s="14">
        <v>0.98461919556579602</v>
      </c>
      <c r="X18" s="14">
        <v>0.92303612118730505</v>
      </c>
      <c r="Y18" s="14">
        <v>0.99215786027443698</v>
      </c>
      <c r="Z18" s="14">
        <v>1</v>
      </c>
      <c r="AA18" s="14">
        <v>0.99160060002435801</v>
      </c>
      <c r="AB18" s="14"/>
      <c r="AC18" s="14">
        <v>0.98442709660285899</v>
      </c>
      <c r="AD18" s="14">
        <v>0.96502545233257697</v>
      </c>
      <c r="AE18" s="14">
        <v>0.98241863422583597</v>
      </c>
      <c r="AF18" s="14">
        <v>0.99429990766414</v>
      </c>
      <c r="AG18" s="14">
        <v>0.98441866500728503</v>
      </c>
      <c r="AH18" s="14"/>
      <c r="AI18" s="14">
        <v>0.97899946941747895</v>
      </c>
      <c r="AJ18" s="14">
        <v>0.983177800471977</v>
      </c>
      <c r="AK18" s="14">
        <v>0.97085401349446498</v>
      </c>
      <c r="AL18" s="14">
        <v>0.96292303470930296</v>
      </c>
      <c r="AM18" s="14">
        <v>1</v>
      </c>
      <c r="AN18" s="14">
        <v>0.98724565261502595</v>
      </c>
      <c r="AO18" s="14"/>
      <c r="AP18" s="14">
        <v>0.97856988536934197</v>
      </c>
      <c r="AQ18" s="14">
        <v>0.97828228041492704</v>
      </c>
      <c r="AR18" s="14"/>
      <c r="AS18" s="14">
        <v>0.97757493137622298</v>
      </c>
      <c r="AT18" s="14">
        <v>0.979212913787052</v>
      </c>
      <c r="AU18" s="14" t="s">
        <v>88</v>
      </c>
      <c r="AV18" s="14"/>
      <c r="AW18" s="14">
        <v>0.98455133438618103</v>
      </c>
      <c r="AX18" s="14">
        <v>0.974739191950731</v>
      </c>
      <c r="AY18" s="14"/>
      <c r="AZ18" s="14">
        <v>0.97784541125647495</v>
      </c>
      <c r="BA18" s="14">
        <v>0.99635596567163898</v>
      </c>
    </row>
    <row r="19" spans="2:53" x14ac:dyDescent="0.35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2:53" x14ac:dyDescent="0.35">
      <c r="B20" s="6" t="s">
        <v>90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2:53" x14ac:dyDescent="0.35">
      <c r="B21" s="24" t="s">
        <v>86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2:53" x14ac:dyDescent="0.35">
      <c r="B22" t="s">
        <v>76</v>
      </c>
      <c r="C22" s="14">
        <v>0.85563367837470405</v>
      </c>
      <c r="D22" s="14">
        <v>0.87104953586539702</v>
      </c>
      <c r="E22" s="14">
        <v>0.83991264859409598</v>
      </c>
      <c r="F22" s="14"/>
      <c r="G22" s="14">
        <v>0.75573259685097505</v>
      </c>
      <c r="H22" s="14">
        <v>0.835206603393297</v>
      </c>
      <c r="I22" s="14">
        <v>0.83679107494055505</v>
      </c>
      <c r="J22" s="14">
        <v>0.94459939210949495</v>
      </c>
      <c r="K22" s="14">
        <v>0.91045220151824302</v>
      </c>
      <c r="L22" s="14">
        <v>1</v>
      </c>
      <c r="M22" s="14"/>
      <c r="N22" s="14">
        <v>0.89047681871825302</v>
      </c>
      <c r="O22" s="14">
        <v>0.88191579696505196</v>
      </c>
      <c r="P22" s="14">
        <v>0.772644131341921</v>
      </c>
      <c r="Q22" s="14">
        <v>0.85978062939634603</v>
      </c>
      <c r="R22" s="14"/>
      <c r="S22" s="14">
        <v>0.90018658309507205</v>
      </c>
      <c r="T22" s="14">
        <v>0.86255827051304201</v>
      </c>
      <c r="U22" s="14">
        <v>0.85561694848748004</v>
      </c>
      <c r="V22" s="14">
        <v>0.81384743178532004</v>
      </c>
      <c r="W22" s="14">
        <v>0.91418634212852801</v>
      </c>
      <c r="X22" s="14">
        <v>0.77590610883404798</v>
      </c>
      <c r="Y22" s="14">
        <v>0.87927237219309795</v>
      </c>
      <c r="Z22" s="14">
        <v>0.81567347271419999</v>
      </c>
      <c r="AA22" s="14">
        <v>0.84365789117117496</v>
      </c>
      <c r="AB22" s="14"/>
      <c r="AC22" s="14">
        <v>0.83967854607463199</v>
      </c>
      <c r="AD22" s="14">
        <v>0.85597667496336705</v>
      </c>
      <c r="AE22" s="14">
        <v>0.87560909196299497</v>
      </c>
      <c r="AF22" s="14">
        <v>0.85268781948222605</v>
      </c>
      <c r="AG22" s="14">
        <v>0.92396115027551196</v>
      </c>
      <c r="AH22" s="14"/>
      <c r="AI22" s="14">
        <v>0.88948405411425402</v>
      </c>
      <c r="AJ22" s="14">
        <v>0.83644712503884</v>
      </c>
      <c r="AK22" s="14">
        <v>0.77980427582163803</v>
      </c>
      <c r="AL22" s="14">
        <v>0.80651933295399203</v>
      </c>
      <c r="AM22" s="14">
        <v>0.85526537734845498</v>
      </c>
      <c r="AN22" s="14">
        <v>0.87689480455822699</v>
      </c>
      <c r="AO22" s="14"/>
      <c r="AP22" s="14">
        <v>0.86726957080865696</v>
      </c>
      <c r="AQ22" s="14">
        <v>0.84292239664827295</v>
      </c>
      <c r="AR22" s="14"/>
      <c r="AS22" s="14">
        <v>0.87199335732281102</v>
      </c>
      <c r="AT22" s="14">
        <v>0.84074348114617403</v>
      </c>
      <c r="AU22" s="14" t="s">
        <v>88</v>
      </c>
      <c r="AV22" s="14"/>
      <c r="AW22" s="14">
        <v>0.86980912274308098</v>
      </c>
      <c r="AX22" s="14">
        <v>0.82249059607638497</v>
      </c>
      <c r="AY22" s="14"/>
      <c r="AZ22" s="14">
        <v>0.85325765189010705</v>
      </c>
      <c r="BA22" s="14">
        <v>0.87564847764865605</v>
      </c>
    </row>
    <row r="23" spans="2:53" x14ac:dyDescent="0.35">
      <c r="B23" t="s">
        <v>77</v>
      </c>
      <c r="C23" s="14">
        <v>0.115236750756517</v>
      </c>
      <c r="D23" s="14">
        <v>8.4894739209268502E-2</v>
      </c>
      <c r="E23" s="14">
        <v>0.14617941271521001</v>
      </c>
      <c r="F23" s="14"/>
      <c r="G23" s="14">
        <v>0</v>
      </c>
      <c r="H23" s="14">
        <v>0.12156687940296999</v>
      </c>
      <c r="I23" s="14">
        <v>0.138612799591495</v>
      </c>
      <c r="J23" s="14">
        <v>4.3182401256505097E-2</v>
      </c>
      <c r="K23" s="14">
        <v>8.9547798481756799E-2</v>
      </c>
      <c r="L23" s="14">
        <v>0</v>
      </c>
      <c r="M23" s="14"/>
      <c r="N23" s="14">
        <v>0.101144542641535</v>
      </c>
      <c r="O23" s="14">
        <v>9.7601013285635793E-2</v>
      </c>
      <c r="P23" s="14">
        <v>0.163437808323804</v>
      </c>
      <c r="Q23" s="14">
        <v>0.107474254132351</v>
      </c>
      <c r="R23" s="14"/>
      <c r="S23" s="14">
        <v>8.3803028839096697E-2</v>
      </c>
      <c r="T23" s="14">
        <v>9.5875100840290203E-2</v>
      </c>
      <c r="U23" s="14">
        <v>0.116825854265518</v>
      </c>
      <c r="V23" s="14">
        <v>9.4764909592266799E-2</v>
      </c>
      <c r="W23" s="14">
        <v>8.5813657871472104E-2</v>
      </c>
      <c r="X23" s="14">
        <v>0.163635666406755</v>
      </c>
      <c r="Y23" s="14">
        <v>0.11288548808134</v>
      </c>
      <c r="Z23" s="14">
        <v>0.18432652728580001</v>
      </c>
      <c r="AA23" s="14">
        <v>0.15634210882882499</v>
      </c>
      <c r="AB23" s="14"/>
      <c r="AC23" s="14">
        <v>0.12783448025208499</v>
      </c>
      <c r="AD23" s="14">
        <v>0.112703387756136</v>
      </c>
      <c r="AE23" s="14">
        <v>0.103351281099753</v>
      </c>
      <c r="AF23" s="14">
        <v>0.119799780763238</v>
      </c>
      <c r="AG23" s="14">
        <v>7.6038849724488405E-2</v>
      </c>
      <c r="AH23" s="14"/>
      <c r="AI23" s="14">
        <v>8.3876208115872999E-2</v>
      </c>
      <c r="AJ23" s="14">
        <v>0.120880973321177</v>
      </c>
      <c r="AK23" s="14">
        <v>0.18869439032466601</v>
      </c>
      <c r="AL23" s="14">
        <v>0.16783596933099501</v>
      </c>
      <c r="AM23" s="14">
        <v>0.14473462265154499</v>
      </c>
      <c r="AN23" s="14">
        <v>7.9100358118880207E-2</v>
      </c>
      <c r="AO23" s="14"/>
      <c r="AP23" s="14">
        <v>9.5662796399760094E-2</v>
      </c>
      <c r="AQ23" s="14">
        <v>0.13661973016624701</v>
      </c>
      <c r="AR23" s="14"/>
      <c r="AS23" s="14">
        <v>0.10118500174320701</v>
      </c>
      <c r="AT23" s="14">
        <v>0.128026324126367</v>
      </c>
      <c r="AU23" s="14" t="s">
        <v>88</v>
      </c>
      <c r="AV23" s="14"/>
      <c r="AW23" s="14">
        <v>0.110412283746548</v>
      </c>
      <c r="AX23" s="14">
        <v>0.143735254405053</v>
      </c>
      <c r="AY23" s="14"/>
      <c r="AZ23" s="14">
        <v>0.11729362526314201</v>
      </c>
      <c r="BA23" s="14">
        <v>0.111798234135476</v>
      </c>
    </row>
    <row r="24" spans="2:53" x14ac:dyDescent="0.35">
      <c r="B24" t="s">
        <v>78</v>
      </c>
      <c r="C24" s="14">
        <v>1.9523520628849801E-2</v>
      </c>
      <c r="D24" s="14">
        <v>3.1920360463631302E-2</v>
      </c>
      <c r="E24" s="14">
        <v>6.8812729727782502E-3</v>
      </c>
      <c r="F24" s="14"/>
      <c r="G24" s="14">
        <v>0</v>
      </c>
      <c r="H24" s="14">
        <v>3.0882280821341201E-2</v>
      </c>
      <c r="I24" s="14">
        <v>2.1387791304970701E-2</v>
      </c>
      <c r="J24" s="14">
        <v>0</v>
      </c>
      <c r="K24" s="14">
        <v>0</v>
      </c>
      <c r="L24" s="14">
        <v>0</v>
      </c>
      <c r="M24" s="14"/>
      <c r="N24" s="14">
        <v>8.3786386402122902E-3</v>
      </c>
      <c r="O24" s="14">
        <v>8.3416200301653903E-3</v>
      </c>
      <c r="P24" s="14">
        <v>4.6228215893461599E-2</v>
      </c>
      <c r="Q24" s="14">
        <v>2.2512945359034298E-2</v>
      </c>
      <c r="R24" s="14"/>
      <c r="S24" s="14">
        <v>5.0228426401872301E-3</v>
      </c>
      <c r="T24" s="14">
        <v>1.5851513719504499E-2</v>
      </c>
      <c r="U24" s="14">
        <v>2.7557197247002899E-2</v>
      </c>
      <c r="V24" s="14">
        <v>7.4559762693141601E-2</v>
      </c>
      <c r="W24" s="14">
        <v>0</v>
      </c>
      <c r="X24" s="14">
        <v>4.4679163591779897E-2</v>
      </c>
      <c r="Y24" s="14">
        <v>7.8421397255627207E-3</v>
      </c>
      <c r="Z24" s="14">
        <v>0</v>
      </c>
      <c r="AA24" s="14">
        <v>0</v>
      </c>
      <c r="AB24" s="14"/>
      <c r="AC24" s="14">
        <v>3.2486973673283702E-2</v>
      </c>
      <c r="AD24" s="14">
        <v>2.31647232565604E-2</v>
      </c>
      <c r="AE24" s="14">
        <v>1.57841083005873E-2</v>
      </c>
      <c r="AF24" s="14">
        <v>1.21918949088211E-2</v>
      </c>
      <c r="AG24" s="14">
        <v>0</v>
      </c>
      <c r="AH24" s="14"/>
      <c r="AI24" s="14">
        <v>1.46973926259039E-2</v>
      </c>
      <c r="AJ24" s="14">
        <v>4.2671901639983398E-2</v>
      </c>
      <c r="AK24" s="14">
        <v>3.15013338536968E-2</v>
      </c>
      <c r="AL24" s="14">
        <v>0</v>
      </c>
      <c r="AM24" s="14">
        <v>0</v>
      </c>
      <c r="AN24" s="14">
        <v>4.4004837322892502E-2</v>
      </c>
      <c r="AO24" s="14"/>
      <c r="AP24" s="14">
        <v>2.2119625398805302E-2</v>
      </c>
      <c r="AQ24" s="14">
        <v>1.6687483830679899E-2</v>
      </c>
      <c r="AR24" s="14"/>
      <c r="AS24" s="14">
        <v>1.90551898201387E-2</v>
      </c>
      <c r="AT24" s="14">
        <v>1.9949784379625399E-2</v>
      </c>
      <c r="AU24" s="14" t="s">
        <v>88</v>
      </c>
      <c r="AV24" s="14"/>
      <c r="AW24" s="14">
        <v>1.3980148864046299E-2</v>
      </c>
      <c r="AX24" s="14">
        <v>3.3774149518562502E-2</v>
      </c>
      <c r="AY24" s="14"/>
      <c r="AZ24" s="14">
        <v>2.15080018648308E-2</v>
      </c>
      <c r="BA24" s="14">
        <v>1.2553288215868401E-2</v>
      </c>
    </row>
    <row r="25" spans="2:53" x14ac:dyDescent="0.35">
      <c r="B25" t="s">
        <v>79</v>
      </c>
      <c r="C25" s="14">
        <v>6.1739114543277601E-3</v>
      </c>
      <c r="D25" s="14">
        <v>5.3377106210796901E-3</v>
      </c>
      <c r="E25" s="14">
        <v>7.0266657179163996E-3</v>
      </c>
      <c r="F25" s="14"/>
      <c r="G25" s="14">
        <v>0.24426740314902501</v>
      </c>
      <c r="H25" s="14">
        <v>6.6689479863491002E-3</v>
      </c>
      <c r="I25" s="14">
        <v>3.2083341629789799E-3</v>
      </c>
      <c r="J25" s="14">
        <v>0</v>
      </c>
      <c r="K25" s="14">
        <v>0</v>
      </c>
      <c r="L25" s="14">
        <v>0</v>
      </c>
      <c r="M25" s="14"/>
      <c r="N25" s="14">
        <v>0</v>
      </c>
      <c r="O25" s="14">
        <v>0</v>
      </c>
      <c r="P25" s="14">
        <v>1.7689844440812799E-2</v>
      </c>
      <c r="Q25" s="14">
        <v>1.0232171112268399E-2</v>
      </c>
      <c r="R25" s="14"/>
      <c r="S25" s="14">
        <v>0</v>
      </c>
      <c r="T25" s="14">
        <v>2.5715114927162899E-2</v>
      </c>
      <c r="U25" s="14">
        <v>0</v>
      </c>
      <c r="V25" s="14">
        <v>1.6827895929271201E-2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/>
      <c r="AC25" s="14">
        <v>0</v>
      </c>
      <c r="AD25" s="14">
        <v>8.1552140239365602E-3</v>
      </c>
      <c r="AE25" s="14">
        <v>5.2555186366647702E-3</v>
      </c>
      <c r="AF25" s="14">
        <v>1.5320504845714801E-2</v>
      </c>
      <c r="AG25" s="14">
        <v>0</v>
      </c>
      <c r="AH25" s="14"/>
      <c r="AI25" s="14">
        <v>1.19423451439695E-2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/>
      <c r="AP25" s="14">
        <v>8.3740927747196006E-3</v>
      </c>
      <c r="AQ25" s="14">
        <v>3.7703893548001401E-3</v>
      </c>
      <c r="AR25" s="14"/>
      <c r="AS25" s="14">
        <v>3.78168356951394E-3</v>
      </c>
      <c r="AT25" s="14">
        <v>8.3512613359151694E-3</v>
      </c>
      <c r="AU25" s="14" t="s">
        <v>88</v>
      </c>
      <c r="AV25" s="14"/>
      <c r="AW25" s="14">
        <v>5.7984446463251998E-3</v>
      </c>
      <c r="AX25" s="14">
        <v>0</v>
      </c>
      <c r="AY25" s="14"/>
      <c r="AZ25" s="14">
        <v>5.5363552080062396E-3</v>
      </c>
      <c r="BA25" s="14">
        <v>0</v>
      </c>
    </row>
    <row r="26" spans="2:53" x14ac:dyDescent="0.35">
      <c r="B26" t="s">
        <v>80</v>
      </c>
      <c r="C26" s="14">
        <v>3.43213878560099E-3</v>
      </c>
      <c r="D26" s="14">
        <v>6.7976538406239297E-3</v>
      </c>
      <c r="E26" s="14">
        <v>0</v>
      </c>
      <c r="F26" s="14"/>
      <c r="G26" s="14">
        <v>0</v>
      </c>
      <c r="H26" s="14">
        <v>5.67528839604325E-3</v>
      </c>
      <c r="I26" s="14">
        <v>0</v>
      </c>
      <c r="J26" s="14">
        <v>1.22182066340001E-2</v>
      </c>
      <c r="K26" s="14">
        <v>0</v>
      </c>
      <c r="L26" s="14">
        <v>0</v>
      </c>
      <c r="M26" s="14"/>
      <c r="N26" s="14">
        <v>0</v>
      </c>
      <c r="O26" s="14">
        <v>1.21415697191464E-2</v>
      </c>
      <c r="P26" s="14">
        <v>0</v>
      </c>
      <c r="Q26" s="14">
        <v>0</v>
      </c>
      <c r="R26" s="14"/>
      <c r="S26" s="14">
        <v>1.09875454256444E-2</v>
      </c>
      <c r="T26" s="14">
        <v>0</v>
      </c>
      <c r="U26" s="14">
        <v>0</v>
      </c>
      <c r="V26" s="14">
        <v>0</v>
      </c>
      <c r="W26" s="14">
        <v>0</v>
      </c>
      <c r="X26" s="14">
        <v>1.5779061167417199E-2</v>
      </c>
      <c r="Y26" s="14">
        <v>0</v>
      </c>
      <c r="Z26" s="14">
        <v>0</v>
      </c>
      <c r="AA26" s="14">
        <v>0</v>
      </c>
      <c r="AB26" s="14"/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/>
      <c r="AI26" s="14">
        <v>0</v>
      </c>
      <c r="AJ26" s="14">
        <v>0</v>
      </c>
      <c r="AK26" s="14">
        <v>0</v>
      </c>
      <c r="AL26" s="14">
        <v>2.5644697715013001E-2</v>
      </c>
      <c r="AM26" s="14">
        <v>0</v>
      </c>
      <c r="AN26" s="14">
        <v>0</v>
      </c>
      <c r="AO26" s="14"/>
      <c r="AP26" s="14">
        <v>6.57391461805777E-3</v>
      </c>
      <c r="AQ26" s="14">
        <v>0</v>
      </c>
      <c r="AR26" s="14"/>
      <c r="AS26" s="14">
        <v>3.9847675443296501E-3</v>
      </c>
      <c r="AT26" s="14">
        <v>2.9291490119184201E-3</v>
      </c>
      <c r="AU26" s="14" t="s">
        <v>88</v>
      </c>
      <c r="AV26" s="14"/>
      <c r="AW26" s="14">
        <v>0</v>
      </c>
      <c r="AX26" s="14">
        <v>0</v>
      </c>
      <c r="AY26" s="14"/>
      <c r="AZ26" s="14">
        <v>2.40436577391386E-3</v>
      </c>
      <c r="BA26" s="14">
        <v>0</v>
      </c>
    </row>
    <row r="27" spans="2:53" x14ac:dyDescent="0.35">
      <c r="B27" t="s">
        <v>81</v>
      </c>
      <c r="C27" s="14">
        <v>0.97087042913122101</v>
      </c>
      <c r="D27" s="14">
        <v>0.95594427507466495</v>
      </c>
      <c r="E27" s="14">
        <v>0.98609206130930505</v>
      </c>
      <c r="F27" s="14"/>
      <c r="G27" s="14">
        <v>0.75573259685097505</v>
      </c>
      <c r="H27" s="14">
        <v>0.95677348279626595</v>
      </c>
      <c r="I27" s="14">
        <v>0.97540387453205002</v>
      </c>
      <c r="J27" s="14">
        <v>0.98778179336600003</v>
      </c>
      <c r="K27" s="14">
        <v>1</v>
      </c>
      <c r="L27" s="14">
        <v>1</v>
      </c>
      <c r="M27" s="14"/>
      <c r="N27" s="14">
        <v>0.99162136135978796</v>
      </c>
      <c r="O27" s="14">
        <v>0.97951681025068804</v>
      </c>
      <c r="P27" s="14">
        <v>0.93608193966572595</v>
      </c>
      <c r="Q27" s="14">
        <v>0.96725488352869704</v>
      </c>
      <c r="R27" s="14"/>
      <c r="S27" s="14">
        <v>0.98398961193416801</v>
      </c>
      <c r="T27" s="14">
        <v>0.95843337135333295</v>
      </c>
      <c r="U27" s="14">
        <v>0.97244280275299699</v>
      </c>
      <c r="V27" s="14">
        <v>0.90861234137758695</v>
      </c>
      <c r="W27" s="14">
        <v>1</v>
      </c>
      <c r="X27" s="14">
        <v>0.93954177524080296</v>
      </c>
      <c r="Y27" s="14">
        <v>0.99215786027443698</v>
      </c>
      <c r="Z27" s="14">
        <v>1</v>
      </c>
      <c r="AA27" s="14">
        <v>1</v>
      </c>
      <c r="AB27" s="14"/>
      <c r="AC27" s="14">
        <v>0.96751302632671599</v>
      </c>
      <c r="AD27" s="14">
        <v>0.96868006271950302</v>
      </c>
      <c r="AE27" s="14">
        <v>0.97896037306274797</v>
      </c>
      <c r="AF27" s="14">
        <v>0.97248760024546399</v>
      </c>
      <c r="AG27" s="14">
        <v>1</v>
      </c>
      <c r="AH27" s="14"/>
      <c r="AI27" s="14">
        <v>0.97336026223012695</v>
      </c>
      <c r="AJ27" s="14">
        <v>0.95732809836001698</v>
      </c>
      <c r="AK27" s="14">
        <v>0.96849866614630298</v>
      </c>
      <c r="AL27" s="14">
        <v>0.97435530228498701</v>
      </c>
      <c r="AM27" s="14">
        <v>1</v>
      </c>
      <c r="AN27" s="14">
        <v>0.95599516267710705</v>
      </c>
      <c r="AO27" s="14"/>
      <c r="AP27" s="14">
        <v>0.96293236720841702</v>
      </c>
      <c r="AQ27" s="14">
        <v>0.97954212681452002</v>
      </c>
      <c r="AR27" s="14"/>
      <c r="AS27" s="14">
        <v>0.97317835906601802</v>
      </c>
      <c r="AT27" s="14">
        <v>0.96876980527254097</v>
      </c>
      <c r="AU27" s="14" t="s">
        <v>88</v>
      </c>
      <c r="AV27" s="14"/>
      <c r="AW27" s="14">
        <v>0.98022140648962797</v>
      </c>
      <c r="AX27" s="14">
        <v>0.96622585048143705</v>
      </c>
      <c r="AY27" s="14"/>
      <c r="AZ27" s="14">
        <v>0.97055127715324896</v>
      </c>
      <c r="BA27" s="14">
        <v>0.98744671178413101</v>
      </c>
    </row>
    <row r="28" spans="2:53" x14ac:dyDescent="0.3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2:53" x14ac:dyDescent="0.35">
      <c r="B29" s="6" t="s">
        <v>91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2:53" x14ac:dyDescent="0.35">
      <c r="B30" s="24" t="s">
        <v>86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  <row r="31" spans="2:53" x14ac:dyDescent="0.35">
      <c r="B31" t="s">
        <v>76</v>
      </c>
      <c r="C31" s="14">
        <v>0.63509905131833899</v>
      </c>
      <c r="D31" s="14">
        <v>0.63857988623003803</v>
      </c>
      <c r="E31" s="14">
        <v>0.63154930980436597</v>
      </c>
      <c r="F31" s="14"/>
      <c r="G31" s="14">
        <v>0.70723193819191299</v>
      </c>
      <c r="H31" s="14">
        <v>0.63882553161741795</v>
      </c>
      <c r="I31" s="14">
        <v>0.61813897385530903</v>
      </c>
      <c r="J31" s="14">
        <v>0.69040867495921898</v>
      </c>
      <c r="K31" s="14">
        <v>0.62948473007287398</v>
      </c>
      <c r="L31" s="14">
        <v>0.34819201228478702</v>
      </c>
      <c r="M31" s="14"/>
      <c r="N31" s="14">
        <v>0.76379420709059598</v>
      </c>
      <c r="O31" s="14">
        <v>0.64200870606414295</v>
      </c>
      <c r="P31" s="14">
        <v>0.575257958445345</v>
      </c>
      <c r="Q31" s="14">
        <v>0.55044900719666301</v>
      </c>
      <c r="R31" s="14"/>
      <c r="S31" s="14">
        <v>0.67536277797714706</v>
      </c>
      <c r="T31" s="14">
        <v>0.72787716918815504</v>
      </c>
      <c r="U31" s="14">
        <v>0.466635182108671</v>
      </c>
      <c r="V31" s="14">
        <v>0.57060587503007398</v>
      </c>
      <c r="W31" s="14">
        <v>0.697370576572092</v>
      </c>
      <c r="X31" s="14">
        <v>0.54955007483481</v>
      </c>
      <c r="Y31" s="14">
        <v>0.64550312923100495</v>
      </c>
      <c r="Z31" s="14">
        <v>0.60382381126713103</v>
      </c>
      <c r="AA31" s="14">
        <v>0.67994365667531698</v>
      </c>
      <c r="AB31" s="14"/>
      <c r="AC31" s="14">
        <v>0.54281315068720004</v>
      </c>
      <c r="AD31" s="14">
        <v>0.53431270422593602</v>
      </c>
      <c r="AE31" s="14">
        <v>0.71528781217662696</v>
      </c>
      <c r="AF31" s="14">
        <v>0.76791631041015096</v>
      </c>
      <c r="AG31" s="14">
        <v>0.64238882341705605</v>
      </c>
      <c r="AH31" s="14"/>
      <c r="AI31" s="14">
        <v>0.72089100863632805</v>
      </c>
      <c r="AJ31" s="14">
        <v>0.63398231430311303</v>
      </c>
      <c r="AK31" s="14">
        <v>0.59965463588714196</v>
      </c>
      <c r="AL31" s="14">
        <v>0.55665370877222597</v>
      </c>
      <c r="AM31" s="14">
        <v>0.64460345640761496</v>
      </c>
      <c r="AN31" s="14">
        <v>0.56562099661874299</v>
      </c>
      <c r="AO31" s="14"/>
      <c r="AP31" s="14">
        <v>0.66317596656052102</v>
      </c>
      <c r="AQ31" s="14">
        <v>0.60442726729504304</v>
      </c>
      <c r="AR31" s="14"/>
      <c r="AS31" s="14">
        <v>0.61142288394381705</v>
      </c>
      <c r="AT31" s="14">
        <v>0.65664854522592797</v>
      </c>
      <c r="AU31" s="14" t="s">
        <v>88</v>
      </c>
      <c r="AV31" s="14"/>
      <c r="AW31" s="14">
        <v>0.61554502213281803</v>
      </c>
      <c r="AX31" s="14">
        <v>0.74300100765148702</v>
      </c>
      <c r="AY31" s="14"/>
      <c r="AZ31" s="14">
        <v>0.65621529167906201</v>
      </c>
      <c r="BA31" s="14">
        <v>0.56954632924055804</v>
      </c>
    </row>
    <row r="32" spans="2:53" x14ac:dyDescent="0.35">
      <c r="B32" t="s">
        <v>77</v>
      </c>
      <c r="C32" s="14">
        <v>0.31433901997548003</v>
      </c>
      <c r="D32" s="14">
        <v>0.30852605133673</v>
      </c>
      <c r="E32" s="14">
        <v>0.32026706213198802</v>
      </c>
      <c r="F32" s="14"/>
      <c r="G32" s="14">
        <v>0.29276806180808601</v>
      </c>
      <c r="H32" s="14">
        <v>0.29174250849045003</v>
      </c>
      <c r="I32" s="14">
        <v>0.34350699002865898</v>
      </c>
      <c r="J32" s="14">
        <v>0.25340338076725699</v>
      </c>
      <c r="K32" s="14">
        <v>0.37051526992712602</v>
      </c>
      <c r="L32" s="14">
        <v>0</v>
      </c>
      <c r="M32" s="14"/>
      <c r="N32" s="14">
        <v>0.220759585974483</v>
      </c>
      <c r="O32" s="14">
        <v>0.30238148569572698</v>
      </c>
      <c r="P32" s="14">
        <v>0.35849015355814001</v>
      </c>
      <c r="Q32" s="14">
        <v>0.381743909225494</v>
      </c>
      <c r="R32" s="14"/>
      <c r="S32" s="14">
        <v>0.30539470034174199</v>
      </c>
      <c r="T32" s="14">
        <v>0.20921343585501001</v>
      </c>
      <c r="U32" s="14">
        <v>0.43666312651502798</v>
      </c>
      <c r="V32" s="14">
        <v>0.37629694430284</v>
      </c>
      <c r="W32" s="14">
        <v>0.263540442283341</v>
      </c>
      <c r="X32" s="14">
        <v>0.37918549176826</v>
      </c>
      <c r="Y32" s="14">
        <v>0.29292950315466898</v>
      </c>
      <c r="Z32" s="14">
        <v>0.36910281180332799</v>
      </c>
      <c r="AA32" s="14">
        <v>0.29163801423535402</v>
      </c>
      <c r="AB32" s="14"/>
      <c r="AC32" s="14">
        <v>0.39426108803530402</v>
      </c>
      <c r="AD32" s="14">
        <v>0.40835422879479299</v>
      </c>
      <c r="AE32" s="14">
        <v>0.26484574842374797</v>
      </c>
      <c r="AF32" s="14">
        <v>0.19877057876774601</v>
      </c>
      <c r="AG32" s="14">
        <v>0.357611176582944</v>
      </c>
      <c r="AH32" s="14"/>
      <c r="AI32" s="14">
        <v>0.23071472960975101</v>
      </c>
      <c r="AJ32" s="14">
        <v>0.33992846618721401</v>
      </c>
      <c r="AK32" s="14">
        <v>0.33903341694543399</v>
      </c>
      <c r="AL32" s="14">
        <v>0.37665059130721101</v>
      </c>
      <c r="AM32" s="14">
        <v>0.29217064068137599</v>
      </c>
      <c r="AN32" s="14">
        <v>0.39771478791804998</v>
      </c>
      <c r="AO32" s="14"/>
      <c r="AP32" s="14">
        <v>0.297710653667625</v>
      </c>
      <c r="AQ32" s="14">
        <v>0.33250418006003801</v>
      </c>
      <c r="AR32" s="14"/>
      <c r="AS32" s="14">
        <v>0.33823428993311799</v>
      </c>
      <c r="AT32" s="14">
        <v>0.29259010402017199</v>
      </c>
      <c r="AU32" s="14" t="s">
        <v>88</v>
      </c>
      <c r="AV32" s="14"/>
      <c r="AW32" s="14">
        <v>0.33112160335936502</v>
      </c>
      <c r="AX32" s="14">
        <v>0.25699899234851298</v>
      </c>
      <c r="AY32" s="14"/>
      <c r="AZ32" s="14">
        <v>0.29691106153693703</v>
      </c>
      <c r="BA32" s="14">
        <v>0.39491247680118502</v>
      </c>
    </row>
    <row r="33" spans="2:53" x14ac:dyDescent="0.35">
      <c r="B33" t="s">
        <v>78</v>
      </c>
      <c r="C33" s="14">
        <v>3.72057960319013E-2</v>
      </c>
      <c r="D33" s="14">
        <v>3.7303068576452901E-2</v>
      </c>
      <c r="E33" s="14">
        <v>3.7106597880215399E-2</v>
      </c>
      <c r="F33" s="14"/>
      <c r="G33" s="14">
        <v>0</v>
      </c>
      <c r="H33" s="14">
        <v>4.9665968898638599E-2</v>
      </c>
      <c r="I33" s="14">
        <v>3.1162899053145902E-2</v>
      </c>
      <c r="J33" s="14">
        <v>2.87959925635374E-2</v>
      </c>
      <c r="K33" s="14">
        <v>0</v>
      </c>
      <c r="L33" s="14">
        <v>0.65180798771521298</v>
      </c>
      <c r="M33" s="14"/>
      <c r="N33" s="14">
        <v>1.54462069349212E-2</v>
      </c>
      <c r="O33" s="14">
        <v>2.77620914629702E-2</v>
      </c>
      <c r="P33" s="14">
        <v>4.8562043555702102E-2</v>
      </c>
      <c r="Q33" s="14">
        <v>6.0193421983132503E-2</v>
      </c>
      <c r="R33" s="14"/>
      <c r="S33" s="14">
        <v>8.2549762554660708E-3</v>
      </c>
      <c r="T33" s="14">
        <v>5.3045793749177297E-2</v>
      </c>
      <c r="U33" s="14">
        <v>5.5205838552739799E-2</v>
      </c>
      <c r="V33" s="14">
        <v>1.6827895929271201E-2</v>
      </c>
      <c r="W33" s="14">
        <v>3.9088981144567297E-2</v>
      </c>
      <c r="X33" s="14">
        <v>5.5485372229513302E-2</v>
      </c>
      <c r="Y33" s="14">
        <v>6.1567367614325998E-2</v>
      </c>
      <c r="Z33" s="14">
        <v>2.7073376929541398E-2</v>
      </c>
      <c r="AA33" s="14">
        <v>2.84183290893288E-2</v>
      </c>
      <c r="AB33" s="14"/>
      <c r="AC33" s="14">
        <v>6.2925761277495704E-2</v>
      </c>
      <c r="AD33" s="14">
        <v>4.0102059080415198E-2</v>
      </c>
      <c r="AE33" s="14">
        <v>1.46109207629608E-2</v>
      </c>
      <c r="AF33" s="14">
        <v>3.33131108221029E-2</v>
      </c>
      <c r="AG33" s="14">
        <v>0</v>
      </c>
      <c r="AH33" s="14"/>
      <c r="AI33" s="14">
        <v>3.73725373613348E-2</v>
      </c>
      <c r="AJ33" s="14">
        <v>2.6089219509672499E-2</v>
      </c>
      <c r="AK33" s="14">
        <v>6.1311947167424101E-2</v>
      </c>
      <c r="AL33" s="14">
        <v>2.54960906001407E-2</v>
      </c>
      <c r="AM33" s="14">
        <v>6.3225902911008797E-2</v>
      </c>
      <c r="AN33" s="14">
        <v>3.6664215463207202E-2</v>
      </c>
      <c r="AO33" s="14"/>
      <c r="AP33" s="14">
        <v>2.53399578899066E-2</v>
      </c>
      <c r="AQ33" s="14">
        <v>5.0168275050959103E-2</v>
      </c>
      <c r="AR33" s="14"/>
      <c r="AS33" s="14">
        <v>2.9050132018130701E-2</v>
      </c>
      <c r="AT33" s="14">
        <v>4.4628890707529303E-2</v>
      </c>
      <c r="AU33" s="14" t="s">
        <v>88</v>
      </c>
      <c r="AV33" s="14"/>
      <c r="AW33" s="14">
        <v>4.2699498693700398E-2</v>
      </c>
      <c r="AX33" s="14">
        <v>0</v>
      </c>
      <c r="AY33" s="14"/>
      <c r="AZ33" s="14">
        <v>3.41841003074531E-2</v>
      </c>
      <c r="BA33" s="14">
        <v>3.5541193958257299E-2</v>
      </c>
    </row>
    <row r="34" spans="2:53" x14ac:dyDescent="0.35">
      <c r="B34" t="s">
        <v>79</v>
      </c>
      <c r="C34" s="14">
        <v>9.4647067462367597E-3</v>
      </c>
      <c r="D34" s="14">
        <v>7.8836812864829502E-3</v>
      </c>
      <c r="E34" s="14">
        <v>1.1077030183430999E-2</v>
      </c>
      <c r="F34" s="14"/>
      <c r="G34" s="14">
        <v>0</v>
      </c>
      <c r="H34" s="14">
        <v>1.4090702597449999E-2</v>
      </c>
      <c r="I34" s="14">
        <v>7.1911370628862104E-3</v>
      </c>
      <c r="J34" s="14">
        <v>1.22182066340001E-2</v>
      </c>
      <c r="K34" s="14">
        <v>0</v>
      </c>
      <c r="L34" s="14">
        <v>0</v>
      </c>
      <c r="M34" s="14"/>
      <c r="N34" s="14">
        <v>0</v>
      </c>
      <c r="O34" s="14">
        <v>1.4081368105466299E-2</v>
      </c>
      <c r="P34" s="14">
        <v>1.7689844440812799E-2</v>
      </c>
      <c r="Q34" s="14">
        <v>7.61366159471098E-3</v>
      </c>
      <c r="R34" s="14"/>
      <c r="S34" s="14">
        <v>1.09875454256444E-2</v>
      </c>
      <c r="T34" s="14">
        <v>9.8636012076583693E-3</v>
      </c>
      <c r="U34" s="14">
        <v>1.90710539493835E-2</v>
      </c>
      <c r="V34" s="14">
        <v>3.6269284737814503E-2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/>
      <c r="AC34" s="14">
        <v>0</v>
      </c>
      <c r="AD34" s="14">
        <v>1.7231007898856301E-2</v>
      </c>
      <c r="AE34" s="14">
        <v>5.2555186366647702E-3</v>
      </c>
      <c r="AF34" s="14">
        <v>0</v>
      </c>
      <c r="AG34" s="14">
        <v>0</v>
      </c>
      <c r="AH34" s="14"/>
      <c r="AI34" s="14">
        <v>4.5807506720455804E-3</v>
      </c>
      <c r="AJ34" s="14">
        <v>0</v>
      </c>
      <c r="AK34" s="14">
        <v>0</v>
      </c>
      <c r="AL34" s="14">
        <v>2.9741823901818999E-2</v>
      </c>
      <c r="AM34" s="14">
        <v>0</v>
      </c>
      <c r="AN34" s="14">
        <v>0</v>
      </c>
      <c r="AO34" s="14"/>
      <c r="AP34" s="14">
        <v>1.08362648956972E-2</v>
      </c>
      <c r="AQ34" s="14">
        <v>7.9663891791971597E-3</v>
      </c>
      <c r="AR34" s="14"/>
      <c r="AS34" s="14">
        <v>1.6344026209888101E-2</v>
      </c>
      <c r="AT34" s="14">
        <v>3.2033110344528298E-3</v>
      </c>
      <c r="AU34" s="14" t="s">
        <v>88</v>
      </c>
      <c r="AV34" s="14"/>
      <c r="AW34" s="14">
        <v>7.5934469298727303E-3</v>
      </c>
      <c r="AX34" s="14">
        <v>0</v>
      </c>
      <c r="AY34" s="14"/>
      <c r="AZ34" s="14">
        <v>9.70357362343955E-3</v>
      </c>
      <c r="BA34" s="14">
        <v>0</v>
      </c>
    </row>
    <row r="35" spans="2:53" x14ac:dyDescent="0.35">
      <c r="B35" t="s">
        <v>80</v>
      </c>
      <c r="C35" s="14">
        <v>3.89142592804271E-3</v>
      </c>
      <c r="D35" s="14">
        <v>7.70731257029603E-3</v>
      </c>
      <c r="E35" s="14">
        <v>0</v>
      </c>
      <c r="F35" s="14"/>
      <c r="G35" s="14">
        <v>0</v>
      </c>
      <c r="H35" s="14">
        <v>5.67528839604325E-3</v>
      </c>
      <c r="I35" s="14">
        <v>0</v>
      </c>
      <c r="J35" s="14">
        <v>1.5173745075986201E-2</v>
      </c>
      <c r="K35" s="14">
        <v>0</v>
      </c>
      <c r="L35" s="14">
        <v>0</v>
      </c>
      <c r="M35" s="14"/>
      <c r="N35" s="14">
        <v>0</v>
      </c>
      <c r="O35" s="14">
        <v>1.37663486716931E-2</v>
      </c>
      <c r="P35" s="14">
        <v>0</v>
      </c>
      <c r="Q35" s="14">
        <v>0</v>
      </c>
      <c r="R35" s="14"/>
      <c r="S35" s="14">
        <v>0</v>
      </c>
      <c r="T35" s="14">
        <v>0</v>
      </c>
      <c r="U35" s="14">
        <v>2.2424798874177199E-2</v>
      </c>
      <c r="V35" s="14">
        <v>0</v>
      </c>
      <c r="W35" s="14">
        <v>0</v>
      </c>
      <c r="X35" s="14">
        <v>1.5779061167417199E-2</v>
      </c>
      <c r="Y35" s="14">
        <v>0</v>
      </c>
      <c r="Z35" s="14">
        <v>0</v>
      </c>
      <c r="AA35" s="14">
        <v>0</v>
      </c>
      <c r="AB35" s="14"/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/>
      <c r="AI35" s="14">
        <v>6.4409737205405396E-3</v>
      </c>
      <c r="AJ35" s="14">
        <v>0</v>
      </c>
      <c r="AK35" s="14">
        <v>0</v>
      </c>
      <c r="AL35" s="14">
        <v>1.14577854186026E-2</v>
      </c>
      <c r="AM35" s="14">
        <v>0</v>
      </c>
      <c r="AN35" s="14">
        <v>0</v>
      </c>
      <c r="AO35" s="14"/>
      <c r="AP35" s="14">
        <v>2.9371569862500402E-3</v>
      </c>
      <c r="AQ35" s="14">
        <v>4.9338884147631396E-3</v>
      </c>
      <c r="AR35" s="14"/>
      <c r="AS35" s="14">
        <v>4.9486678950466101E-3</v>
      </c>
      <c r="AT35" s="14">
        <v>2.9291490119184201E-3</v>
      </c>
      <c r="AU35" s="14" t="s">
        <v>88</v>
      </c>
      <c r="AV35" s="14"/>
      <c r="AW35" s="14">
        <v>3.0404288842435698E-3</v>
      </c>
      <c r="AX35" s="14">
        <v>0</v>
      </c>
      <c r="AY35" s="14"/>
      <c r="AZ35" s="14">
        <v>2.9859728531085698E-3</v>
      </c>
      <c r="BA35" s="14">
        <v>0</v>
      </c>
    </row>
    <row r="36" spans="2:53" x14ac:dyDescent="0.35">
      <c r="B36" t="s">
        <v>81</v>
      </c>
      <c r="C36" s="14">
        <v>0.94943807129381896</v>
      </c>
      <c r="D36" s="14">
        <v>0.94710593756676797</v>
      </c>
      <c r="E36" s="14">
        <v>0.95181637193635404</v>
      </c>
      <c r="F36" s="14"/>
      <c r="G36" s="14">
        <v>1</v>
      </c>
      <c r="H36" s="14">
        <v>0.93056804010786798</v>
      </c>
      <c r="I36" s="14">
        <v>0.96164596388396795</v>
      </c>
      <c r="J36" s="14">
        <v>0.94381205572647597</v>
      </c>
      <c r="K36" s="14">
        <v>1</v>
      </c>
      <c r="L36" s="14">
        <v>0.34819201228478702</v>
      </c>
      <c r="M36" s="14"/>
      <c r="N36" s="14">
        <v>0.98455379306507895</v>
      </c>
      <c r="O36" s="14">
        <v>0.94439019175987005</v>
      </c>
      <c r="P36" s="14">
        <v>0.93374811200348495</v>
      </c>
      <c r="Q36" s="14">
        <v>0.93219291642215696</v>
      </c>
      <c r="R36" s="14"/>
      <c r="S36" s="14">
        <v>0.98075747831888904</v>
      </c>
      <c r="T36" s="14">
        <v>0.93709060504316399</v>
      </c>
      <c r="U36" s="14">
        <v>0.90329830862369997</v>
      </c>
      <c r="V36" s="14">
        <v>0.94690281933291398</v>
      </c>
      <c r="W36" s="14">
        <v>0.96091101885543295</v>
      </c>
      <c r="X36" s="14">
        <v>0.92873556660307</v>
      </c>
      <c r="Y36" s="14">
        <v>0.93843263238567398</v>
      </c>
      <c r="Z36" s="14">
        <v>0.97292662307045896</v>
      </c>
      <c r="AA36" s="14">
        <v>0.97158167091067105</v>
      </c>
      <c r="AB36" s="14"/>
      <c r="AC36" s="14">
        <v>0.93707423872250395</v>
      </c>
      <c r="AD36" s="14">
        <v>0.94266693302072802</v>
      </c>
      <c r="AE36" s="14">
        <v>0.98013356060037404</v>
      </c>
      <c r="AF36" s="14">
        <v>0.96668688917789702</v>
      </c>
      <c r="AG36" s="14">
        <v>1</v>
      </c>
      <c r="AH36" s="14"/>
      <c r="AI36" s="14">
        <v>0.95160573824607897</v>
      </c>
      <c r="AJ36" s="14">
        <v>0.97391078049032798</v>
      </c>
      <c r="AK36" s="14">
        <v>0.93868805283257595</v>
      </c>
      <c r="AL36" s="14">
        <v>0.93330430007943799</v>
      </c>
      <c r="AM36" s="14">
        <v>0.93677409708899095</v>
      </c>
      <c r="AN36" s="14">
        <v>0.96333578453679303</v>
      </c>
      <c r="AO36" s="14"/>
      <c r="AP36" s="14">
        <v>0.96088662022814597</v>
      </c>
      <c r="AQ36" s="14">
        <v>0.93693144735508105</v>
      </c>
      <c r="AR36" s="14"/>
      <c r="AS36" s="14">
        <v>0.94965717387693505</v>
      </c>
      <c r="AT36" s="14">
        <v>0.94923864924610002</v>
      </c>
      <c r="AU36" s="14" t="s">
        <v>88</v>
      </c>
      <c r="AV36" s="14"/>
      <c r="AW36" s="14">
        <v>0.94666662549218294</v>
      </c>
      <c r="AX36" s="14">
        <v>1</v>
      </c>
      <c r="AY36" s="14"/>
      <c r="AZ36" s="14">
        <v>0.95312635321599903</v>
      </c>
      <c r="BA36" s="14">
        <v>0.96445880604174306</v>
      </c>
    </row>
    <row r="37" spans="2:53" x14ac:dyDescent="0.35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</row>
    <row r="38" spans="2:53" x14ac:dyDescent="0.35">
      <c r="B38" s="6" t="s">
        <v>92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2:53" x14ac:dyDescent="0.35">
      <c r="B39" s="24" t="s">
        <v>86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</row>
    <row r="40" spans="2:53" x14ac:dyDescent="0.35">
      <c r="B40" t="s">
        <v>76</v>
      </c>
      <c r="C40" s="14">
        <v>0.65104291881207299</v>
      </c>
      <c r="D40" s="14">
        <v>0.68936603448814304</v>
      </c>
      <c r="E40" s="14">
        <v>0.61196115880015101</v>
      </c>
      <c r="F40" s="14"/>
      <c r="G40" s="14">
        <v>0.60677512475120599</v>
      </c>
      <c r="H40" s="14">
        <v>0.60237594045563803</v>
      </c>
      <c r="I40" s="14">
        <v>0.68915812182793201</v>
      </c>
      <c r="J40" s="14">
        <v>0.59167273514395802</v>
      </c>
      <c r="K40" s="14">
        <v>0.77162696083350502</v>
      </c>
      <c r="L40" s="14">
        <v>0.34819201228478702</v>
      </c>
      <c r="M40" s="14"/>
      <c r="N40" s="14">
        <v>0.75568747072431097</v>
      </c>
      <c r="O40" s="14">
        <v>0.67531072166275197</v>
      </c>
      <c r="P40" s="14">
        <v>0.60221209312828305</v>
      </c>
      <c r="Q40" s="14">
        <v>0.56299486819168798</v>
      </c>
      <c r="R40" s="14"/>
      <c r="S40" s="14">
        <v>0.68933262442980503</v>
      </c>
      <c r="T40" s="14">
        <v>0.71912714790026599</v>
      </c>
      <c r="U40" s="14">
        <v>0.56910287050473995</v>
      </c>
      <c r="V40" s="14">
        <v>0.59883530565524101</v>
      </c>
      <c r="W40" s="14">
        <v>0.675705255150164</v>
      </c>
      <c r="X40" s="14">
        <v>0.60704130419732305</v>
      </c>
      <c r="Y40" s="14">
        <v>0.65871751327471895</v>
      </c>
      <c r="Z40" s="14">
        <v>0.64898834215636303</v>
      </c>
      <c r="AA40" s="14">
        <v>0.63384290249174402</v>
      </c>
      <c r="AB40" s="14"/>
      <c r="AC40" s="14">
        <v>0.376186236539231</v>
      </c>
      <c r="AD40" s="14">
        <v>0.60340365913918503</v>
      </c>
      <c r="AE40" s="14">
        <v>0.747165888889742</v>
      </c>
      <c r="AF40" s="14">
        <v>0.81685387854283997</v>
      </c>
      <c r="AG40" s="14">
        <v>0.80524073785861106</v>
      </c>
      <c r="AH40" s="14"/>
      <c r="AI40" s="14">
        <v>0.70190383147816204</v>
      </c>
      <c r="AJ40" s="14">
        <v>0.69816711129704101</v>
      </c>
      <c r="AK40" s="14">
        <v>0.68396772432435604</v>
      </c>
      <c r="AL40" s="14">
        <v>0.56616093429452596</v>
      </c>
      <c r="AM40" s="14">
        <v>0.65072439361371603</v>
      </c>
      <c r="AN40" s="14">
        <v>0.62862873774651296</v>
      </c>
      <c r="AO40" s="14"/>
      <c r="AP40" s="14">
        <v>0.68585652759523996</v>
      </c>
      <c r="AQ40" s="14">
        <v>0.61301183596488795</v>
      </c>
      <c r="AR40" s="14"/>
      <c r="AS40" s="14">
        <v>0.67890956852484796</v>
      </c>
      <c r="AT40" s="14">
        <v>0.62567934586924101</v>
      </c>
      <c r="AU40" s="14" t="s">
        <v>88</v>
      </c>
      <c r="AV40" s="14"/>
      <c r="AW40" s="14">
        <v>0.62848303505937497</v>
      </c>
      <c r="AX40" s="14">
        <v>0.79638088192727197</v>
      </c>
      <c r="AY40" s="14"/>
      <c r="AZ40" s="14">
        <v>0.67159110792066701</v>
      </c>
      <c r="BA40" s="14">
        <v>0.58834351420793995</v>
      </c>
    </row>
    <row r="41" spans="2:53" x14ac:dyDescent="0.35">
      <c r="B41" t="s">
        <v>77</v>
      </c>
      <c r="C41" s="14">
        <v>0.29838982946063702</v>
      </c>
      <c r="D41" s="14">
        <v>0.27166827611365002</v>
      </c>
      <c r="E41" s="14">
        <v>0.325640362634398</v>
      </c>
      <c r="F41" s="14"/>
      <c r="G41" s="14">
        <v>0.39322487524879401</v>
      </c>
      <c r="H41" s="14">
        <v>0.34171613620448399</v>
      </c>
      <c r="I41" s="14">
        <v>0.26457806791316002</v>
      </c>
      <c r="J41" s="14">
        <v>0.35519535560086601</v>
      </c>
      <c r="K41" s="14">
        <v>0.22837303916649501</v>
      </c>
      <c r="L41" s="14">
        <v>0</v>
      </c>
      <c r="M41" s="14"/>
      <c r="N41" s="14">
        <v>0.21683306175114</v>
      </c>
      <c r="O41" s="14">
        <v>0.27242658520156099</v>
      </c>
      <c r="P41" s="14">
        <v>0.32746233243927397</v>
      </c>
      <c r="Q41" s="14">
        <v>0.38032159314092501</v>
      </c>
      <c r="R41" s="14"/>
      <c r="S41" s="14">
        <v>0.263030319996226</v>
      </c>
      <c r="T41" s="14">
        <v>0.22772578089591999</v>
      </c>
      <c r="U41" s="14">
        <v>0.363568701107081</v>
      </c>
      <c r="V41" s="14">
        <v>0.35681218628135603</v>
      </c>
      <c r="W41" s="14">
        <v>0.22928648760623499</v>
      </c>
      <c r="X41" s="14">
        <v>0.31228598171754302</v>
      </c>
      <c r="Y41" s="14">
        <v>0.31859165748971502</v>
      </c>
      <c r="Z41" s="14">
        <v>0.32021892868368201</v>
      </c>
      <c r="AA41" s="14">
        <v>0.34519686090679402</v>
      </c>
      <c r="AB41" s="14"/>
      <c r="AC41" s="14">
        <v>0.54234351925609803</v>
      </c>
      <c r="AD41" s="14">
        <v>0.34131531661380698</v>
      </c>
      <c r="AE41" s="14">
        <v>0.212518349901614</v>
      </c>
      <c r="AF41" s="14">
        <v>0.174022151588025</v>
      </c>
      <c r="AG41" s="14">
        <v>0.194759262141389</v>
      </c>
      <c r="AH41" s="14"/>
      <c r="AI41" s="14">
        <v>0.26507131708663501</v>
      </c>
      <c r="AJ41" s="14">
        <v>0.23770626807904499</v>
      </c>
      <c r="AK41" s="14">
        <v>0.227842062009111</v>
      </c>
      <c r="AL41" s="14">
        <v>0.387186447174028</v>
      </c>
      <c r="AM41" s="14">
        <v>0.34927560638628402</v>
      </c>
      <c r="AN41" s="14">
        <v>0.33580261054888499</v>
      </c>
      <c r="AO41" s="14"/>
      <c r="AP41" s="14">
        <v>0.28693165201354098</v>
      </c>
      <c r="AQ41" s="14">
        <v>0.31090697177938798</v>
      </c>
      <c r="AR41" s="14"/>
      <c r="AS41" s="14">
        <v>0.27267107737895202</v>
      </c>
      <c r="AT41" s="14">
        <v>0.32179843620547</v>
      </c>
      <c r="AU41" s="14" t="s">
        <v>88</v>
      </c>
      <c r="AV41" s="14"/>
      <c r="AW41" s="14">
        <v>0.32072323879851999</v>
      </c>
      <c r="AX41" s="14">
        <v>0.16074693267106399</v>
      </c>
      <c r="AY41" s="14"/>
      <c r="AZ41" s="14">
        <v>0.28125643692361701</v>
      </c>
      <c r="BA41" s="14">
        <v>0.36959577014485001</v>
      </c>
    </row>
    <row r="42" spans="2:53" x14ac:dyDescent="0.35">
      <c r="B42" t="s">
        <v>78</v>
      </c>
      <c r="C42" s="14">
        <v>3.9917692647647898E-2</v>
      </c>
      <c r="D42" s="14">
        <v>2.9367710183482301E-2</v>
      </c>
      <c r="E42" s="14">
        <v>5.06765225475862E-2</v>
      </c>
      <c r="F42" s="14"/>
      <c r="G42" s="14">
        <v>0</v>
      </c>
      <c r="H42" s="14">
        <v>3.8330885153870099E-2</v>
      </c>
      <c r="I42" s="14">
        <v>4.1394902739192503E-2</v>
      </c>
      <c r="J42" s="14">
        <v>3.1539967589343298E-2</v>
      </c>
      <c r="K42" s="14">
        <v>0</v>
      </c>
      <c r="L42" s="14">
        <v>0.65180798771521298</v>
      </c>
      <c r="M42" s="14"/>
      <c r="N42" s="14">
        <v>2.4088539588281398E-2</v>
      </c>
      <c r="O42" s="14">
        <v>4.5545851055483699E-2</v>
      </c>
      <c r="P42" s="14">
        <v>3.7648859497138899E-2</v>
      </c>
      <c r="Q42" s="14">
        <v>5.1153001423981603E-2</v>
      </c>
      <c r="R42" s="14"/>
      <c r="S42" s="14">
        <v>3.1626667212394703E-2</v>
      </c>
      <c r="T42" s="14">
        <v>4.3283469996156301E-2</v>
      </c>
      <c r="U42" s="14">
        <v>6.7328428388179304E-2</v>
      </c>
      <c r="V42" s="14">
        <v>0</v>
      </c>
      <c r="W42" s="14">
        <v>9.5008257243600902E-2</v>
      </c>
      <c r="X42" s="14">
        <v>6.5683682781255706E-2</v>
      </c>
      <c r="Y42" s="14">
        <v>2.2690829235566399E-2</v>
      </c>
      <c r="Z42" s="14">
        <v>3.0792729159954998E-2</v>
      </c>
      <c r="AA42" s="14">
        <v>2.09602366014622E-2</v>
      </c>
      <c r="AB42" s="14"/>
      <c r="AC42" s="14">
        <v>7.1021404360560994E-2</v>
      </c>
      <c r="AD42" s="14">
        <v>2.98584265108621E-2</v>
      </c>
      <c r="AE42" s="14">
        <v>3.5060242571979497E-2</v>
      </c>
      <c r="AF42" s="14">
        <v>9.12396986913485E-3</v>
      </c>
      <c r="AG42" s="14">
        <v>0</v>
      </c>
      <c r="AH42" s="14"/>
      <c r="AI42" s="14">
        <v>2.8444100763156899E-2</v>
      </c>
      <c r="AJ42" s="14">
        <v>4.2350397066953503E-2</v>
      </c>
      <c r="AK42" s="14">
        <v>8.8190213666533707E-2</v>
      </c>
      <c r="AL42" s="14">
        <v>3.2465706235035099E-2</v>
      </c>
      <c r="AM42" s="14">
        <v>0</v>
      </c>
      <c r="AN42" s="14">
        <v>3.5568651704601599E-2</v>
      </c>
      <c r="AO42" s="14"/>
      <c r="AP42" s="14">
        <v>2.0362994221521401E-2</v>
      </c>
      <c r="AQ42" s="14">
        <v>6.12796364934498E-2</v>
      </c>
      <c r="AR42" s="14"/>
      <c r="AS42" s="14">
        <v>3.44673778339726E-2</v>
      </c>
      <c r="AT42" s="14">
        <v>4.4878441742458197E-2</v>
      </c>
      <c r="AU42" s="14" t="s">
        <v>88</v>
      </c>
      <c r="AV42" s="14"/>
      <c r="AW42" s="14">
        <v>4.5472852771015003E-2</v>
      </c>
      <c r="AX42" s="14">
        <v>2.6243646881840599E-2</v>
      </c>
      <c r="AY42" s="14"/>
      <c r="AZ42" s="14">
        <v>3.77930876939713E-2</v>
      </c>
      <c r="BA42" s="14">
        <v>3.4858529407682401E-2</v>
      </c>
    </row>
    <row r="43" spans="2:53" x14ac:dyDescent="0.35">
      <c r="B43" t="s">
        <v>79</v>
      </c>
      <c r="C43" s="14">
        <v>8.7508643677171195E-3</v>
      </c>
      <c r="D43" s="14">
        <v>5.83744672843852E-3</v>
      </c>
      <c r="E43" s="14">
        <v>1.1721956017864001E-2</v>
      </c>
      <c r="F43" s="14"/>
      <c r="G43" s="14">
        <v>0</v>
      </c>
      <c r="H43" s="14">
        <v>1.7577038186007601E-2</v>
      </c>
      <c r="I43" s="14">
        <v>4.8689075197156902E-3</v>
      </c>
      <c r="J43" s="14">
        <v>9.3737350318322896E-3</v>
      </c>
      <c r="K43" s="14">
        <v>0</v>
      </c>
      <c r="L43" s="14">
        <v>0</v>
      </c>
      <c r="M43" s="14"/>
      <c r="N43" s="14">
        <v>3.3909279362673598E-3</v>
      </c>
      <c r="O43" s="14">
        <v>0</v>
      </c>
      <c r="P43" s="14">
        <v>3.2676714935303899E-2</v>
      </c>
      <c r="Q43" s="14">
        <v>5.53053724340533E-3</v>
      </c>
      <c r="R43" s="14"/>
      <c r="S43" s="14">
        <v>5.0228429359298497E-3</v>
      </c>
      <c r="T43" s="14">
        <v>9.8636012076583693E-3</v>
      </c>
      <c r="U43" s="14">
        <v>0</v>
      </c>
      <c r="V43" s="14">
        <v>4.4352508063402601E-2</v>
      </c>
      <c r="W43" s="14">
        <v>0</v>
      </c>
      <c r="X43" s="14">
        <v>1.49890313038782E-2</v>
      </c>
      <c r="Y43" s="14">
        <v>0</v>
      </c>
      <c r="Z43" s="14">
        <v>0</v>
      </c>
      <c r="AA43" s="14">
        <v>0</v>
      </c>
      <c r="AB43" s="14"/>
      <c r="AC43" s="14">
        <v>1.04488398441099E-2</v>
      </c>
      <c r="AD43" s="14">
        <v>2.5422597736146E-2</v>
      </c>
      <c r="AE43" s="14">
        <v>5.2555186366647702E-3</v>
      </c>
      <c r="AF43" s="14">
        <v>0</v>
      </c>
      <c r="AG43" s="14">
        <v>0</v>
      </c>
      <c r="AH43" s="14"/>
      <c r="AI43" s="14">
        <v>4.5807506720455804E-3</v>
      </c>
      <c r="AJ43" s="14">
        <v>2.1776223556960399E-2</v>
      </c>
      <c r="AK43" s="14">
        <v>0</v>
      </c>
      <c r="AL43" s="14">
        <v>0</v>
      </c>
      <c r="AM43" s="14">
        <v>0</v>
      </c>
      <c r="AN43" s="14">
        <v>0</v>
      </c>
      <c r="AO43" s="14"/>
      <c r="AP43" s="14">
        <v>3.2120685378900799E-3</v>
      </c>
      <c r="AQ43" s="14">
        <v>1.4801555762274401E-2</v>
      </c>
      <c r="AR43" s="14"/>
      <c r="AS43" s="14">
        <v>9.96720871789754E-3</v>
      </c>
      <c r="AT43" s="14">
        <v>7.6437761828300104E-3</v>
      </c>
      <c r="AU43" s="14" t="s">
        <v>88</v>
      </c>
      <c r="AV43" s="14"/>
      <c r="AW43" s="14">
        <v>5.3208733710905804E-3</v>
      </c>
      <c r="AX43" s="14">
        <v>1.6628538519823301E-2</v>
      </c>
      <c r="AY43" s="14"/>
      <c r="AZ43" s="14">
        <v>6.9550016878311399E-3</v>
      </c>
      <c r="BA43" s="14">
        <v>7.2021862395271596E-3</v>
      </c>
    </row>
    <row r="44" spans="2:53" x14ac:dyDescent="0.35">
      <c r="B44" t="s">
        <v>80</v>
      </c>
      <c r="C44" s="14">
        <v>1.8986947119257599E-3</v>
      </c>
      <c r="D44" s="14">
        <v>3.76053248628593E-3</v>
      </c>
      <c r="E44" s="14">
        <v>0</v>
      </c>
      <c r="F44" s="14"/>
      <c r="G44" s="14">
        <v>0</v>
      </c>
      <c r="H44" s="14">
        <v>0</v>
      </c>
      <c r="I44" s="14">
        <v>0</v>
      </c>
      <c r="J44" s="14">
        <v>1.22182066340001E-2</v>
      </c>
      <c r="K44" s="14">
        <v>0</v>
      </c>
      <c r="L44" s="14">
        <v>0</v>
      </c>
      <c r="M44" s="14"/>
      <c r="N44" s="14">
        <v>0</v>
      </c>
      <c r="O44" s="14">
        <v>6.7168420802028797E-3</v>
      </c>
      <c r="P44" s="14">
        <v>0</v>
      </c>
      <c r="Q44" s="14">
        <v>0</v>
      </c>
      <c r="R44" s="14"/>
      <c r="S44" s="14">
        <v>1.09875454256444E-2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/>
      <c r="AI44" s="14">
        <v>0</v>
      </c>
      <c r="AJ44" s="14">
        <v>0</v>
      </c>
      <c r="AK44" s="14">
        <v>0</v>
      </c>
      <c r="AL44" s="14">
        <v>1.4186912296410399E-2</v>
      </c>
      <c r="AM44" s="14">
        <v>0</v>
      </c>
      <c r="AN44" s="14">
        <v>0</v>
      </c>
      <c r="AO44" s="14"/>
      <c r="AP44" s="14">
        <v>3.6367576318077298E-3</v>
      </c>
      <c r="AQ44" s="14">
        <v>0</v>
      </c>
      <c r="AR44" s="14"/>
      <c r="AS44" s="14">
        <v>3.9847675443296501E-3</v>
      </c>
      <c r="AT44" s="14">
        <v>0</v>
      </c>
      <c r="AU44" s="14" t="s">
        <v>88</v>
      </c>
      <c r="AV44" s="14"/>
      <c r="AW44" s="14">
        <v>0</v>
      </c>
      <c r="AX44" s="14">
        <v>0</v>
      </c>
      <c r="AY44" s="14"/>
      <c r="AZ44" s="14">
        <v>2.40436577391386E-3</v>
      </c>
      <c r="BA44" s="14">
        <v>0</v>
      </c>
    </row>
    <row r="45" spans="2:53" x14ac:dyDescent="0.35">
      <c r="B45" t="s">
        <v>81</v>
      </c>
      <c r="C45" s="14">
        <v>0.94943274827270896</v>
      </c>
      <c r="D45" s="14">
        <v>0.96103431060179301</v>
      </c>
      <c r="E45" s="14">
        <v>0.93760152143455</v>
      </c>
      <c r="F45" s="14"/>
      <c r="G45" s="14">
        <v>1</v>
      </c>
      <c r="H45" s="14">
        <v>0.94409207666012196</v>
      </c>
      <c r="I45" s="14">
        <v>0.95373618974109198</v>
      </c>
      <c r="J45" s="14">
        <v>0.94686809074482403</v>
      </c>
      <c r="K45" s="14">
        <v>1</v>
      </c>
      <c r="L45" s="14">
        <v>0.34819201228478702</v>
      </c>
      <c r="M45" s="14"/>
      <c r="N45" s="14">
        <v>0.97252053247545101</v>
      </c>
      <c r="O45" s="14">
        <v>0.94773730686431301</v>
      </c>
      <c r="P45" s="14">
        <v>0.92967442556755697</v>
      </c>
      <c r="Q45" s="14">
        <v>0.94331646133261304</v>
      </c>
      <c r="R45" s="14"/>
      <c r="S45" s="14">
        <v>0.95236294442603098</v>
      </c>
      <c r="T45" s="14">
        <v>0.94685292879618499</v>
      </c>
      <c r="U45" s="14">
        <v>0.93267157161182102</v>
      </c>
      <c r="V45" s="14">
        <v>0.95564749193659704</v>
      </c>
      <c r="W45" s="14">
        <v>0.90499174275639904</v>
      </c>
      <c r="X45" s="14">
        <v>0.91932728591486601</v>
      </c>
      <c r="Y45" s="14">
        <v>0.97730917076443402</v>
      </c>
      <c r="Z45" s="14">
        <v>0.96920727084004499</v>
      </c>
      <c r="AA45" s="14">
        <v>0.97903976339853804</v>
      </c>
      <c r="AB45" s="14"/>
      <c r="AC45" s="14">
        <v>0.91852975579532903</v>
      </c>
      <c r="AD45" s="14">
        <v>0.94471897575299202</v>
      </c>
      <c r="AE45" s="14">
        <v>0.959684238791356</v>
      </c>
      <c r="AF45" s="14">
        <v>0.990876030130865</v>
      </c>
      <c r="AG45" s="14">
        <v>1</v>
      </c>
      <c r="AH45" s="14"/>
      <c r="AI45" s="14">
        <v>0.96697514856479805</v>
      </c>
      <c r="AJ45" s="14">
        <v>0.93587337937608595</v>
      </c>
      <c r="AK45" s="14">
        <v>0.91180978633346599</v>
      </c>
      <c r="AL45" s="14">
        <v>0.95334738146855402</v>
      </c>
      <c r="AM45" s="14">
        <v>1</v>
      </c>
      <c r="AN45" s="14">
        <v>0.96443134829539801</v>
      </c>
      <c r="AO45" s="14"/>
      <c r="AP45" s="14">
        <v>0.97278817960878095</v>
      </c>
      <c r="AQ45" s="14">
        <v>0.92391880774427604</v>
      </c>
      <c r="AR45" s="14"/>
      <c r="AS45" s="14">
        <v>0.95158064590379998</v>
      </c>
      <c r="AT45" s="14">
        <v>0.947477782074712</v>
      </c>
      <c r="AU45" s="14" t="s">
        <v>88</v>
      </c>
      <c r="AV45" s="14"/>
      <c r="AW45" s="14">
        <v>0.94920627385789402</v>
      </c>
      <c r="AX45" s="14">
        <v>0.95712781459833596</v>
      </c>
      <c r="AY45" s="14"/>
      <c r="AZ45" s="14">
        <v>0.95284754484428402</v>
      </c>
      <c r="BA45" s="14">
        <v>0.95793928435278997</v>
      </c>
    </row>
    <row r="46" spans="2:53" x14ac:dyDescent="0.3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</row>
    <row r="47" spans="2:53" x14ac:dyDescent="0.35">
      <c r="B47" s="6" t="s">
        <v>93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</row>
    <row r="48" spans="2:53" x14ac:dyDescent="0.35">
      <c r="B48" s="24" t="s">
        <v>86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</row>
    <row r="49" spans="2:53" x14ac:dyDescent="0.35">
      <c r="B49" t="s">
        <v>76</v>
      </c>
      <c r="C49" s="14">
        <v>0.46832988580354501</v>
      </c>
      <c r="D49" s="14">
        <v>0.51640291238731695</v>
      </c>
      <c r="E49" s="14">
        <v>0.41930520566338603</v>
      </c>
      <c r="F49" s="14"/>
      <c r="G49" s="14">
        <v>0.470896221967463</v>
      </c>
      <c r="H49" s="14">
        <v>0.50006944030574396</v>
      </c>
      <c r="I49" s="14">
        <v>0.48975939532719298</v>
      </c>
      <c r="J49" s="14">
        <v>0.38487992695485801</v>
      </c>
      <c r="K49" s="14">
        <v>0.29408476599299799</v>
      </c>
      <c r="L49" s="14">
        <v>0.34819201228478702</v>
      </c>
      <c r="M49" s="14"/>
      <c r="N49" s="14">
        <v>0.51589961368434401</v>
      </c>
      <c r="O49" s="14">
        <v>0.45156662553791899</v>
      </c>
      <c r="P49" s="14">
        <v>0.37596018195430198</v>
      </c>
      <c r="Q49" s="14">
        <v>0.51138654633029801</v>
      </c>
      <c r="R49" s="14"/>
      <c r="S49" s="14">
        <v>0.54513000839884995</v>
      </c>
      <c r="T49" s="14">
        <v>0.49219371587613497</v>
      </c>
      <c r="U49" s="14">
        <v>0.40109190217585999</v>
      </c>
      <c r="V49" s="14">
        <v>0.43779562742286698</v>
      </c>
      <c r="W49" s="14">
        <v>0.49708061664083802</v>
      </c>
      <c r="X49" s="14">
        <v>0.50846937646047596</v>
      </c>
      <c r="Y49" s="14">
        <v>0.45642830313809302</v>
      </c>
      <c r="Z49" s="14">
        <v>0.220547206776949</v>
      </c>
      <c r="AA49" s="14">
        <v>0.46381815020042599</v>
      </c>
      <c r="AB49" s="14"/>
      <c r="AC49" s="14">
        <v>0.44009808128974698</v>
      </c>
      <c r="AD49" s="14">
        <v>0.44479930866654799</v>
      </c>
      <c r="AE49" s="14">
        <v>0.47456396441543303</v>
      </c>
      <c r="AF49" s="14">
        <v>0.57810008669249102</v>
      </c>
      <c r="AG49" s="14">
        <v>0.51472186203370096</v>
      </c>
      <c r="AH49" s="14"/>
      <c r="AI49" s="14">
        <v>0.51710780609606499</v>
      </c>
      <c r="AJ49" s="14">
        <v>0.466645268565204</v>
      </c>
      <c r="AK49" s="14">
        <v>0.499947599685303</v>
      </c>
      <c r="AL49" s="14">
        <v>0.37095284586213401</v>
      </c>
      <c r="AM49" s="14">
        <v>0.33024446302935501</v>
      </c>
      <c r="AN49" s="14">
        <v>0.49933708985599701</v>
      </c>
      <c r="AO49" s="14"/>
      <c r="AP49" s="14">
        <v>0.51099089943569898</v>
      </c>
      <c r="AQ49" s="14">
        <v>0.42172614087452798</v>
      </c>
      <c r="AR49" s="14"/>
      <c r="AS49" s="14">
        <v>0.47994436665585399</v>
      </c>
      <c r="AT49" s="14">
        <v>0.45775865692146001</v>
      </c>
      <c r="AU49" s="14" t="s">
        <v>88</v>
      </c>
      <c r="AV49" s="14"/>
      <c r="AW49" s="14">
        <v>0.44559943303023503</v>
      </c>
      <c r="AX49" s="14">
        <v>0.598620303728153</v>
      </c>
      <c r="AY49" s="14"/>
      <c r="AZ49" s="14">
        <v>0.494066385216618</v>
      </c>
      <c r="BA49" s="14">
        <v>0.37809154834465097</v>
      </c>
    </row>
    <row r="50" spans="2:53" x14ac:dyDescent="0.35">
      <c r="B50" t="s">
        <v>77</v>
      </c>
      <c r="C50" s="14">
        <v>0.395420160475706</v>
      </c>
      <c r="D50" s="14">
        <v>0.34678264497575201</v>
      </c>
      <c r="E50" s="14">
        <v>0.44502050415371802</v>
      </c>
      <c r="F50" s="14"/>
      <c r="G50" s="14">
        <v>0.27088294146101</v>
      </c>
      <c r="H50" s="14">
        <v>0.38037685050321801</v>
      </c>
      <c r="I50" s="14">
        <v>0.38170873186153897</v>
      </c>
      <c r="J50" s="14">
        <v>0.41632431005367998</v>
      </c>
      <c r="K50" s="14">
        <v>0.70591523400700196</v>
      </c>
      <c r="L50" s="14">
        <v>0</v>
      </c>
      <c r="M50" s="14"/>
      <c r="N50" s="14">
        <v>0.38512015595716098</v>
      </c>
      <c r="O50" s="14">
        <v>0.40301422309326101</v>
      </c>
      <c r="P50" s="14">
        <v>0.41703131152385098</v>
      </c>
      <c r="Q50" s="14">
        <v>0.378140196990702</v>
      </c>
      <c r="R50" s="14"/>
      <c r="S50" s="14">
        <v>0.35328996745621499</v>
      </c>
      <c r="T50" s="14">
        <v>0.33916241893221899</v>
      </c>
      <c r="U50" s="14">
        <v>0.47893856743568602</v>
      </c>
      <c r="V50" s="14">
        <v>0.30806639131930502</v>
      </c>
      <c r="W50" s="14">
        <v>0.38917864035011801</v>
      </c>
      <c r="X50" s="14">
        <v>0.35190758448930798</v>
      </c>
      <c r="Y50" s="14">
        <v>0.43928664310270299</v>
      </c>
      <c r="Z50" s="14">
        <v>0.65714224354029804</v>
      </c>
      <c r="AA50" s="14">
        <v>0.44110025918490298</v>
      </c>
      <c r="AB50" s="14"/>
      <c r="AC50" s="14">
        <v>0.370061443808956</v>
      </c>
      <c r="AD50" s="14">
        <v>0.38557432303271599</v>
      </c>
      <c r="AE50" s="14">
        <v>0.40959546733461</v>
      </c>
      <c r="AF50" s="14">
        <v>0.31758250478088301</v>
      </c>
      <c r="AG50" s="14">
        <v>0.42021662001428201</v>
      </c>
      <c r="AH50" s="14"/>
      <c r="AI50" s="14">
        <v>0.383560599623261</v>
      </c>
      <c r="AJ50" s="14">
        <v>0.39627830327595598</v>
      </c>
      <c r="AK50" s="14">
        <v>0.36720268556539898</v>
      </c>
      <c r="AL50" s="14">
        <v>0.44260105171179498</v>
      </c>
      <c r="AM50" s="14">
        <v>0.51083615504228697</v>
      </c>
      <c r="AN50" s="14">
        <v>0.42463895063486701</v>
      </c>
      <c r="AO50" s="14"/>
      <c r="AP50" s="14">
        <v>0.36595982445523001</v>
      </c>
      <c r="AQ50" s="14">
        <v>0.427603221039148</v>
      </c>
      <c r="AR50" s="14"/>
      <c r="AS50" s="14">
        <v>0.390129222635198</v>
      </c>
      <c r="AT50" s="14">
        <v>0.400235848376365</v>
      </c>
      <c r="AU50" s="14" t="s">
        <v>88</v>
      </c>
      <c r="AV50" s="14"/>
      <c r="AW50" s="14">
        <v>0.40561414166281301</v>
      </c>
      <c r="AX50" s="14">
        <v>0.34444486151394899</v>
      </c>
      <c r="AY50" s="14"/>
      <c r="AZ50" s="14">
        <v>0.39155164773433498</v>
      </c>
      <c r="BA50" s="14">
        <v>0.426282845227276</v>
      </c>
    </row>
    <row r="51" spans="2:53" x14ac:dyDescent="0.35">
      <c r="B51" t="s">
        <v>78</v>
      </c>
      <c r="C51" s="14">
        <v>0.10457355810276001</v>
      </c>
      <c r="D51" s="14">
        <v>0.10427438825011</v>
      </c>
      <c r="E51" s="14">
        <v>0.104878650321329</v>
      </c>
      <c r="F51" s="14"/>
      <c r="G51" s="14">
        <v>0.14895747209976901</v>
      </c>
      <c r="H51" s="14">
        <v>8.0269614017221005E-2</v>
      </c>
      <c r="I51" s="14">
        <v>0.102830711974662</v>
      </c>
      <c r="J51" s="14">
        <v>0.15746558151971901</v>
      </c>
      <c r="K51" s="14">
        <v>0</v>
      </c>
      <c r="L51" s="14">
        <v>0.65180798771521298</v>
      </c>
      <c r="M51" s="14"/>
      <c r="N51" s="14">
        <v>7.9548869479771606E-2</v>
      </c>
      <c r="O51" s="14">
        <v>0.12043346520671799</v>
      </c>
      <c r="P51" s="14">
        <v>0.12927451927167899</v>
      </c>
      <c r="Q51" s="14">
        <v>9.3948120732399096E-2</v>
      </c>
      <c r="R51" s="14"/>
      <c r="S51" s="14">
        <v>7.2866351871594098E-2</v>
      </c>
      <c r="T51" s="14">
        <v>0.15357093296419799</v>
      </c>
      <c r="U51" s="14">
        <v>9.7544734209525794E-2</v>
      </c>
      <c r="V51" s="14">
        <v>0.13720005714040101</v>
      </c>
      <c r="W51" s="14">
        <v>0.11374074300904501</v>
      </c>
      <c r="X51" s="14">
        <v>7.93021262772267E-2</v>
      </c>
      <c r="Y51" s="14">
        <v>9.1458027293454799E-2</v>
      </c>
      <c r="Z51" s="14">
        <v>7.4418135402587404E-2</v>
      </c>
      <c r="AA51" s="14">
        <v>9.5081590614670905E-2</v>
      </c>
      <c r="AB51" s="14"/>
      <c r="AC51" s="14">
        <v>0.12613257434354899</v>
      </c>
      <c r="AD51" s="14">
        <v>0.13183408653725401</v>
      </c>
      <c r="AE51" s="14">
        <v>8.8165459296239798E-2</v>
      </c>
      <c r="AF51" s="14">
        <v>9.1915369644393799E-2</v>
      </c>
      <c r="AG51" s="14">
        <v>6.5061517952017006E-2</v>
      </c>
      <c r="AH51" s="14"/>
      <c r="AI51" s="14">
        <v>7.7097710936583297E-2</v>
      </c>
      <c r="AJ51" s="14">
        <v>9.7391928467418204E-2</v>
      </c>
      <c r="AK51" s="14">
        <v>0.124655920448345</v>
      </c>
      <c r="AL51" s="14">
        <v>0.15129150095562799</v>
      </c>
      <c r="AM51" s="14">
        <v>0.13252543951741699</v>
      </c>
      <c r="AN51" s="14">
        <v>3.6627784834562797E-2</v>
      </c>
      <c r="AO51" s="14"/>
      <c r="AP51" s="14">
        <v>8.7521152432069205E-2</v>
      </c>
      <c r="AQ51" s="14">
        <v>0.12320194727221</v>
      </c>
      <c r="AR51" s="14"/>
      <c r="AS51" s="14">
        <v>9.7483319923241094E-2</v>
      </c>
      <c r="AT51" s="14">
        <v>0.111026927097664</v>
      </c>
      <c r="AU51" s="14" t="s">
        <v>88</v>
      </c>
      <c r="AV51" s="14"/>
      <c r="AW51" s="14">
        <v>0.120867238686372</v>
      </c>
      <c r="AX51" s="14">
        <v>2.92061981610117E-2</v>
      </c>
      <c r="AY51" s="14"/>
      <c r="AZ51" s="14">
        <v>8.5788962878992195E-2</v>
      </c>
      <c r="BA51" s="14">
        <v>0.16713897516131501</v>
      </c>
    </row>
    <row r="52" spans="2:53" x14ac:dyDescent="0.35">
      <c r="B52" t="s">
        <v>79</v>
      </c>
      <c r="C52" s="14">
        <v>2.8244256832387699E-2</v>
      </c>
      <c r="D52" s="14">
        <v>2.5742400546197301E-2</v>
      </c>
      <c r="E52" s="14">
        <v>3.07956398615673E-2</v>
      </c>
      <c r="F52" s="14"/>
      <c r="G52" s="14">
        <v>0.109263364471757</v>
      </c>
      <c r="H52" s="14">
        <v>3.36088067777736E-2</v>
      </c>
      <c r="I52" s="14">
        <v>2.5701160836605601E-2</v>
      </c>
      <c r="J52" s="14">
        <v>2.91119748377426E-2</v>
      </c>
      <c r="K52" s="14">
        <v>0</v>
      </c>
      <c r="L52" s="14">
        <v>0</v>
      </c>
      <c r="M52" s="14"/>
      <c r="N52" s="14">
        <v>1.94313608787244E-2</v>
      </c>
      <c r="O52" s="14">
        <v>1.2844116442954899E-2</v>
      </c>
      <c r="P52" s="14">
        <v>7.7733987250168501E-2</v>
      </c>
      <c r="Q52" s="14">
        <v>1.6525135946600399E-2</v>
      </c>
      <c r="R52" s="14"/>
      <c r="S52" s="14">
        <v>1.77261268476968E-2</v>
      </c>
      <c r="T52" s="14">
        <v>1.50729322274479E-2</v>
      </c>
      <c r="U52" s="14">
        <v>2.24247961789278E-2</v>
      </c>
      <c r="V52" s="14">
        <v>0.116937924117427</v>
      </c>
      <c r="W52" s="14">
        <v>0</v>
      </c>
      <c r="X52" s="14">
        <v>4.4541851605572301E-2</v>
      </c>
      <c r="Y52" s="14">
        <v>1.28270264657489E-2</v>
      </c>
      <c r="Z52" s="14">
        <v>4.7892414280165101E-2</v>
      </c>
      <c r="AA52" s="14">
        <v>0</v>
      </c>
      <c r="AB52" s="14"/>
      <c r="AC52" s="14">
        <v>6.3707900557749303E-2</v>
      </c>
      <c r="AD52" s="14">
        <v>3.7792281763482601E-2</v>
      </c>
      <c r="AE52" s="14">
        <v>2.76751089537173E-2</v>
      </c>
      <c r="AF52" s="14">
        <v>1.2402038882232E-2</v>
      </c>
      <c r="AG52" s="14">
        <v>0</v>
      </c>
      <c r="AH52" s="14"/>
      <c r="AI52" s="14">
        <v>2.22338833440901E-2</v>
      </c>
      <c r="AJ52" s="14">
        <v>3.9684499691421897E-2</v>
      </c>
      <c r="AK52" s="14">
        <v>8.1937943009527999E-3</v>
      </c>
      <c r="AL52" s="14">
        <v>9.5099037554294292E-3</v>
      </c>
      <c r="AM52" s="14">
        <v>2.6393942410940601E-2</v>
      </c>
      <c r="AN52" s="14">
        <v>3.9396174674572897E-2</v>
      </c>
      <c r="AO52" s="14"/>
      <c r="AP52" s="14">
        <v>2.8954209058944198E-2</v>
      </c>
      <c r="AQ52" s="14">
        <v>2.7468690814113701E-2</v>
      </c>
      <c r="AR52" s="14"/>
      <c r="AS52" s="14">
        <v>2.8458323241376801E-2</v>
      </c>
      <c r="AT52" s="14">
        <v>2.80494185925933E-2</v>
      </c>
      <c r="AU52" s="14" t="s">
        <v>88</v>
      </c>
      <c r="AV52" s="14"/>
      <c r="AW52" s="14">
        <v>2.79191866205807E-2</v>
      </c>
      <c r="AX52" s="14">
        <v>2.77286365968866E-2</v>
      </c>
      <c r="AY52" s="14"/>
      <c r="AZ52" s="14">
        <v>2.6188638396140902E-2</v>
      </c>
      <c r="BA52" s="14">
        <v>2.84866312667581E-2</v>
      </c>
    </row>
    <row r="53" spans="2:53" x14ac:dyDescent="0.35">
      <c r="B53" t="s">
        <v>80</v>
      </c>
      <c r="C53" s="14">
        <v>3.43213878560099E-3</v>
      </c>
      <c r="D53" s="14">
        <v>6.7976538406239297E-3</v>
      </c>
      <c r="E53" s="14">
        <v>0</v>
      </c>
      <c r="F53" s="14"/>
      <c r="G53" s="14">
        <v>0</v>
      </c>
      <c r="H53" s="14">
        <v>5.67528839604325E-3</v>
      </c>
      <c r="I53" s="14">
        <v>0</v>
      </c>
      <c r="J53" s="14">
        <v>1.22182066340001E-2</v>
      </c>
      <c r="K53" s="14">
        <v>0</v>
      </c>
      <c r="L53" s="14">
        <v>0</v>
      </c>
      <c r="M53" s="14"/>
      <c r="N53" s="14">
        <v>0</v>
      </c>
      <c r="O53" s="14">
        <v>1.21415697191464E-2</v>
      </c>
      <c r="P53" s="14">
        <v>0</v>
      </c>
      <c r="Q53" s="14">
        <v>0</v>
      </c>
      <c r="R53" s="14"/>
      <c r="S53" s="14">
        <v>1.09875454256444E-2</v>
      </c>
      <c r="T53" s="14">
        <v>0</v>
      </c>
      <c r="U53" s="14">
        <v>0</v>
      </c>
      <c r="V53" s="14">
        <v>0</v>
      </c>
      <c r="W53" s="14">
        <v>0</v>
      </c>
      <c r="X53" s="14">
        <v>1.5779061167417199E-2</v>
      </c>
      <c r="Y53" s="14">
        <v>0</v>
      </c>
      <c r="Z53" s="14">
        <v>0</v>
      </c>
      <c r="AA53" s="14">
        <v>0</v>
      </c>
      <c r="AB53" s="14"/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/>
      <c r="AI53" s="14">
        <v>0</v>
      </c>
      <c r="AJ53" s="14">
        <v>0</v>
      </c>
      <c r="AK53" s="14">
        <v>0</v>
      </c>
      <c r="AL53" s="14">
        <v>2.5644697715013001E-2</v>
      </c>
      <c r="AM53" s="14">
        <v>0</v>
      </c>
      <c r="AN53" s="14">
        <v>0</v>
      </c>
      <c r="AO53" s="14"/>
      <c r="AP53" s="14">
        <v>6.57391461805777E-3</v>
      </c>
      <c r="AQ53" s="14">
        <v>0</v>
      </c>
      <c r="AR53" s="14"/>
      <c r="AS53" s="14">
        <v>3.9847675443296501E-3</v>
      </c>
      <c r="AT53" s="14">
        <v>2.9291490119184201E-3</v>
      </c>
      <c r="AU53" s="14" t="s">
        <v>88</v>
      </c>
      <c r="AV53" s="14"/>
      <c r="AW53" s="14">
        <v>0</v>
      </c>
      <c r="AX53" s="14">
        <v>0</v>
      </c>
      <c r="AY53" s="14"/>
      <c r="AZ53" s="14">
        <v>2.40436577391386E-3</v>
      </c>
      <c r="BA53" s="14">
        <v>0</v>
      </c>
    </row>
    <row r="54" spans="2:53" x14ac:dyDescent="0.35">
      <c r="B54" t="s">
        <v>81</v>
      </c>
      <c r="C54" s="14">
        <v>0.863750046279251</v>
      </c>
      <c r="D54" s="14">
        <v>0.86318555736306901</v>
      </c>
      <c r="E54" s="14">
        <v>0.86432570981710399</v>
      </c>
      <c r="F54" s="14"/>
      <c r="G54" s="14">
        <v>0.74177916342847405</v>
      </c>
      <c r="H54" s="14">
        <v>0.88044629080896197</v>
      </c>
      <c r="I54" s="14">
        <v>0.87146812718873201</v>
      </c>
      <c r="J54" s="14">
        <v>0.80120423700853904</v>
      </c>
      <c r="K54" s="14">
        <v>1</v>
      </c>
      <c r="L54" s="14">
        <v>0.34819201228478702</v>
      </c>
      <c r="M54" s="14"/>
      <c r="N54" s="14">
        <v>0.90101976964150399</v>
      </c>
      <c r="O54" s="14">
        <v>0.85458084863118</v>
      </c>
      <c r="P54" s="14">
        <v>0.79299149347815201</v>
      </c>
      <c r="Q54" s="14">
        <v>0.88952674332100101</v>
      </c>
      <c r="R54" s="14"/>
      <c r="S54" s="14">
        <v>0.89841997585506495</v>
      </c>
      <c r="T54" s="14">
        <v>0.83135613480835402</v>
      </c>
      <c r="U54" s="14">
        <v>0.88003046961154596</v>
      </c>
      <c r="V54" s="14">
        <v>0.74586201874217095</v>
      </c>
      <c r="W54" s="14">
        <v>0.88625925699095498</v>
      </c>
      <c r="X54" s="14">
        <v>0.860376960949784</v>
      </c>
      <c r="Y54" s="14">
        <v>0.89571494624079695</v>
      </c>
      <c r="Z54" s="14">
        <v>0.87768945031724699</v>
      </c>
      <c r="AA54" s="14">
        <v>0.90491840938532897</v>
      </c>
      <c r="AB54" s="14"/>
      <c r="AC54" s="14">
        <v>0.81015952509870204</v>
      </c>
      <c r="AD54" s="14">
        <v>0.83037363169926404</v>
      </c>
      <c r="AE54" s="14">
        <v>0.88415943175004297</v>
      </c>
      <c r="AF54" s="14">
        <v>0.89568259147337403</v>
      </c>
      <c r="AG54" s="14">
        <v>0.93493848204798302</v>
      </c>
      <c r="AH54" s="14"/>
      <c r="AI54" s="14">
        <v>0.90066840571932705</v>
      </c>
      <c r="AJ54" s="14">
        <v>0.86292357184115998</v>
      </c>
      <c r="AK54" s="14">
        <v>0.86715028525070204</v>
      </c>
      <c r="AL54" s="14">
        <v>0.81355389757393004</v>
      </c>
      <c r="AM54" s="14">
        <v>0.84108061807164203</v>
      </c>
      <c r="AN54" s="14">
        <v>0.92397604049086401</v>
      </c>
      <c r="AO54" s="14"/>
      <c r="AP54" s="14">
        <v>0.87695072389092898</v>
      </c>
      <c r="AQ54" s="14">
        <v>0.84932936191367603</v>
      </c>
      <c r="AR54" s="14"/>
      <c r="AS54" s="14">
        <v>0.87007358929105205</v>
      </c>
      <c r="AT54" s="14">
        <v>0.85799450529782495</v>
      </c>
      <c r="AU54" s="14" t="s">
        <v>88</v>
      </c>
      <c r="AV54" s="14"/>
      <c r="AW54" s="14">
        <v>0.85121357469304704</v>
      </c>
      <c r="AX54" s="14">
        <v>0.94306516524210204</v>
      </c>
      <c r="AY54" s="14"/>
      <c r="AZ54" s="14">
        <v>0.88561803295095298</v>
      </c>
      <c r="BA54" s="14">
        <v>0.80437439357192697</v>
      </c>
    </row>
    <row r="55" spans="2:53" x14ac:dyDescent="0.35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</row>
    <row r="56" spans="2:53" x14ac:dyDescent="0.35">
      <c r="B56" s="6" t="s">
        <v>94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</row>
    <row r="57" spans="2:53" x14ac:dyDescent="0.35">
      <c r="B57" s="24" t="s">
        <v>86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</row>
    <row r="58" spans="2:53" x14ac:dyDescent="0.35">
      <c r="B58" t="s">
        <v>76</v>
      </c>
      <c r="C58" s="14">
        <v>0.41502092064816698</v>
      </c>
      <c r="D58" s="14">
        <v>0.41092085145648</v>
      </c>
      <c r="E58" s="14">
        <v>0.41920215480293099</v>
      </c>
      <c r="F58" s="14"/>
      <c r="G58" s="14">
        <v>0.222480512470702</v>
      </c>
      <c r="H58" s="14">
        <v>0.45976792496929197</v>
      </c>
      <c r="I58" s="14">
        <v>0.43260508793223601</v>
      </c>
      <c r="J58" s="14">
        <v>0.332942041498548</v>
      </c>
      <c r="K58" s="14">
        <v>0.245983580857491</v>
      </c>
      <c r="L58" s="14">
        <v>0.34819201228478702</v>
      </c>
      <c r="M58" s="14"/>
      <c r="N58" s="14">
        <v>0.46594131568803299</v>
      </c>
      <c r="O58" s="14">
        <v>0.40037659875821302</v>
      </c>
      <c r="P58" s="14">
        <v>0.42931439580750902</v>
      </c>
      <c r="Q58" s="14">
        <v>0.37264086377746902</v>
      </c>
      <c r="R58" s="14"/>
      <c r="S58" s="14">
        <v>0.50086010330889597</v>
      </c>
      <c r="T58" s="14">
        <v>0.43177883436035303</v>
      </c>
      <c r="U58" s="14">
        <v>0.37364185447092901</v>
      </c>
      <c r="V58" s="14">
        <v>0.43051132380076701</v>
      </c>
      <c r="W58" s="14">
        <v>0.43131198118533598</v>
      </c>
      <c r="X58" s="14">
        <v>0.368786429293675</v>
      </c>
      <c r="Y58" s="14">
        <v>0.400972322078817</v>
      </c>
      <c r="Z58" s="14">
        <v>0.28629630099404302</v>
      </c>
      <c r="AA58" s="14">
        <v>0.38043379159573498</v>
      </c>
      <c r="AB58" s="14"/>
      <c r="AC58" s="14">
        <v>0.37091786223102102</v>
      </c>
      <c r="AD58" s="14">
        <v>0.367464205543234</v>
      </c>
      <c r="AE58" s="14">
        <v>0.409493367221414</v>
      </c>
      <c r="AF58" s="14">
        <v>0.50222511799930802</v>
      </c>
      <c r="AG58" s="14">
        <v>0.41912667870410802</v>
      </c>
      <c r="AH58" s="14"/>
      <c r="AI58" s="14">
        <v>0.49586948304769402</v>
      </c>
      <c r="AJ58" s="14">
        <v>0.46336190676588701</v>
      </c>
      <c r="AK58" s="14">
        <v>0.324590207852538</v>
      </c>
      <c r="AL58" s="14">
        <v>0.37411273034167902</v>
      </c>
      <c r="AM58" s="14">
        <v>0.31848665162152201</v>
      </c>
      <c r="AN58" s="14">
        <v>0.37825582670645402</v>
      </c>
      <c r="AO58" s="14"/>
      <c r="AP58" s="14">
        <v>0.40967044877694297</v>
      </c>
      <c r="AQ58" s="14">
        <v>0.420865883182027</v>
      </c>
      <c r="AR58" s="14"/>
      <c r="AS58" s="14">
        <v>0.43511161566668299</v>
      </c>
      <c r="AT58" s="14">
        <v>0.39673483983735902</v>
      </c>
      <c r="AU58" s="14" t="s">
        <v>88</v>
      </c>
      <c r="AV58" s="14"/>
      <c r="AW58" s="14">
        <v>0.39377174658026998</v>
      </c>
      <c r="AX58" s="14">
        <v>0.530350092705276</v>
      </c>
      <c r="AY58" s="14"/>
      <c r="AZ58" s="14">
        <v>0.430811296212461</v>
      </c>
      <c r="BA58" s="14">
        <v>0.361492140624598</v>
      </c>
    </row>
    <row r="59" spans="2:53" x14ac:dyDescent="0.35">
      <c r="B59" t="s">
        <v>77</v>
      </c>
      <c r="C59" s="14">
        <v>0.45237382490831402</v>
      </c>
      <c r="D59" s="14">
        <v>0.446627111851995</v>
      </c>
      <c r="E59" s="14">
        <v>0.45823429988698799</v>
      </c>
      <c r="F59" s="14"/>
      <c r="G59" s="14">
        <v>0.29531195353540401</v>
      </c>
      <c r="H59" s="14">
        <v>0.39379038327931898</v>
      </c>
      <c r="I59" s="14">
        <v>0.44687929154330103</v>
      </c>
      <c r="J59" s="14">
        <v>0.53778142363871695</v>
      </c>
      <c r="K59" s="14">
        <v>0.70928395563880897</v>
      </c>
      <c r="L59" s="14">
        <v>0</v>
      </c>
      <c r="M59" s="14"/>
      <c r="N59" s="14">
        <v>0.44137498156105298</v>
      </c>
      <c r="O59" s="14">
        <v>0.44762287117732102</v>
      </c>
      <c r="P59" s="14">
        <v>0.45575821547912099</v>
      </c>
      <c r="Q59" s="14">
        <v>0.46291436555841398</v>
      </c>
      <c r="R59" s="14"/>
      <c r="S59" s="14">
        <v>0.41044109828387498</v>
      </c>
      <c r="T59" s="14">
        <v>0.468226425363368</v>
      </c>
      <c r="U59" s="14">
        <v>0.52131390012384504</v>
      </c>
      <c r="V59" s="14">
        <v>0.36280174792848802</v>
      </c>
      <c r="W59" s="14">
        <v>0.46033444939041201</v>
      </c>
      <c r="X59" s="14">
        <v>0.51397197118025295</v>
      </c>
      <c r="Y59" s="14">
        <v>0.42557734415980902</v>
      </c>
      <c r="Z59" s="14">
        <v>0.53730753615200599</v>
      </c>
      <c r="AA59" s="14">
        <v>0.44394006633949201</v>
      </c>
      <c r="AB59" s="14"/>
      <c r="AC59" s="14">
        <v>0.43549088695424198</v>
      </c>
      <c r="AD59" s="14">
        <v>0.53674295148949402</v>
      </c>
      <c r="AE59" s="14">
        <v>0.454533143804636</v>
      </c>
      <c r="AF59" s="14">
        <v>0.40367671500635499</v>
      </c>
      <c r="AG59" s="14">
        <v>0.54277251191834996</v>
      </c>
      <c r="AH59" s="14"/>
      <c r="AI59" s="14">
        <v>0.40716172319386501</v>
      </c>
      <c r="AJ59" s="14">
        <v>0.42481891170334202</v>
      </c>
      <c r="AK59" s="14">
        <v>0.54314960456108596</v>
      </c>
      <c r="AL59" s="14">
        <v>0.458856241255575</v>
      </c>
      <c r="AM59" s="14">
        <v>0.52639654407995196</v>
      </c>
      <c r="AN59" s="14">
        <v>0.45285505571756601</v>
      </c>
      <c r="AO59" s="14"/>
      <c r="AP59" s="14">
        <v>0.45574352722014699</v>
      </c>
      <c r="AQ59" s="14">
        <v>0.44869269467588502</v>
      </c>
      <c r="AR59" s="14"/>
      <c r="AS59" s="14">
        <v>0.464143635174606</v>
      </c>
      <c r="AT59" s="14">
        <v>0.44166121882580001</v>
      </c>
      <c r="AU59" s="14" t="s">
        <v>88</v>
      </c>
      <c r="AV59" s="14"/>
      <c r="AW59" s="14">
        <v>0.464821223766334</v>
      </c>
      <c r="AX59" s="14">
        <v>0.38613927567509898</v>
      </c>
      <c r="AY59" s="14"/>
      <c r="AZ59" s="14">
        <v>0.45001680213530298</v>
      </c>
      <c r="BA59" s="14">
        <v>0.47960471154949402</v>
      </c>
    </row>
    <row r="60" spans="2:53" x14ac:dyDescent="0.35">
      <c r="B60" t="s">
        <v>78</v>
      </c>
      <c r="C60" s="14">
        <v>0.112450767754857</v>
      </c>
      <c r="D60" s="14">
        <v>0.11929945592579801</v>
      </c>
      <c r="E60" s="14">
        <v>0.105466502963976</v>
      </c>
      <c r="F60" s="14"/>
      <c r="G60" s="14">
        <v>0.23794013084486901</v>
      </c>
      <c r="H60" s="14">
        <v>0.12845771883293</v>
      </c>
      <c r="I60" s="14">
        <v>0.102828532591517</v>
      </c>
      <c r="J60" s="14">
        <v>0.107684593196903</v>
      </c>
      <c r="K60" s="14">
        <v>4.47324635036997E-2</v>
      </c>
      <c r="L60" s="14">
        <v>0.65180798771521298</v>
      </c>
      <c r="M60" s="14"/>
      <c r="N60" s="14">
        <v>9.2683702750914698E-2</v>
      </c>
      <c r="O60" s="14">
        <v>0.13985896034532</v>
      </c>
      <c r="P60" s="14">
        <v>8.5630925649238895E-2</v>
      </c>
      <c r="Q60" s="14">
        <v>0.12282952215039</v>
      </c>
      <c r="R60" s="14"/>
      <c r="S60" s="14">
        <v>7.7711252981585002E-2</v>
      </c>
      <c r="T60" s="14">
        <v>7.4279625349116099E-2</v>
      </c>
      <c r="U60" s="14">
        <v>5.47795525794883E-2</v>
      </c>
      <c r="V60" s="14">
        <v>0.189859032341473</v>
      </c>
      <c r="W60" s="14">
        <v>0.108353569424253</v>
      </c>
      <c r="X60" s="14">
        <v>8.6473507054776494E-2</v>
      </c>
      <c r="Y60" s="14">
        <v>0.149163013375363</v>
      </c>
      <c r="Z60" s="14">
        <v>0.17639616285395199</v>
      </c>
      <c r="AA60" s="14">
        <v>0.163942290568793</v>
      </c>
      <c r="AB60" s="14"/>
      <c r="AC60" s="14">
        <v>0.183142410970628</v>
      </c>
      <c r="AD60" s="14">
        <v>8.7637628943335294E-2</v>
      </c>
      <c r="AE60" s="14">
        <v>0.12594236073264001</v>
      </c>
      <c r="AF60" s="14">
        <v>7.8777662148622293E-2</v>
      </c>
      <c r="AG60" s="14">
        <v>3.8100809377542302E-2</v>
      </c>
      <c r="AH60" s="14"/>
      <c r="AI60" s="14">
        <v>8.0863990364721097E-2</v>
      </c>
      <c r="AJ60" s="14">
        <v>0.111819181530771</v>
      </c>
      <c r="AK60" s="14">
        <v>9.3920718155472205E-2</v>
      </c>
      <c r="AL60" s="14">
        <v>0.14138633068773299</v>
      </c>
      <c r="AM60" s="14">
        <v>0.11783513242016</v>
      </c>
      <c r="AN60" s="14">
        <v>0.137836005476105</v>
      </c>
      <c r="AO60" s="14"/>
      <c r="AP60" s="14">
        <v>0.10898342297982901</v>
      </c>
      <c r="AQ60" s="14">
        <v>0.11623856456788299</v>
      </c>
      <c r="AR60" s="14"/>
      <c r="AS60" s="14">
        <v>7.3897512334051299E-2</v>
      </c>
      <c r="AT60" s="14">
        <v>0.14754103932061699</v>
      </c>
      <c r="AU60" s="14" t="s">
        <v>88</v>
      </c>
      <c r="AV60" s="14"/>
      <c r="AW60" s="14">
        <v>0.12200722043213399</v>
      </c>
      <c r="AX60" s="14">
        <v>8.3510631619625006E-2</v>
      </c>
      <c r="AY60" s="14"/>
      <c r="AZ60" s="14">
        <v>0.10453818827873899</v>
      </c>
      <c r="BA60" s="14">
        <v>0.13288098951393801</v>
      </c>
    </row>
    <row r="61" spans="2:53" x14ac:dyDescent="0.35">
      <c r="B61" t="s">
        <v>79</v>
      </c>
      <c r="C61" s="14">
        <v>1.6722347903060899E-2</v>
      </c>
      <c r="D61" s="14">
        <v>1.63549269251024E-2</v>
      </c>
      <c r="E61" s="14">
        <v>1.7097042346103999E-2</v>
      </c>
      <c r="F61" s="14"/>
      <c r="G61" s="14">
        <v>0.24426740314902501</v>
      </c>
      <c r="H61" s="14">
        <v>1.23086845224161E-2</v>
      </c>
      <c r="I61" s="14">
        <v>1.7687087932945701E-2</v>
      </c>
      <c r="J61" s="14">
        <v>9.3737350318322896E-3</v>
      </c>
      <c r="K61" s="14">
        <v>0</v>
      </c>
      <c r="L61" s="14">
        <v>0</v>
      </c>
      <c r="M61" s="14"/>
      <c r="N61" s="14">
        <v>0</v>
      </c>
      <c r="O61" s="14">
        <v>0</v>
      </c>
      <c r="P61" s="14">
        <v>2.9296463064131001E-2</v>
      </c>
      <c r="Q61" s="14">
        <v>4.16152485137272E-2</v>
      </c>
      <c r="R61" s="14"/>
      <c r="S61" s="14">
        <v>0</v>
      </c>
      <c r="T61" s="14">
        <v>2.5715114927162899E-2</v>
      </c>
      <c r="U61" s="14">
        <v>5.02646928257377E-2</v>
      </c>
      <c r="V61" s="14">
        <v>1.6827895929271201E-2</v>
      </c>
      <c r="W61" s="14">
        <v>0</v>
      </c>
      <c r="X61" s="14">
        <v>1.49890313038782E-2</v>
      </c>
      <c r="Y61" s="14">
        <v>2.42873203860106E-2</v>
      </c>
      <c r="Z61" s="14">
        <v>0</v>
      </c>
      <c r="AA61" s="14">
        <v>1.16838514959802E-2</v>
      </c>
      <c r="AB61" s="14"/>
      <c r="AC61" s="14">
        <v>1.04488398441099E-2</v>
      </c>
      <c r="AD61" s="14">
        <v>8.1552140239365602E-3</v>
      </c>
      <c r="AE61" s="14">
        <v>1.00311282413092E-2</v>
      </c>
      <c r="AF61" s="14">
        <v>1.5320504845714801E-2</v>
      </c>
      <c r="AG61" s="14">
        <v>0</v>
      </c>
      <c r="AH61" s="14"/>
      <c r="AI61" s="14">
        <v>1.6104803393719998E-2</v>
      </c>
      <c r="AJ61" s="14">
        <v>0</v>
      </c>
      <c r="AK61" s="14">
        <v>3.8339469430904001E-2</v>
      </c>
      <c r="AL61" s="14">
        <v>0</v>
      </c>
      <c r="AM61" s="14">
        <v>3.7281671878366E-2</v>
      </c>
      <c r="AN61" s="14">
        <v>3.10531120998748E-2</v>
      </c>
      <c r="AO61" s="14"/>
      <c r="AP61" s="14">
        <v>1.9028686405023001E-2</v>
      </c>
      <c r="AQ61" s="14">
        <v>1.42028575742047E-2</v>
      </c>
      <c r="AR61" s="14"/>
      <c r="AS61" s="14">
        <v>2.28624692803302E-2</v>
      </c>
      <c r="AT61" s="14">
        <v>1.11337530043061E-2</v>
      </c>
      <c r="AU61" s="14" t="s">
        <v>88</v>
      </c>
      <c r="AV61" s="14"/>
      <c r="AW61" s="14">
        <v>1.9399809221261301E-2</v>
      </c>
      <c r="AX61" s="14">
        <v>0</v>
      </c>
      <c r="AY61" s="14"/>
      <c r="AZ61" s="14">
        <v>1.2229347599582399E-2</v>
      </c>
      <c r="BA61" s="14">
        <v>2.6022158311970699E-2</v>
      </c>
    </row>
    <row r="62" spans="2:53" x14ac:dyDescent="0.35">
      <c r="B62" t="s">
        <v>80</v>
      </c>
      <c r="C62" s="14">
        <v>3.43213878560099E-3</v>
      </c>
      <c r="D62" s="14">
        <v>6.7976538406239297E-3</v>
      </c>
      <c r="E62" s="14">
        <v>0</v>
      </c>
      <c r="F62" s="14"/>
      <c r="G62" s="14">
        <v>0</v>
      </c>
      <c r="H62" s="14">
        <v>5.67528839604325E-3</v>
      </c>
      <c r="I62" s="14">
        <v>0</v>
      </c>
      <c r="J62" s="14">
        <v>1.22182066340001E-2</v>
      </c>
      <c r="K62" s="14">
        <v>0</v>
      </c>
      <c r="L62" s="14">
        <v>0</v>
      </c>
      <c r="M62" s="14"/>
      <c r="N62" s="14">
        <v>0</v>
      </c>
      <c r="O62" s="14">
        <v>1.21415697191464E-2</v>
      </c>
      <c r="P62" s="14">
        <v>0</v>
      </c>
      <c r="Q62" s="14">
        <v>0</v>
      </c>
      <c r="R62" s="14"/>
      <c r="S62" s="14">
        <v>1.09875454256444E-2</v>
      </c>
      <c r="T62" s="14">
        <v>0</v>
      </c>
      <c r="U62" s="14">
        <v>0</v>
      </c>
      <c r="V62" s="14">
        <v>0</v>
      </c>
      <c r="W62" s="14">
        <v>0</v>
      </c>
      <c r="X62" s="14">
        <v>1.5779061167417199E-2</v>
      </c>
      <c r="Y62" s="14">
        <v>0</v>
      </c>
      <c r="Z62" s="14">
        <v>0</v>
      </c>
      <c r="AA62" s="14">
        <v>0</v>
      </c>
      <c r="AB62" s="14"/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/>
      <c r="AI62" s="14">
        <v>0</v>
      </c>
      <c r="AJ62" s="14">
        <v>0</v>
      </c>
      <c r="AK62" s="14">
        <v>0</v>
      </c>
      <c r="AL62" s="14">
        <v>2.5644697715013001E-2</v>
      </c>
      <c r="AM62" s="14">
        <v>0</v>
      </c>
      <c r="AN62" s="14">
        <v>0</v>
      </c>
      <c r="AO62" s="14"/>
      <c r="AP62" s="14">
        <v>6.57391461805777E-3</v>
      </c>
      <c r="AQ62" s="14">
        <v>0</v>
      </c>
      <c r="AR62" s="14"/>
      <c r="AS62" s="14">
        <v>3.9847675443296501E-3</v>
      </c>
      <c r="AT62" s="14">
        <v>2.9291490119184201E-3</v>
      </c>
      <c r="AU62" s="14" t="s">
        <v>88</v>
      </c>
      <c r="AV62" s="14"/>
      <c r="AW62" s="14">
        <v>0</v>
      </c>
      <c r="AX62" s="14">
        <v>0</v>
      </c>
      <c r="AY62" s="14"/>
      <c r="AZ62" s="14">
        <v>2.40436577391386E-3</v>
      </c>
      <c r="BA62" s="14">
        <v>0</v>
      </c>
    </row>
    <row r="63" spans="2:53" x14ac:dyDescent="0.35">
      <c r="B63" t="s">
        <v>81</v>
      </c>
      <c r="C63" s="14">
        <v>0.86739474555648099</v>
      </c>
      <c r="D63" s="14">
        <v>0.85754796330847505</v>
      </c>
      <c r="E63" s="14">
        <v>0.87743645468992004</v>
      </c>
      <c r="F63" s="14"/>
      <c r="G63" s="14">
        <v>0.51779246600610596</v>
      </c>
      <c r="H63" s="14">
        <v>0.85355830824861101</v>
      </c>
      <c r="I63" s="14">
        <v>0.87948437947553704</v>
      </c>
      <c r="J63" s="14">
        <v>0.87072346513726495</v>
      </c>
      <c r="K63" s="14">
        <v>0.95526753649630003</v>
      </c>
      <c r="L63" s="14">
        <v>0.34819201228478702</v>
      </c>
      <c r="M63" s="14"/>
      <c r="N63" s="14">
        <v>0.90731629724908502</v>
      </c>
      <c r="O63" s="14">
        <v>0.84799946993553399</v>
      </c>
      <c r="P63" s="14">
        <v>0.88507261128662995</v>
      </c>
      <c r="Q63" s="14">
        <v>0.835555229335883</v>
      </c>
      <c r="R63" s="14"/>
      <c r="S63" s="14">
        <v>0.91130120159277095</v>
      </c>
      <c r="T63" s="14">
        <v>0.90000525972372103</v>
      </c>
      <c r="U63" s="14">
        <v>0.89495575459477394</v>
      </c>
      <c r="V63" s="14">
        <v>0.79331307172925603</v>
      </c>
      <c r="W63" s="14">
        <v>0.891646430575747</v>
      </c>
      <c r="X63" s="14">
        <v>0.88275840047392795</v>
      </c>
      <c r="Y63" s="14">
        <v>0.82654966623862602</v>
      </c>
      <c r="Z63" s="14">
        <v>0.82360383714604801</v>
      </c>
      <c r="AA63" s="14">
        <v>0.82437385793522699</v>
      </c>
      <c r="AB63" s="14"/>
      <c r="AC63" s="14">
        <v>0.80640874918526295</v>
      </c>
      <c r="AD63" s="14">
        <v>0.90420715703272803</v>
      </c>
      <c r="AE63" s="14">
        <v>0.86402651102604999</v>
      </c>
      <c r="AF63" s="14">
        <v>0.90590183300566296</v>
      </c>
      <c r="AG63" s="14">
        <v>0.96189919062245799</v>
      </c>
      <c r="AH63" s="14"/>
      <c r="AI63" s="14">
        <v>0.90303120624155897</v>
      </c>
      <c r="AJ63" s="14">
        <v>0.88818081846922903</v>
      </c>
      <c r="AK63" s="14">
        <v>0.86773981241362397</v>
      </c>
      <c r="AL63" s="14">
        <v>0.83296897159725403</v>
      </c>
      <c r="AM63" s="14">
        <v>0.84488319570147397</v>
      </c>
      <c r="AN63" s="14">
        <v>0.83111088242401998</v>
      </c>
      <c r="AO63" s="14"/>
      <c r="AP63" s="14">
        <v>0.86541397599709002</v>
      </c>
      <c r="AQ63" s="14">
        <v>0.86955857785791202</v>
      </c>
      <c r="AR63" s="14"/>
      <c r="AS63" s="14">
        <v>0.89925525084128899</v>
      </c>
      <c r="AT63" s="14">
        <v>0.83839605866315903</v>
      </c>
      <c r="AU63" s="14" t="s">
        <v>88</v>
      </c>
      <c r="AV63" s="14"/>
      <c r="AW63" s="14">
        <v>0.85859297034660398</v>
      </c>
      <c r="AX63" s="14">
        <v>0.91648936838037498</v>
      </c>
      <c r="AY63" s="14"/>
      <c r="AZ63" s="14">
        <v>0.88082809834776499</v>
      </c>
      <c r="BA63" s="14">
        <v>0.84109685217409202</v>
      </c>
    </row>
    <row r="64" spans="2:53" x14ac:dyDescent="0.35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</row>
    <row r="65" spans="2:53" x14ac:dyDescent="0.35">
      <c r="B65" s="6" t="s">
        <v>95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</row>
    <row r="66" spans="2:53" x14ac:dyDescent="0.35">
      <c r="B66" s="24" t="s">
        <v>86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</row>
    <row r="67" spans="2:53" x14ac:dyDescent="0.35">
      <c r="B67" t="s">
        <v>76</v>
      </c>
      <c r="C67" s="14">
        <v>0.38624315893349598</v>
      </c>
      <c r="D67" s="14">
        <v>0.38112598478363002</v>
      </c>
      <c r="E67" s="14">
        <v>0.39146163265454498</v>
      </c>
      <c r="F67" s="14"/>
      <c r="G67" s="14">
        <v>0.143810589708317</v>
      </c>
      <c r="H67" s="14">
        <v>0.39262619460915599</v>
      </c>
      <c r="I67" s="14">
        <v>0.40384511017457198</v>
      </c>
      <c r="J67" s="14">
        <v>0.37720898377909501</v>
      </c>
      <c r="K67" s="14">
        <v>0.245983580857491</v>
      </c>
      <c r="L67" s="14">
        <v>0</v>
      </c>
      <c r="M67" s="14"/>
      <c r="N67" s="14">
        <v>0.44091259120996001</v>
      </c>
      <c r="O67" s="14">
        <v>0.31728411524142403</v>
      </c>
      <c r="P67" s="14">
        <v>0.37754901888862702</v>
      </c>
      <c r="Q67" s="14">
        <v>0.415533453305857</v>
      </c>
      <c r="R67" s="14"/>
      <c r="S67" s="14">
        <v>0.44260072359715302</v>
      </c>
      <c r="T67" s="14">
        <v>0.451433970676268</v>
      </c>
      <c r="U67" s="14">
        <v>0.33292916871168898</v>
      </c>
      <c r="V67" s="14">
        <v>0.349770108831856</v>
      </c>
      <c r="W67" s="14">
        <v>0.44579585003983002</v>
      </c>
      <c r="X67" s="14">
        <v>0.37738303208299101</v>
      </c>
      <c r="Y67" s="14">
        <v>0.27824357714602699</v>
      </c>
      <c r="Z67" s="14">
        <v>0.33895187956002198</v>
      </c>
      <c r="AA67" s="14">
        <v>0.36532643657557901</v>
      </c>
      <c r="AB67" s="14"/>
      <c r="AC67" s="14">
        <v>0.314630241363267</v>
      </c>
      <c r="AD67" s="14">
        <v>0.36828189316629101</v>
      </c>
      <c r="AE67" s="14">
        <v>0.39498962248365399</v>
      </c>
      <c r="AF67" s="14">
        <v>0.45764318286669797</v>
      </c>
      <c r="AG67" s="14">
        <v>0.30902634923109901</v>
      </c>
      <c r="AH67" s="14"/>
      <c r="AI67" s="14">
        <v>0.42891319120835297</v>
      </c>
      <c r="AJ67" s="14">
        <v>0.40001499682388503</v>
      </c>
      <c r="AK67" s="14">
        <v>0.30305288987847501</v>
      </c>
      <c r="AL67" s="14">
        <v>0.40770555617716098</v>
      </c>
      <c r="AM67" s="14">
        <v>0.142635471301815</v>
      </c>
      <c r="AN67" s="14">
        <v>0.48565658005616302</v>
      </c>
      <c r="AO67" s="14"/>
      <c r="AP67" s="14">
        <v>0.40315196925275798</v>
      </c>
      <c r="AQ67" s="14">
        <v>0.36777163619925701</v>
      </c>
      <c r="AR67" s="14"/>
      <c r="AS67" s="14">
        <v>0.39032306789319399</v>
      </c>
      <c r="AT67" s="14">
        <v>0.38252972120179901</v>
      </c>
      <c r="AU67" s="14" t="s">
        <v>88</v>
      </c>
      <c r="AV67" s="14"/>
      <c r="AW67" s="14">
        <v>0.38182056144003501</v>
      </c>
      <c r="AX67" s="14">
        <v>0.43447197799667497</v>
      </c>
      <c r="AY67" s="14"/>
      <c r="AZ67" s="14">
        <v>0.39027266181317299</v>
      </c>
      <c r="BA67" s="14">
        <v>0.37748713120627497</v>
      </c>
    </row>
    <row r="68" spans="2:53" x14ac:dyDescent="0.35">
      <c r="B68" t="s">
        <v>77</v>
      </c>
      <c r="C68" s="14">
        <v>0.471371723622105</v>
      </c>
      <c r="D68" s="14">
        <v>0.46708911374448497</v>
      </c>
      <c r="E68" s="14">
        <v>0.47573911203792602</v>
      </c>
      <c r="F68" s="14"/>
      <c r="G68" s="14">
        <v>7.8669922762385103E-2</v>
      </c>
      <c r="H68" s="14">
        <v>0.45385563265130102</v>
      </c>
      <c r="I68" s="14">
        <v>0.464918639821088</v>
      </c>
      <c r="J68" s="14">
        <v>0.49366058537288998</v>
      </c>
      <c r="K68" s="14">
        <v>0.65236404217543698</v>
      </c>
      <c r="L68" s="14">
        <v>1</v>
      </c>
      <c r="M68" s="14"/>
      <c r="N68" s="14">
        <v>0.45608791641971602</v>
      </c>
      <c r="O68" s="14">
        <v>0.51873807717364795</v>
      </c>
      <c r="P68" s="14">
        <v>0.48011697261522801</v>
      </c>
      <c r="Q68" s="14">
        <v>0.42623376631558302</v>
      </c>
      <c r="R68" s="14"/>
      <c r="S68" s="14">
        <v>0.387257325711032</v>
      </c>
      <c r="T68" s="14">
        <v>0.44597861174261799</v>
      </c>
      <c r="U68" s="14">
        <v>0.58037598764031495</v>
      </c>
      <c r="V68" s="14">
        <v>0.44640521610566702</v>
      </c>
      <c r="W68" s="14">
        <v>0.47750619357770402</v>
      </c>
      <c r="X68" s="14">
        <v>0.44624947070870302</v>
      </c>
      <c r="Y68" s="14">
        <v>0.57494085348373503</v>
      </c>
      <c r="Z68" s="14">
        <v>0.46102898163300798</v>
      </c>
      <c r="AA68" s="14">
        <v>0.49263836647794301</v>
      </c>
      <c r="AB68" s="14"/>
      <c r="AC68" s="14">
        <v>0.52888261722743801</v>
      </c>
      <c r="AD68" s="14">
        <v>0.522727989496239</v>
      </c>
      <c r="AE68" s="14">
        <v>0.44281880940448698</v>
      </c>
      <c r="AF68" s="14">
        <v>0.42066230982715802</v>
      </c>
      <c r="AG68" s="14">
        <v>0.47232978050437602</v>
      </c>
      <c r="AH68" s="14"/>
      <c r="AI68" s="14">
        <v>0.46075083734915101</v>
      </c>
      <c r="AJ68" s="14">
        <v>0.43838437421609799</v>
      </c>
      <c r="AK68" s="14">
        <v>0.55224368442361205</v>
      </c>
      <c r="AL68" s="14">
        <v>0.37101514501976302</v>
      </c>
      <c r="AM68" s="14">
        <v>0.76729497086397203</v>
      </c>
      <c r="AN68" s="14">
        <v>0.43966186046299799</v>
      </c>
      <c r="AO68" s="14"/>
      <c r="AP68" s="14">
        <v>0.461427223618325</v>
      </c>
      <c r="AQ68" s="14">
        <v>0.48223529441343499</v>
      </c>
      <c r="AR68" s="14"/>
      <c r="AS68" s="14">
        <v>0.47895673218448298</v>
      </c>
      <c r="AT68" s="14">
        <v>0.46446802619429101</v>
      </c>
      <c r="AU68" s="14" t="s">
        <v>88</v>
      </c>
      <c r="AV68" s="14"/>
      <c r="AW68" s="14">
        <v>0.48489643422199302</v>
      </c>
      <c r="AX68" s="14">
        <v>0.41976546698732897</v>
      </c>
      <c r="AY68" s="14"/>
      <c r="AZ68" s="14">
        <v>0.47227963362116099</v>
      </c>
      <c r="BA68" s="14">
        <v>0.47166663043090701</v>
      </c>
    </row>
    <row r="69" spans="2:53" x14ac:dyDescent="0.35">
      <c r="B69" t="s">
        <v>78</v>
      </c>
      <c r="C69" s="14">
        <v>0.118585102307876</v>
      </c>
      <c r="D69" s="14">
        <v>0.12498922998673399</v>
      </c>
      <c r="E69" s="14">
        <v>0.11205419852786</v>
      </c>
      <c r="F69" s="14"/>
      <c r="G69" s="14">
        <v>0.29531195353540401</v>
      </c>
      <c r="H69" s="14">
        <v>0.13246176687127301</v>
      </c>
      <c r="I69" s="14">
        <v>0.114879785809161</v>
      </c>
      <c r="J69" s="14">
        <v>0.101839151884507</v>
      </c>
      <c r="K69" s="14">
        <v>0.10165237696707199</v>
      </c>
      <c r="L69" s="14">
        <v>0</v>
      </c>
      <c r="M69" s="14"/>
      <c r="N69" s="14">
        <v>8.4829002810916904E-2</v>
      </c>
      <c r="O69" s="14">
        <v>0.14447171184051899</v>
      </c>
      <c r="P69" s="14">
        <v>0.124644164055333</v>
      </c>
      <c r="Q69" s="14">
        <v>0.11967291819574601</v>
      </c>
      <c r="R69" s="14"/>
      <c r="S69" s="14">
        <v>0.14591593015156901</v>
      </c>
      <c r="T69" s="14">
        <v>5.5811457914656998E-2</v>
      </c>
      <c r="U69" s="14">
        <v>6.7623792152847598E-2</v>
      </c>
      <c r="V69" s="14">
        <v>0.16755539032466199</v>
      </c>
      <c r="W69" s="14">
        <v>7.31777255311125E-2</v>
      </c>
      <c r="X69" s="14">
        <v>0.13218018004228299</v>
      </c>
      <c r="Y69" s="14">
        <v>0.13398854290449</v>
      </c>
      <c r="Z69" s="14">
        <v>0.20001913880697</v>
      </c>
      <c r="AA69" s="14">
        <v>0.14203519694647801</v>
      </c>
      <c r="AB69" s="14"/>
      <c r="AC69" s="14">
        <v>0.12175092844001301</v>
      </c>
      <c r="AD69" s="14">
        <v>9.2898235659638007E-2</v>
      </c>
      <c r="AE69" s="14">
        <v>0.14870883162955501</v>
      </c>
      <c r="AF69" s="14">
        <v>0.106374002460429</v>
      </c>
      <c r="AG69" s="14">
        <v>0.208883270860481</v>
      </c>
      <c r="AH69" s="14"/>
      <c r="AI69" s="14">
        <v>9.5100708088770705E-2</v>
      </c>
      <c r="AJ69" s="14">
        <v>0.151591547560713</v>
      </c>
      <c r="AK69" s="14">
        <v>0.11320209184421599</v>
      </c>
      <c r="AL69" s="14">
        <v>0.18007968948265499</v>
      </c>
      <c r="AM69" s="14">
        <v>2.6393942410940601E-2</v>
      </c>
      <c r="AN69" s="14">
        <v>7.0978158823471305E-2</v>
      </c>
      <c r="AO69" s="14"/>
      <c r="AP69" s="14">
        <v>0.113001748063273</v>
      </c>
      <c r="AQ69" s="14">
        <v>0.12468447020633799</v>
      </c>
      <c r="AR69" s="14"/>
      <c r="AS69" s="14">
        <v>0.113235697326961</v>
      </c>
      <c r="AT69" s="14">
        <v>0.123454005632554</v>
      </c>
      <c r="AU69" s="14" t="s">
        <v>88</v>
      </c>
      <c r="AV69" s="14"/>
      <c r="AW69" s="14">
        <v>0.11639357631236601</v>
      </c>
      <c r="AX69" s="14">
        <v>0.13095141947050201</v>
      </c>
      <c r="AY69" s="14"/>
      <c r="AZ69" s="14">
        <v>0.113377417106026</v>
      </c>
      <c r="BA69" s="14">
        <v>0.14364405212329001</v>
      </c>
    </row>
    <row r="70" spans="2:53" x14ac:dyDescent="0.35">
      <c r="B70" t="s">
        <v>79</v>
      </c>
      <c r="C70" s="14">
        <v>1.7672863618817401E-2</v>
      </c>
      <c r="D70" s="14">
        <v>1.46603070234478E-2</v>
      </c>
      <c r="E70" s="14">
        <v>2.07450567796694E-2</v>
      </c>
      <c r="F70" s="14"/>
      <c r="G70" s="14">
        <v>0.23794013084486901</v>
      </c>
      <c r="H70" s="14">
        <v>1.5381117472226299E-2</v>
      </c>
      <c r="I70" s="14">
        <v>1.63564641951781E-2</v>
      </c>
      <c r="J70" s="14">
        <v>1.50730723295082E-2</v>
      </c>
      <c r="K70" s="14">
        <v>0</v>
      </c>
      <c r="L70" s="14">
        <v>0</v>
      </c>
      <c r="M70" s="14"/>
      <c r="N70" s="14">
        <v>1.8170489559407199E-2</v>
      </c>
      <c r="O70" s="14">
        <v>7.3645260252634603E-3</v>
      </c>
      <c r="P70" s="14">
        <v>1.7689844440812799E-2</v>
      </c>
      <c r="Q70" s="14">
        <v>2.8327691070546002E-2</v>
      </c>
      <c r="R70" s="14"/>
      <c r="S70" s="14">
        <v>1.3238475114601699E-2</v>
      </c>
      <c r="T70" s="14">
        <v>3.0924445946952501E-2</v>
      </c>
      <c r="U70" s="14">
        <v>1.9071051495149101E-2</v>
      </c>
      <c r="V70" s="14">
        <v>3.6269284737814503E-2</v>
      </c>
      <c r="W70" s="14">
        <v>3.5202308513542901E-3</v>
      </c>
      <c r="X70" s="14">
        <v>2.8408255998606202E-2</v>
      </c>
      <c r="Y70" s="14">
        <v>1.28270264657489E-2</v>
      </c>
      <c r="Z70" s="14">
        <v>0</v>
      </c>
      <c r="AA70" s="14">
        <v>0</v>
      </c>
      <c r="AB70" s="14"/>
      <c r="AC70" s="14">
        <v>3.4736212969282303E-2</v>
      </c>
      <c r="AD70" s="14">
        <v>1.60918816778323E-2</v>
      </c>
      <c r="AE70" s="14">
        <v>1.34827364823041E-2</v>
      </c>
      <c r="AF70" s="14">
        <v>0</v>
      </c>
      <c r="AG70" s="14">
        <v>9.76059940404371E-3</v>
      </c>
      <c r="AH70" s="14"/>
      <c r="AI70" s="14">
        <v>7.8736688818010405E-3</v>
      </c>
      <c r="AJ70" s="14">
        <v>1.00090813993045E-2</v>
      </c>
      <c r="AK70" s="14">
        <v>3.15013338536968E-2</v>
      </c>
      <c r="AL70" s="14">
        <v>1.5554911605408599E-2</v>
      </c>
      <c r="AM70" s="14">
        <v>6.3675615423273005E-2</v>
      </c>
      <c r="AN70" s="14">
        <v>3.7034006573671602E-3</v>
      </c>
      <c r="AO70" s="14"/>
      <c r="AP70" s="14">
        <v>1.0683120210757201E-2</v>
      </c>
      <c r="AQ70" s="14">
        <v>2.5308599180970101E-2</v>
      </c>
      <c r="AR70" s="14"/>
      <c r="AS70" s="14">
        <v>1.34997350510322E-2</v>
      </c>
      <c r="AT70" s="14">
        <v>2.1471147657975E-2</v>
      </c>
      <c r="AU70" s="14" t="s">
        <v>88</v>
      </c>
      <c r="AV70" s="14"/>
      <c r="AW70" s="14">
        <v>1.34144247981979E-2</v>
      </c>
      <c r="AX70" s="14">
        <v>1.48111355454942E-2</v>
      </c>
      <c r="AY70" s="14"/>
      <c r="AZ70" s="14">
        <v>1.8253157994630499E-2</v>
      </c>
      <c r="BA70" s="14">
        <v>7.2021862395271596E-3</v>
      </c>
    </row>
    <row r="71" spans="2:53" x14ac:dyDescent="0.35">
      <c r="B71" t="s">
        <v>80</v>
      </c>
      <c r="C71" s="14">
        <v>6.1271515177057003E-3</v>
      </c>
      <c r="D71" s="14">
        <v>1.21353644617036E-2</v>
      </c>
      <c r="E71" s="14">
        <v>0</v>
      </c>
      <c r="F71" s="14"/>
      <c r="G71" s="14">
        <v>0.24426740314902501</v>
      </c>
      <c r="H71" s="14">
        <v>5.67528839604325E-3</v>
      </c>
      <c r="I71" s="14">
        <v>0</v>
      </c>
      <c r="J71" s="14">
        <v>1.22182066340001E-2</v>
      </c>
      <c r="K71" s="14">
        <v>0</v>
      </c>
      <c r="L71" s="14">
        <v>0</v>
      </c>
      <c r="M71" s="14"/>
      <c r="N71" s="14">
        <v>0</v>
      </c>
      <c r="O71" s="14">
        <v>1.21415697191464E-2</v>
      </c>
      <c r="P71" s="14">
        <v>0</v>
      </c>
      <c r="Q71" s="14">
        <v>1.0232171112268399E-2</v>
      </c>
      <c r="R71" s="14"/>
      <c r="S71" s="14">
        <v>1.09875454256444E-2</v>
      </c>
      <c r="T71" s="14">
        <v>1.5851513719504499E-2</v>
      </c>
      <c r="U71" s="14">
        <v>0</v>
      </c>
      <c r="V71" s="14">
        <v>0</v>
      </c>
      <c r="W71" s="14">
        <v>0</v>
      </c>
      <c r="X71" s="14">
        <v>1.5779061167417199E-2</v>
      </c>
      <c r="Y71" s="14">
        <v>0</v>
      </c>
      <c r="Z71" s="14">
        <v>0</v>
      </c>
      <c r="AA71" s="14">
        <v>0</v>
      </c>
      <c r="AB71" s="14"/>
      <c r="AC71" s="14">
        <v>0</v>
      </c>
      <c r="AD71" s="14">
        <v>0</v>
      </c>
      <c r="AE71" s="14">
        <v>0</v>
      </c>
      <c r="AF71" s="14">
        <v>1.5320504845714801E-2</v>
      </c>
      <c r="AG71" s="14">
        <v>0</v>
      </c>
      <c r="AH71" s="14"/>
      <c r="AI71" s="14">
        <v>7.3615944719239504E-3</v>
      </c>
      <c r="AJ71" s="14">
        <v>0</v>
      </c>
      <c r="AK71" s="14">
        <v>0</v>
      </c>
      <c r="AL71" s="14">
        <v>2.5644697715013001E-2</v>
      </c>
      <c r="AM71" s="14">
        <v>0</v>
      </c>
      <c r="AN71" s="14">
        <v>0</v>
      </c>
      <c r="AO71" s="14"/>
      <c r="AP71" s="14">
        <v>1.1735938854887299E-2</v>
      </c>
      <c r="AQ71" s="14">
        <v>0</v>
      </c>
      <c r="AR71" s="14"/>
      <c r="AS71" s="14">
        <v>3.9847675443296501E-3</v>
      </c>
      <c r="AT71" s="14">
        <v>8.07709931338077E-3</v>
      </c>
      <c r="AU71" s="14" t="s">
        <v>88</v>
      </c>
      <c r="AV71" s="14"/>
      <c r="AW71" s="14">
        <v>3.4750032274075099E-3</v>
      </c>
      <c r="AX71" s="14">
        <v>0</v>
      </c>
      <c r="AY71" s="14"/>
      <c r="AZ71" s="14">
        <v>5.8171294650090398E-3</v>
      </c>
      <c r="BA71" s="14">
        <v>0</v>
      </c>
    </row>
    <row r="72" spans="2:53" x14ac:dyDescent="0.35">
      <c r="B72" t="s">
        <v>81</v>
      </c>
      <c r="C72" s="14">
        <v>0.85761488255560103</v>
      </c>
      <c r="D72" s="14">
        <v>0.84821509852811405</v>
      </c>
      <c r="E72" s="14">
        <v>0.86720074469247099</v>
      </c>
      <c r="F72" s="14"/>
      <c r="G72" s="14">
        <v>0.222480512470702</v>
      </c>
      <c r="H72" s="14">
        <v>0.84648182726045695</v>
      </c>
      <c r="I72" s="14">
        <v>0.86876374999565997</v>
      </c>
      <c r="J72" s="14">
        <v>0.87086956915198499</v>
      </c>
      <c r="K72" s="14">
        <v>0.89834762303292803</v>
      </c>
      <c r="L72" s="14">
        <v>1</v>
      </c>
      <c r="M72" s="14"/>
      <c r="N72" s="14">
        <v>0.89700050762967598</v>
      </c>
      <c r="O72" s="14">
        <v>0.83602219241507103</v>
      </c>
      <c r="P72" s="14">
        <v>0.85766599150385503</v>
      </c>
      <c r="Q72" s="14">
        <v>0.84176721962143997</v>
      </c>
      <c r="R72" s="14"/>
      <c r="S72" s="14">
        <v>0.82985804930818496</v>
      </c>
      <c r="T72" s="14">
        <v>0.897412582418886</v>
      </c>
      <c r="U72" s="14">
        <v>0.91330515635200304</v>
      </c>
      <c r="V72" s="14">
        <v>0.79617532493752297</v>
      </c>
      <c r="W72" s="14">
        <v>0.92330204361753299</v>
      </c>
      <c r="X72" s="14">
        <v>0.82363250279169398</v>
      </c>
      <c r="Y72" s="14">
        <v>0.85318443062976101</v>
      </c>
      <c r="Z72" s="14">
        <v>0.79998086119303002</v>
      </c>
      <c r="AA72" s="14">
        <v>0.85796480305352196</v>
      </c>
      <c r="AB72" s="14"/>
      <c r="AC72" s="14">
        <v>0.84351285859070502</v>
      </c>
      <c r="AD72" s="14">
        <v>0.89100988266253001</v>
      </c>
      <c r="AE72" s="14">
        <v>0.83780843188814003</v>
      </c>
      <c r="AF72" s="14">
        <v>0.87830549269385605</v>
      </c>
      <c r="AG72" s="14">
        <v>0.78135612973547497</v>
      </c>
      <c r="AH72" s="14"/>
      <c r="AI72" s="14">
        <v>0.88966402855750404</v>
      </c>
      <c r="AJ72" s="14">
        <v>0.83839937103998297</v>
      </c>
      <c r="AK72" s="14">
        <v>0.85529657430208805</v>
      </c>
      <c r="AL72" s="14">
        <v>0.77872070119692305</v>
      </c>
      <c r="AM72" s="14">
        <v>0.909930442165786</v>
      </c>
      <c r="AN72" s="14">
        <v>0.92531844051916201</v>
      </c>
      <c r="AO72" s="14"/>
      <c r="AP72" s="14">
        <v>0.86457919287108298</v>
      </c>
      <c r="AQ72" s="14">
        <v>0.85000693061269095</v>
      </c>
      <c r="AR72" s="14"/>
      <c r="AS72" s="14">
        <v>0.86927980007767702</v>
      </c>
      <c r="AT72" s="14">
        <v>0.84699774739609002</v>
      </c>
      <c r="AU72" s="14" t="s">
        <v>88</v>
      </c>
      <c r="AV72" s="14"/>
      <c r="AW72" s="14">
        <v>0.86671699566202798</v>
      </c>
      <c r="AX72" s="14">
        <v>0.854237444984004</v>
      </c>
      <c r="AY72" s="14"/>
      <c r="AZ72" s="14">
        <v>0.86255229543433498</v>
      </c>
      <c r="BA72" s="14">
        <v>0.84915376163718204</v>
      </c>
    </row>
    <row r="73" spans="2:53" x14ac:dyDescent="0.35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</row>
    <row r="74" spans="2:53" x14ac:dyDescent="0.35">
      <c r="B74" s="6" t="s">
        <v>96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</row>
    <row r="75" spans="2:53" x14ac:dyDescent="0.35">
      <c r="B75" s="24" t="s">
        <v>86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</row>
    <row r="76" spans="2:53" x14ac:dyDescent="0.35">
      <c r="B76" t="s">
        <v>76</v>
      </c>
      <c r="C76" s="14">
        <v>0.33525827087981103</v>
      </c>
      <c r="D76" s="14">
        <v>0.31416500966414002</v>
      </c>
      <c r="E76" s="14">
        <v>0.35676909426034298</v>
      </c>
      <c r="F76" s="14"/>
      <c r="G76" s="14">
        <v>6.3536252325513298E-2</v>
      </c>
      <c r="H76" s="14">
        <v>0.35718009181063798</v>
      </c>
      <c r="I76" s="14">
        <v>0.37116535873309497</v>
      </c>
      <c r="J76" s="14">
        <v>0.25678556134980202</v>
      </c>
      <c r="K76" s="14">
        <v>7.0037208011000801E-2</v>
      </c>
      <c r="L76" s="14">
        <v>0.34819201228478702</v>
      </c>
      <c r="M76" s="14"/>
      <c r="N76" s="14">
        <v>0.336705608110419</v>
      </c>
      <c r="O76" s="14">
        <v>0.32095595216273498</v>
      </c>
      <c r="P76" s="14">
        <v>0.35566441579902103</v>
      </c>
      <c r="Q76" s="14">
        <v>0.33563046285944798</v>
      </c>
      <c r="R76" s="14"/>
      <c r="S76" s="14">
        <v>0.42047496635718301</v>
      </c>
      <c r="T76" s="14">
        <v>0.24388868470392</v>
      </c>
      <c r="U76" s="14">
        <v>0.30705040424105601</v>
      </c>
      <c r="V76" s="14">
        <v>0.35874152912734603</v>
      </c>
      <c r="W76" s="14">
        <v>0.29458478676710398</v>
      </c>
      <c r="X76" s="14">
        <v>0.31487046187561701</v>
      </c>
      <c r="Y76" s="14">
        <v>0.289563851951884</v>
      </c>
      <c r="Z76" s="14">
        <v>0.26916997651346097</v>
      </c>
      <c r="AA76" s="14">
        <v>0.44047976323638599</v>
      </c>
      <c r="AB76" s="14"/>
      <c r="AC76" s="14">
        <v>0.26647539165105599</v>
      </c>
      <c r="AD76" s="14">
        <v>0.307768827454102</v>
      </c>
      <c r="AE76" s="14">
        <v>0.34252830941559698</v>
      </c>
      <c r="AF76" s="14">
        <v>0.437510053436792</v>
      </c>
      <c r="AG76" s="14">
        <v>0.436328925978406</v>
      </c>
      <c r="AH76" s="14"/>
      <c r="AI76" s="14">
        <v>0.39032177658258799</v>
      </c>
      <c r="AJ76" s="14">
        <v>0.30784332340034698</v>
      </c>
      <c r="AK76" s="14">
        <v>0.27818238760469</v>
      </c>
      <c r="AL76" s="14">
        <v>0.22696361120302999</v>
      </c>
      <c r="AM76" s="14">
        <v>0.45840707221642202</v>
      </c>
      <c r="AN76" s="14">
        <v>0.26713026097375803</v>
      </c>
      <c r="AO76" s="14"/>
      <c r="AP76" s="14">
        <v>0.32739377782092199</v>
      </c>
      <c r="AQ76" s="14">
        <v>0.34384960046407298</v>
      </c>
      <c r="AR76" s="14"/>
      <c r="AS76" s="14">
        <v>0.34941385420991999</v>
      </c>
      <c r="AT76" s="14">
        <v>0.322374189942843</v>
      </c>
      <c r="AU76" s="14" t="s">
        <v>88</v>
      </c>
      <c r="AV76" s="14"/>
      <c r="AW76" s="14">
        <v>0.30317814203791799</v>
      </c>
      <c r="AX76" s="14">
        <v>0.49378058456742102</v>
      </c>
      <c r="AY76" s="14"/>
      <c r="AZ76" s="14">
        <v>0.35240418684487501</v>
      </c>
      <c r="BA76" s="14">
        <v>0.27325815938572501</v>
      </c>
    </row>
    <row r="77" spans="2:53" x14ac:dyDescent="0.35">
      <c r="B77" t="s">
        <v>77</v>
      </c>
      <c r="C77" s="14">
        <v>0.44795028057882502</v>
      </c>
      <c r="D77" s="14">
        <v>0.44444654419193602</v>
      </c>
      <c r="E77" s="14">
        <v>0.451523376925553</v>
      </c>
      <c r="F77" s="14"/>
      <c r="G77" s="14">
        <v>0.53188842966732597</v>
      </c>
      <c r="H77" s="14">
        <v>0.42435255619858298</v>
      </c>
      <c r="I77" s="14">
        <v>0.43111440695228398</v>
      </c>
      <c r="J77" s="14">
        <v>0.465697193121759</v>
      </c>
      <c r="K77" s="14">
        <v>0.74057355968645</v>
      </c>
      <c r="L77" s="14">
        <v>0.65180798771521298</v>
      </c>
      <c r="M77" s="14"/>
      <c r="N77" s="14">
        <v>0.47313589037415299</v>
      </c>
      <c r="O77" s="14">
        <v>0.39746902840207599</v>
      </c>
      <c r="P77" s="14">
        <v>0.44017041887241498</v>
      </c>
      <c r="Q77" s="14">
        <v>0.48071906990656399</v>
      </c>
      <c r="R77" s="14"/>
      <c r="S77" s="14">
        <v>0.37339745658930201</v>
      </c>
      <c r="T77" s="14">
        <v>0.50352028100396296</v>
      </c>
      <c r="U77" s="14">
        <v>0.55553025630724295</v>
      </c>
      <c r="V77" s="14">
        <v>0.39419090887423203</v>
      </c>
      <c r="W77" s="14">
        <v>0.35547568815063302</v>
      </c>
      <c r="X77" s="14">
        <v>0.548476275970467</v>
      </c>
      <c r="Y77" s="14">
        <v>0.47990955542040298</v>
      </c>
      <c r="Z77" s="14">
        <v>0.407060486602278</v>
      </c>
      <c r="AA77" s="14">
        <v>0.40302004097646699</v>
      </c>
      <c r="AB77" s="14"/>
      <c r="AC77" s="14">
        <v>0.45693322961809102</v>
      </c>
      <c r="AD77" s="14">
        <v>0.49948557825807099</v>
      </c>
      <c r="AE77" s="14">
        <v>0.43506394626584899</v>
      </c>
      <c r="AF77" s="14">
        <v>0.38105898974771402</v>
      </c>
      <c r="AG77" s="14">
        <v>0.37394605612777698</v>
      </c>
      <c r="AH77" s="14"/>
      <c r="AI77" s="14">
        <v>0.42265651055311598</v>
      </c>
      <c r="AJ77" s="14">
        <v>0.49226000432994099</v>
      </c>
      <c r="AK77" s="14">
        <v>0.47045388496915402</v>
      </c>
      <c r="AL77" s="14">
        <v>0.43319968939200598</v>
      </c>
      <c r="AM77" s="14">
        <v>0.44892985732953999</v>
      </c>
      <c r="AN77" s="14">
        <v>0.57553640142639295</v>
      </c>
      <c r="AO77" s="14"/>
      <c r="AP77" s="14">
        <v>0.45731665221138301</v>
      </c>
      <c r="AQ77" s="14">
        <v>0.437718268788436</v>
      </c>
      <c r="AR77" s="14"/>
      <c r="AS77" s="14">
        <v>0.42915497333268399</v>
      </c>
      <c r="AT77" s="14">
        <v>0.46505732973019298</v>
      </c>
      <c r="AU77" s="14" t="s">
        <v>88</v>
      </c>
      <c r="AV77" s="14"/>
      <c r="AW77" s="14">
        <v>0.459228489486258</v>
      </c>
      <c r="AX77" s="14">
        <v>0.39323351997876399</v>
      </c>
      <c r="AY77" s="14"/>
      <c r="AZ77" s="14">
        <v>0.44436006971102898</v>
      </c>
      <c r="BA77" s="14">
        <v>0.46487443122099598</v>
      </c>
    </row>
    <row r="78" spans="2:53" x14ac:dyDescent="0.35">
      <c r="B78" t="s">
        <v>78</v>
      </c>
      <c r="C78" s="14">
        <v>0.18214899534557599</v>
      </c>
      <c r="D78" s="14">
        <v>0.20673756008254299</v>
      </c>
      <c r="E78" s="14">
        <v>0.157073675420902</v>
      </c>
      <c r="F78" s="14"/>
      <c r="G78" s="14">
        <v>0.258220836571526</v>
      </c>
      <c r="H78" s="14">
        <v>0.18084813130799199</v>
      </c>
      <c r="I78" s="14">
        <v>0.17169936453836601</v>
      </c>
      <c r="J78" s="14">
        <v>0.21791431162973901</v>
      </c>
      <c r="K78" s="14">
        <v>0.189389232302549</v>
      </c>
      <c r="L78" s="14">
        <v>0</v>
      </c>
      <c r="M78" s="14"/>
      <c r="N78" s="14">
        <v>0.165671713653751</v>
      </c>
      <c r="O78" s="14">
        <v>0.243685508007185</v>
      </c>
      <c r="P78" s="14">
        <v>0.15564370929735499</v>
      </c>
      <c r="Q78" s="14">
        <v>0.15281410619788</v>
      </c>
      <c r="R78" s="14"/>
      <c r="S78" s="14">
        <v>0.15309710170535601</v>
      </c>
      <c r="T78" s="14">
        <v>0.205334902807081</v>
      </c>
      <c r="U78" s="14">
        <v>0.10308787040638601</v>
      </c>
      <c r="V78" s="14">
        <v>0.19426445192660799</v>
      </c>
      <c r="W78" s="14">
        <v>0.319628000555637</v>
      </c>
      <c r="X78" s="14">
        <v>8.4439867592633597E-2</v>
      </c>
      <c r="Y78" s="14">
        <v>0.230526592627713</v>
      </c>
      <c r="Z78" s="14">
        <v>0.30721751523566498</v>
      </c>
      <c r="AA78" s="14">
        <v>0.156500195787147</v>
      </c>
      <c r="AB78" s="14"/>
      <c r="AC78" s="14">
        <v>0.25411343848219098</v>
      </c>
      <c r="AD78" s="14">
        <v>0.167933270774827</v>
      </c>
      <c r="AE78" s="14">
        <v>0.199151574917452</v>
      </c>
      <c r="AF78" s="14">
        <v>0.141431989539435</v>
      </c>
      <c r="AG78" s="14">
        <v>0.13182765733707699</v>
      </c>
      <c r="AH78" s="14"/>
      <c r="AI78" s="14">
        <v>0.15955916298973</v>
      </c>
      <c r="AJ78" s="14">
        <v>0.178495431017137</v>
      </c>
      <c r="AK78" s="14">
        <v>0.21302425799525199</v>
      </c>
      <c r="AL78" s="14">
        <v>0.299661491721816</v>
      </c>
      <c r="AM78" s="14">
        <v>6.6269128043097494E-2</v>
      </c>
      <c r="AN78" s="14">
        <v>0.130975795128217</v>
      </c>
      <c r="AO78" s="14"/>
      <c r="AP78" s="14">
        <v>0.173903240683628</v>
      </c>
      <c r="AQ78" s="14">
        <v>0.19115682273397799</v>
      </c>
      <c r="AR78" s="14"/>
      <c r="AS78" s="14">
        <v>0.17740161826305001</v>
      </c>
      <c r="AT78" s="14">
        <v>0.186469946954789</v>
      </c>
      <c r="AU78" s="14" t="s">
        <v>88</v>
      </c>
      <c r="AV78" s="14"/>
      <c r="AW78" s="14">
        <v>0.20257700878108101</v>
      </c>
      <c r="AX78" s="14">
        <v>9.9576974737480395E-2</v>
      </c>
      <c r="AY78" s="14"/>
      <c r="AZ78" s="14">
        <v>0.17049893393870699</v>
      </c>
      <c r="BA78" s="14">
        <v>0.234894960858792</v>
      </c>
    </row>
    <row r="79" spans="2:53" x14ac:dyDescent="0.35">
      <c r="B79" t="s">
        <v>79</v>
      </c>
      <c r="C79" s="14">
        <v>3.1210314410186998E-2</v>
      </c>
      <c r="D79" s="14">
        <v>2.7853232220755999E-2</v>
      </c>
      <c r="E79" s="14">
        <v>3.46338533932024E-2</v>
      </c>
      <c r="F79" s="14"/>
      <c r="G79" s="14">
        <v>0.14635448143563501</v>
      </c>
      <c r="H79" s="14">
        <v>3.1943932286744102E-2</v>
      </c>
      <c r="I79" s="14">
        <v>2.6020869776254701E-2</v>
      </c>
      <c r="J79" s="14">
        <v>4.7384727264700097E-2</v>
      </c>
      <c r="K79" s="14">
        <v>0</v>
      </c>
      <c r="L79" s="14">
        <v>0</v>
      </c>
      <c r="M79" s="14"/>
      <c r="N79" s="14">
        <v>2.4486787861677399E-2</v>
      </c>
      <c r="O79" s="14">
        <v>2.5747941708857799E-2</v>
      </c>
      <c r="P79" s="14">
        <v>4.8521456031209102E-2</v>
      </c>
      <c r="Q79" s="14">
        <v>3.0836361036108598E-2</v>
      </c>
      <c r="R79" s="14"/>
      <c r="S79" s="14">
        <v>4.2042929922514301E-2</v>
      </c>
      <c r="T79" s="14">
        <v>4.7256131485035602E-2</v>
      </c>
      <c r="U79" s="14">
        <v>3.4331469045315498E-2</v>
      </c>
      <c r="V79" s="14">
        <v>5.2803110071813902E-2</v>
      </c>
      <c r="W79" s="14">
        <v>3.0311524526626402E-2</v>
      </c>
      <c r="X79" s="14">
        <v>3.6434333393864399E-2</v>
      </c>
      <c r="Y79" s="14">
        <v>0</v>
      </c>
      <c r="Z79" s="14">
        <v>1.65520216485966E-2</v>
      </c>
      <c r="AA79" s="14">
        <v>0</v>
      </c>
      <c r="AB79" s="14"/>
      <c r="AC79" s="14">
        <v>2.2477940248661999E-2</v>
      </c>
      <c r="AD79" s="14">
        <v>2.48123235130004E-2</v>
      </c>
      <c r="AE79" s="14">
        <v>2.32561694011021E-2</v>
      </c>
      <c r="AF79" s="14">
        <v>3.9998967276058998E-2</v>
      </c>
      <c r="AG79" s="14">
        <v>5.7897360556740697E-2</v>
      </c>
      <c r="AH79" s="14"/>
      <c r="AI79" s="14">
        <v>2.7462549874565201E-2</v>
      </c>
      <c r="AJ79" s="14">
        <v>2.1401241252575001E-2</v>
      </c>
      <c r="AK79" s="14">
        <v>3.8339469430904001E-2</v>
      </c>
      <c r="AL79" s="14">
        <v>1.4530509968135199E-2</v>
      </c>
      <c r="AM79" s="14">
        <v>2.6393942410940601E-2</v>
      </c>
      <c r="AN79" s="14">
        <v>2.6357542471631999E-2</v>
      </c>
      <c r="AO79" s="14"/>
      <c r="AP79" s="14">
        <v>3.48124146660099E-2</v>
      </c>
      <c r="AQ79" s="14">
        <v>2.7275308013513001E-2</v>
      </c>
      <c r="AR79" s="14"/>
      <c r="AS79" s="14">
        <v>4.0044786650016699E-2</v>
      </c>
      <c r="AT79" s="14">
        <v>2.31693843602566E-2</v>
      </c>
      <c r="AU79" s="14" t="s">
        <v>88</v>
      </c>
      <c r="AV79" s="14"/>
      <c r="AW79" s="14">
        <v>3.5016359694743399E-2</v>
      </c>
      <c r="AX79" s="14">
        <v>1.3408920716334399E-2</v>
      </c>
      <c r="AY79" s="14"/>
      <c r="AZ79" s="14">
        <v>3.03324437314746E-2</v>
      </c>
      <c r="BA79" s="14">
        <v>2.69724485344866E-2</v>
      </c>
    </row>
    <row r="80" spans="2:53" x14ac:dyDescent="0.35">
      <c r="B80" t="s">
        <v>80</v>
      </c>
      <c r="C80" s="14">
        <v>3.43213878560099E-3</v>
      </c>
      <c r="D80" s="14">
        <v>6.7976538406239297E-3</v>
      </c>
      <c r="E80" s="14">
        <v>0</v>
      </c>
      <c r="F80" s="14"/>
      <c r="G80" s="14">
        <v>0</v>
      </c>
      <c r="H80" s="14">
        <v>5.67528839604325E-3</v>
      </c>
      <c r="I80" s="14">
        <v>0</v>
      </c>
      <c r="J80" s="14">
        <v>1.22182066340001E-2</v>
      </c>
      <c r="K80" s="14">
        <v>0</v>
      </c>
      <c r="L80" s="14">
        <v>0</v>
      </c>
      <c r="M80" s="14"/>
      <c r="N80" s="14">
        <v>0</v>
      </c>
      <c r="O80" s="14">
        <v>1.21415697191464E-2</v>
      </c>
      <c r="P80" s="14">
        <v>0</v>
      </c>
      <c r="Q80" s="14">
        <v>0</v>
      </c>
      <c r="R80" s="14"/>
      <c r="S80" s="14">
        <v>1.09875454256444E-2</v>
      </c>
      <c r="T80" s="14">
        <v>0</v>
      </c>
      <c r="U80" s="14">
        <v>0</v>
      </c>
      <c r="V80" s="14">
        <v>0</v>
      </c>
      <c r="W80" s="14">
        <v>0</v>
      </c>
      <c r="X80" s="14">
        <v>1.5779061167417199E-2</v>
      </c>
      <c r="Y80" s="14">
        <v>0</v>
      </c>
      <c r="Z80" s="14">
        <v>0</v>
      </c>
      <c r="AA80" s="14">
        <v>0</v>
      </c>
      <c r="AB80" s="14"/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/>
      <c r="AI80" s="14">
        <v>0</v>
      </c>
      <c r="AJ80" s="14">
        <v>0</v>
      </c>
      <c r="AK80" s="14">
        <v>0</v>
      </c>
      <c r="AL80" s="14">
        <v>2.5644697715013001E-2</v>
      </c>
      <c r="AM80" s="14">
        <v>0</v>
      </c>
      <c r="AN80" s="14">
        <v>0</v>
      </c>
      <c r="AO80" s="14"/>
      <c r="AP80" s="14">
        <v>6.57391461805777E-3</v>
      </c>
      <c r="AQ80" s="14">
        <v>0</v>
      </c>
      <c r="AR80" s="14"/>
      <c r="AS80" s="14">
        <v>3.9847675443296501E-3</v>
      </c>
      <c r="AT80" s="14">
        <v>2.9291490119184201E-3</v>
      </c>
      <c r="AU80" s="14" t="s">
        <v>88</v>
      </c>
      <c r="AV80" s="14"/>
      <c r="AW80" s="14">
        <v>0</v>
      </c>
      <c r="AX80" s="14">
        <v>0</v>
      </c>
      <c r="AY80" s="14"/>
      <c r="AZ80" s="14">
        <v>2.40436577391386E-3</v>
      </c>
      <c r="BA80" s="14">
        <v>0</v>
      </c>
    </row>
    <row r="81" spans="2:53" x14ac:dyDescent="0.35">
      <c r="B81" t="s">
        <v>81</v>
      </c>
      <c r="C81" s="14">
        <v>0.78320855145863599</v>
      </c>
      <c r="D81" s="14">
        <v>0.75861155385607704</v>
      </c>
      <c r="E81" s="14">
        <v>0.80829247118589498</v>
      </c>
      <c r="F81" s="14"/>
      <c r="G81" s="14">
        <v>0.59542468199283904</v>
      </c>
      <c r="H81" s="14">
        <v>0.78153264800922095</v>
      </c>
      <c r="I81" s="14">
        <v>0.80227976568537995</v>
      </c>
      <c r="J81" s="14">
        <v>0.72248275447156096</v>
      </c>
      <c r="K81" s="14">
        <v>0.81061076769745</v>
      </c>
      <c r="L81" s="14">
        <v>1</v>
      </c>
      <c r="M81" s="14"/>
      <c r="N81" s="14">
        <v>0.80984149848457199</v>
      </c>
      <c r="O81" s="14">
        <v>0.71842498056481097</v>
      </c>
      <c r="P81" s="14">
        <v>0.79583483467143601</v>
      </c>
      <c r="Q81" s="14">
        <v>0.81634953276601196</v>
      </c>
      <c r="R81" s="14"/>
      <c r="S81" s="14">
        <v>0.79387242294648497</v>
      </c>
      <c r="T81" s="14">
        <v>0.74740896570788296</v>
      </c>
      <c r="U81" s="14">
        <v>0.86258066054829796</v>
      </c>
      <c r="V81" s="14">
        <v>0.75293243800157805</v>
      </c>
      <c r="W81" s="14">
        <v>0.650060474917737</v>
      </c>
      <c r="X81" s="14">
        <v>0.86334673784608496</v>
      </c>
      <c r="Y81" s="14">
        <v>0.76947340737228698</v>
      </c>
      <c r="Z81" s="14">
        <v>0.67623046311573798</v>
      </c>
      <c r="AA81" s="14">
        <v>0.84349980421285298</v>
      </c>
      <c r="AB81" s="14"/>
      <c r="AC81" s="14">
        <v>0.72340862126914596</v>
      </c>
      <c r="AD81" s="14">
        <v>0.807254405712173</v>
      </c>
      <c r="AE81" s="14">
        <v>0.77759225568144597</v>
      </c>
      <c r="AF81" s="14">
        <v>0.81856904318450696</v>
      </c>
      <c r="AG81" s="14">
        <v>0.81027498210618198</v>
      </c>
      <c r="AH81" s="14"/>
      <c r="AI81" s="14">
        <v>0.81297828713570397</v>
      </c>
      <c r="AJ81" s="14">
        <v>0.80010332773028803</v>
      </c>
      <c r="AK81" s="14">
        <v>0.74863627257384402</v>
      </c>
      <c r="AL81" s="14">
        <v>0.66016330059503603</v>
      </c>
      <c r="AM81" s="14">
        <v>0.90733692954596201</v>
      </c>
      <c r="AN81" s="14">
        <v>0.84266666240015098</v>
      </c>
      <c r="AO81" s="14"/>
      <c r="AP81" s="14">
        <v>0.78471043003230501</v>
      </c>
      <c r="AQ81" s="14">
        <v>0.78156786925250898</v>
      </c>
      <c r="AR81" s="14"/>
      <c r="AS81" s="14">
        <v>0.77856882754260404</v>
      </c>
      <c r="AT81" s="14">
        <v>0.78743151967303604</v>
      </c>
      <c r="AU81" s="14" t="s">
        <v>88</v>
      </c>
      <c r="AV81" s="14"/>
      <c r="AW81" s="14">
        <v>0.76240663152417498</v>
      </c>
      <c r="AX81" s="14">
        <v>0.88701410454618501</v>
      </c>
      <c r="AY81" s="14"/>
      <c r="AZ81" s="14">
        <v>0.79676425655590499</v>
      </c>
      <c r="BA81" s="14">
        <v>0.73813259060672098</v>
      </c>
    </row>
    <row r="82" spans="2:53" x14ac:dyDescent="0.35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</row>
    <row r="83" spans="2:53" x14ac:dyDescent="0.35">
      <c r="B83" s="6" t="s">
        <v>97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</row>
    <row r="84" spans="2:53" x14ac:dyDescent="0.35">
      <c r="B84" s="24" t="s">
        <v>86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</row>
    <row r="85" spans="2:53" x14ac:dyDescent="0.35">
      <c r="B85" t="s">
        <v>76</v>
      </c>
      <c r="C85" s="14">
        <v>0.30406199846753301</v>
      </c>
      <c r="D85" s="14">
        <v>0.27685259753334701</v>
      </c>
      <c r="E85" s="14">
        <v>0.33181003665853998</v>
      </c>
      <c r="F85" s="14"/>
      <c r="G85" s="14">
        <v>0</v>
      </c>
      <c r="H85" s="14">
        <v>0.280862974698316</v>
      </c>
      <c r="I85" s="14">
        <v>0.319597550128841</v>
      </c>
      <c r="J85" s="14">
        <v>0.33014929181901698</v>
      </c>
      <c r="K85" s="14">
        <v>0.188532767312417</v>
      </c>
      <c r="L85" s="14">
        <v>0.65180798771521298</v>
      </c>
      <c r="M85" s="14"/>
      <c r="N85" s="14">
        <v>0.36743284977062302</v>
      </c>
      <c r="O85" s="14">
        <v>0.24750390668815</v>
      </c>
      <c r="P85" s="14">
        <v>0.30572885495290297</v>
      </c>
      <c r="Q85" s="14">
        <v>0.30344232431060197</v>
      </c>
      <c r="R85" s="14"/>
      <c r="S85" s="14">
        <v>0.38223476546185797</v>
      </c>
      <c r="T85" s="14">
        <v>0.30790734751592402</v>
      </c>
      <c r="U85" s="14">
        <v>0.173714558022799</v>
      </c>
      <c r="V85" s="14">
        <v>0.27676278678910399</v>
      </c>
      <c r="W85" s="14">
        <v>0.36237823531496799</v>
      </c>
      <c r="X85" s="14">
        <v>0.322976205671762</v>
      </c>
      <c r="Y85" s="14">
        <v>0.26012963587898402</v>
      </c>
      <c r="Z85" s="14">
        <v>0.30802808548689498</v>
      </c>
      <c r="AA85" s="14">
        <v>0.30456427087782401</v>
      </c>
      <c r="AB85" s="14"/>
      <c r="AC85" s="14">
        <v>0.21930643542116199</v>
      </c>
      <c r="AD85" s="14">
        <v>0.25596260878488603</v>
      </c>
      <c r="AE85" s="14">
        <v>0.37001933371687201</v>
      </c>
      <c r="AF85" s="14">
        <v>0.37354162843379501</v>
      </c>
      <c r="AG85" s="14">
        <v>0.39323367255381297</v>
      </c>
      <c r="AH85" s="14"/>
      <c r="AI85" s="14">
        <v>0.33230767568912301</v>
      </c>
      <c r="AJ85" s="14">
        <v>0.32182296628801299</v>
      </c>
      <c r="AK85" s="14">
        <v>0.32912911217241803</v>
      </c>
      <c r="AL85" s="14">
        <v>0.18236204660066499</v>
      </c>
      <c r="AM85" s="14">
        <v>0.35718975249610002</v>
      </c>
      <c r="AN85" s="14">
        <v>0.32812675985836998</v>
      </c>
      <c r="AO85" s="14"/>
      <c r="AP85" s="14">
        <v>0.29571702047138099</v>
      </c>
      <c r="AQ85" s="14">
        <v>0.31317821941165602</v>
      </c>
      <c r="AR85" s="14"/>
      <c r="AS85" s="14">
        <v>0.27843258361331202</v>
      </c>
      <c r="AT85" s="14">
        <v>0.32738929255696497</v>
      </c>
      <c r="AU85" s="14" t="s">
        <v>88</v>
      </c>
      <c r="AV85" s="14"/>
      <c r="AW85" s="14">
        <v>0.28123812521773101</v>
      </c>
      <c r="AX85" s="14">
        <v>0.406985601365699</v>
      </c>
      <c r="AY85" s="14"/>
      <c r="AZ85" s="14">
        <v>0.30958729194243301</v>
      </c>
      <c r="BA85" s="14">
        <v>0.27124530248705297</v>
      </c>
    </row>
    <row r="86" spans="2:53" x14ac:dyDescent="0.35">
      <c r="B86" t="s">
        <v>77</v>
      </c>
      <c r="C86" s="14">
        <v>0.48454615114062199</v>
      </c>
      <c r="D86" s="14">
        <v>0.52192451877303303</v>
      </c>
      <c r="E86" s="14">
        <v>0.44642784140310199</v>
      </c>
      <c r="F86" s="14"/>
      <c r="G86" s="14">
        <v>0.62705583047786395</v>
      </c>
      <c r="H86" s="14">
        <v>0.522463047586185</v>
      </c>
      <c r="I86" s="14">
        <v>0.45466439989977198</v>
      </c>
      <c r="J86" s="14">
        <v>0.46717505783987401</v>
      </c>
      <c r="K86" s="14">
        <v>0.68246648858325198</v>
      </c>
      <c r="L86" s="14">
        <v>0.34819201228478702</v>
      </c>
      <c r="M86" s="14"/>
      <c r="N86" s="14">
        <v>0.49865016296598802</v>
      </c>
      <c r="O86" s="14">
        <v>0.51338972135586902</v>
      </c>
      <c r="P86" s="14">
        <v>0.46092578286192898</v>
      </c>
      <c r="Q86" s="14">
        <v>0.45495914654690001</v>
      </c>
      <c r="R86" s="14"/>
      <c r="S86" s="14">
        <v>0.443573091525787</v>
      </c>
      <c r="T86" s="14">
        <v>0.45508170107027002</v>
      </c>
      <c r="U86" s="14">
        <v>0.62028125727737404</v>
      </c>
      <c r="V86" s="14">
        <v>0.48922803155336198</v>
      </c>
      <c r="W86" s="14">
        <v>0.39812298552667802</v>
      </c>
      <c r="X86" s="14">
        <v>0.505157477324226</v>
      </c>
      <c r="Y86" s="14">
        <v>0.46871355654661101</v>
      </c>
      <c r="Z86" s="14">
        <v>0.43335631169392103</v>
      </c>
      <c r="AA86" s="14">
        <v>0.52932526740335495</v>
      </c>
      <c r="AB86" s="14"/>
      <c r="AC86" s="14">
        <v>0.475162200676154</v>
      </c>
      <c r="AD86" s="14">
        <v>0.497818355149101</v>
      </c>
      <c r="AE86" s="14">
        <v>0.45124363641322301</v>
      </c>
      <c r="AF86" s="14">
        <v>0.49268417674534398</v>
      </c>
      <c r="AG86" s="14">
        <v>0.47238241941044201</v>
      </c>
      <c r="AH86" s="14"/>
      <c r="AI86" s="14">
        <v>0.49492507127941698</v>
      </c>
      <c r="AJ86" s="14">
        <v>0.45841799635492098</v>
      </c>
      <c r="AK86" s="14">
        <v>0.53067232485399896</v>
      </c>
      <c r="AL86" s="14">
        <v>0.50364424650564499</v>
      </c>
      <c r="AM86" s="14">
        <v>0.50556435676584699</v>
      </c>
      <c r="AN86" s="14">
        <v>0.50481528203348802</v>
      </c>
      <c r="AO86" s="14"/>
      <c r="AP86" s="14">
        <v>0.48817402498818901</v>
      </c>
      <c r="AQ86" s="14">
        <v>0.48058298915660302</v>
      </c>
      <c r="AR86" s="14"/>
      <c r="AS86" s="14">
        <v>0.493276457458796</v>
      </c>
      <c r="AT86" s="14">
        <v>0.476600030476797</v>
      </c>
      <c r="AU86" s="14" t="s">
        <v>88</v>
      </c>
      <c r="AV86" s="14"/>
      <c r="AW86" s="14">
        <v>0.49148130245177202</v>
      </c>
      <c r="AX86" s="14">
        <v>0.47702278969853801</v>
      </c>
      <c r="AY86" s="14"/>
      <c r="AZ86" s="14">
        <v>0.49149673630229401</v>
      </c>
      <c r="BA86" s="14">
        <v>0.47671818762738699</v>
      </c>
    </row>
    <row r="87" spans="2:53" x14ac:dyDescent="0.35">
      <c r="B87" t="s">
        <v>78</v>
      </c>
      <c r="C87" s="14">
        <v>0.15976532179226699</v>
      </c>
      <c r="D87" s="14">
        <v>0.167415437792935</v>
      </c>
      <c r="E87" s="14">
        <v>0.15196376410764001</v>
      </c>
      <c r="F87" s="14"/>
      <c r="G87" s="14">
        <v>0.37294416952213599</v>
      </c>
      <c r="H87" s="14">
        <v>0.14603555132493101</v>
      </c>
      <c r="I87" s="14">
        <v>0.179334347441056</v>
      </c>
      <c r="J87" s="14">
        <v>0.114583967370623</v>
      </c>
      <c r="K87" s="14">
        <v>0.12900074410433099</v>
      </c>
      <c r="L87" s="14">
        <v>0</v>
      </c>
      <c r="M87" s="14"/>
      <c r="N87" s="14">
        <v>0.120405849755124</v>
      </c>
      <c r="O87" s="14">
        <v>0.18233258440060199</v>
      </c>
      <c r="P87" s="14">
        <v>0.17315551766784301</v>
      </c>
      <c r="Q87" s="14">
        <v>0.16459182958301599</v>
      </c>
      <c r="R87" s="14"/>
      <c r="S87" s="14">
        <v>0.15818175465078099</v>
      </c>
      <c r="T87" s="14">
        <v>0.14827696208201199</v>
      </c>
      <c r="U87" s="14">
        <v>0.153812900577742</v>
      </c>
      <c r="V87" s="14">
        <v>0.13442699165724001</v>
      </c>
      <c r="W87" s="14">
        <v>0.21434111192772801</v>
      </c>
      <c r="X87" s="14">
        <v>0.11803205456082</v>
      </c>
      <c r="Y87" s="14">
        <v>0.241718904644844</v>
      </c>
      <c r="Z87" s="14">
        <v>0.22727521018761601</v>
      </c>
      <c r="AA87" s="14">
        <v>0.118296745170026</v>
      </c>
      <c r="AB87" s="14"/>
      <c r="AC87" s="14">
        <v>0.23236304318852</v>
      </c>
      <c r="AD87" s="14">
        <v>0.17136545654729499</v>
      </c>
      <c r="AE87" s="14">
        <v>0.13205934640901101</v>
      </c>
      <c r="AF87" s="14">
        <v>0.133774194820861</v>
      </c>
      <c r="AG87" s="14">
        <v>0.102627641530687</v>
      </c>
      <c r="AH87" s="14"/>
      <c r="AI87" s="14">
        <v>0.13548853317432599</v>
      </c>
      <c r="AJ87" s="14">
        <v>0.199723860307507</v>
      </c>
      <c r="AK87" s="14">
        <v>0.11299551717997</v>
      </c>
      <c r="AL87" s="14">
        <v>0.209986650081745</v>
      </c>
      <c r="AM87" s="14">
        <v>0.13724589073805299</v>
      </c>
      <c r="AN87" s="14">
        <v>0.10403620017330301</v>
      </c>
      <c r="AO87" s="14"/>
      <c r="AP87" s="14">
        <v>0.17120791566861901</v>
      </c>
      <c r="AQ87" s="14">
        <v>0.14726520327801901</v>
      </c>
      <c r="AR87" s="14"/>
      <c r="AS87" s="14">
        <v>0.16859625190678701</v>
      </c>
      <c r="AT87" s="14">
        <v>0.151727615701965</v>
      </c>
      <c r="AU87" s="14" t="s">
        <v>88</v>
      </c>
      <c r="AV87" s="14"/>
      <c r="AW87" s="14">
        <v>0.17057145248980199</v>
      </c>
      <c r="AX87" s="14">
        <v>0.101677627611692</v>
      </c>
      <c r="AY87" s="14"/>
      <c r="AZ87" s="14">
        <v>0.15723617012799501</v>
      </c>
      <c r="BA87" s="14">
        <v>0.17600721896383401</v>
      </c>
    </row>
    <row r="88" spans="2:53" x14ac:dyDescent="0.35">
      <c r="B88" t="s">
        <v>79</v>
      </c>
      <c r="C88" s="14">
        <v>4.3581533243162003E-2</v>
      </c>
      <c r="D88" s="14">
        <v>2.7009792060060399E-2</v>
      </c>
      <c r="E88" s="14">
        <v>6.0481328587882799E-2</v>
      </c>
      <c r="F88" s="14"/>
      <c r="G88" s="14">
        <v>0</v>
      </c>
      <c r="H88" s="14">
        <v>4.4963137994525497E-2</v>
      </c>
      <c r="I88" s="14">
        <v>4.1099544306491702E-2</v>
      </c>
      <c r="J88" s="14">
        <v>6.4030305298158799E-2</v>
      </c>
      <c r="K88" s="14">
        <v>0</v>
      </c>
      <c r="L88" s="14">
        <v>0</v>
      </c>
      <c r="M88" s="14"/>
      <c r="N88" s="14">
        <v>1.35111375082652E-2</v>
      </c>
      <c r="O88" s="14">
        <v>4.07568667524369E-2</v>
      </c>
      <c r="P88" s="14">
        <v>5.1662620865544302E-2</v>
      </c>
      <c r="Q88" s="14">
        <v>7.0019186227276306E-2</v>
      </c>
      <c r="R88" s="14"/>
      <c r="S88" s="14">
        <v>5.0228429359298497E-3</v>
      </c>
      <c r="T88" s="14">
        <v>6.8045449301420105E-2</v>
      </c>
      <c r="U88" s="14">
        <v>5.2191284122084597E-2</v>
      </c>
      <c r="V88" s="14">
        <v>9.9582190000293905E-2</v>
      </c>
      <c r="W88" s="14">
        <v>2.5157667230626499E-2</v>
      </c>
      <c r="X88" s="14">
        <v>3.8055201275775302E-2</v>
      </c>
      <c r="Y88" s="14">
        <v>2.9437902929560899E-2</v>
      </c>
      <c r="Z88" s="14">
        <v>3.1340392631568501E-2</v>
      </c>
      <c r="AA88" s="14">
        <v>3.9414316573153703E-2</v>
      </c>
      <c r="AB88" s="14"/>
      <c r="AC88" s="14">
        <v>4.7937716639446903E-2</v>
      </c>
      <c r="AD88" s="14">
        <v>7.4853579518717697E-2</v>
      </c>
      <c r="AE88" s="14">
        <v>4.3244547117905E-2</v>
      </c>
      <c r="AF88" s="14">
        <v>0</v>
      </c>
      <c r="AG88" s="14">
        <v>3.1756266505058299E-2</v>
      </c>
      <c r="AH88" s="14"/>
      <c r="AI88" s="14">
        <v>3.72787198571332E-2</v>
      </c>
      <c r="AJ88" s="14">
        <v>2.0035177049558699E-2</v>
      </c>
      <c r="AK88" s="14">
        <v>2.7203045793613202E-2</v>
      </c>
      <c r="AL88" s="14">
        <v>5.6425626569390999E-2</v>
      </c>
      <c r="AM88" s="14">
        <v>0</v>
      </c>
      <c r="AN88" s="14">
        <v>6.3021757934839204E-2</v>
      </c>
      <c r="AO88" s="14"/>
      <c r="AP88" s="14">
        <v>3.5115056897777802E-2</v>
      </c>
      <c r="AQ88" s="14">
        <v>5.2830481415140199E-2</v>
      </c>
      <c r="AR88" s="14"/>
      <c r="AS88" s="14">
        <v>4.98914492260795E-2</v>
      </c>
      <c r="AT88" s="14">
        <v>3.7838395264774401E-2</v>
      </c>
      <c r="AU88" s="14" t="s">
        <v>88</v>
      </c>
      <c r="AV88" s="14"/>
      <c r="AW88" s="14">
        <v>5.2173733211502898E-2</v>
      </c>
      <c r="AX88" s="14">
        <v>8.1334414774061701E-3</v>
      </c>
      <c r="AY88" s="14"/>
      <c r="AZ88" s="14">
        <v>3.7888212304482603E-2</v>
      </c>
      <c r="BA88" s="14">
        <v>5.8638316211330602E-2</v>
      </c>
    </row>
    <row r="89" spans="2:53" x14ac:dyDescent="0.35">
      <c r="B89" t="s">
        <v>80</v>
      </c>
      <c r="C89" s="14">
        <v>8.04499535641638E-3</v>
      </c>
      <c r="D89" s="14">
        <v>6.7976538406239297E-3</v>
      </c>
      <c r="E89" s="14">
        <v>9.3170292428351297E-3</v>
      </c>
      <c r="F89" s="14"/>
      <c r="G89" s="14">
        <v>0</v>
      </c>
      <c r="H89" s="14">
        <v>5.67528839604325E-3</v>
      </c>
      <c r="I89" s="14">
        <v>5.3041582238393401E-3</v>
      </c>
      <c r="J89" s="14">
        <v>2.4061377672327501E-2</v>
      </c>
      <c r="K89" s="14">
        <v>0</v>
      </c>
      <c r="L89" s="14">
        <v>0</v>
      </c>
      <c r="M89" s="14"/>
      <c r="N89" s="14">
        <v>0</v>
      </c>
      <c r="O89" s="14">
        <v>1.60169208029418E-2</v>
      </c>
      <c r="P89" s="14">
        <v>8.5272236517797799E-3</v>
      </c>
      <c r="Q89" s="14">
        <v>6.9875133322054202E-3</v>
      </c>
      <c r="R89" s="14"/>
      <c r="S89" s="14">
        <v>1.09875454256444E-2</v>
      </c>
      <c r="T89" s="14">
        <v>2.0688540030374802E-2</v>
      </c>
      <c r="U89" s="14">
        <v>0</v>
      </c>
      <c r="V89" s="14">
        <v>0</v>
      </c>
      <c r="W89" s="14">
        <v>0</v>
      </c>
      <c r="X89" s="14">
        <v>1.5779061167417199E-2</v>
      </c>
      <c r="Y89" s="14">
        <v>0</v>
      </c>
      <c r="Z89" s="14">
        <v>0</v>
      </c>
      <c r="AA89" s="14">
        <v>8.3993999756419094E-3</v>
      </c>
      <c r="AB89" s="14"/>
      <c r="AC89" s="14">
        <v>2.5230604074716601E-2</v>
      </c>
      <c r="AD89" s="14">
        <v>0</v>
      </c>
      <c r="AE89" s="14">
        <v>3.4331363429881199E-3</v>
      </c>
      <c r="AF89" s="14">
        <v>0</v>
      </c>
      <c r="AG89" s="14">
        <v>0</v>
      </c>
      <c r="AH89" s="14"/>
      <c r="AI89" s="14">
        <v>0</v>
      </c>
      <c r="AJ89" s="14">
        <v>0</v>
      </c>
      <c r="AK89" s="14">
        <v>0</v>
      </c>
      <c r="AL89" s="14">
        <v>4.7581430242553999E-2</v>
      </c>
      <c r="AM89" s="14">
        <v>0</v>
      </c>
      <c r="AN89" s="14">
        <v>0</v>
      </c>
      <c r="AO89" s="14"/>
      <c r="AP89" s="14">
        <v>9.7859819740334694E-3</v>
      </c>
      <c r="AQ89" s="14">
        <v>6.1431067385822602E-3</v>
      </c>
      <c r="AR89" s="14"/>
      <c r="AS89" s="14">
        <v>9.8032577950262108E-3</v>
      </c>
      <c r="AT89" s="14">
        <v>6.4446659994978296E-3</v>
      </c>
      <c r="AU89" s="14" t="s">
        <v>88</v>
      </c>
      <c r="AV89" s="14"/>
      <c r="AW89" s="14">
        <v>4.5353866291924696E-3</v>
      </c>
      <c r="AX89" s="14">
        <v>6.1805398466640103E-3</v>
      </c>
      <c r="AY89" s="14"/>
      <c r="AZ89" s="14">
        <v>3.7915893227956701E-3</v>
      </c>
      <c r="BA89" s="14">
        <v>1.7390974710394899E-2</v>
      </c>
    </row>
    <row r="90" spans="2:53" x14ac:dyDescent="0.35">
      <c r="B90" t="s">
        <v>81</v>
      </c>
      <c r="C90" s="14">
        <v>0.78860814960815495</v>
      </c>
      <c r="D90" s="14">
        <v>0.79877711630638004</v>
      </c>
      <c r="E90" s="14">
        <v>0.77823787806164202</v>
      </c>
      <c r="F90" s="14"/>
      <c r="G90" s="14">
        <v>0.62705583047786395</v>
      </c>
      <c r="H90" s="14">
        <v>0.80332602228450101</v>
      </c>
      <c r="I90" s="14">
        <v>0.77426195002861298</v>
      </c>
      <c r="J90" s="14">
        <v>0.79732434965889099</v>
      </c>
      <c r="K90" s="14">
        <v>0.87099925589566896</v>
      </c>
      <c r="L90" s="14">
        <v>1</v>
      </c>
      <c r="M90" s="14"/>
      <c r="N90" s="14">
        <v>0.86608301273661104</v>
      </c>
      <c r="O90" s="14">
        <v>0.76089362804401905</v>
      </c>
      <c r="P90" s="14">
        <v>0.76665463781483201</v>
      </c>
      <c r="Q90" s="14">
        <v>0.75840147085750198</v>
      </c>
      <c r="R90" s="14"/>
      <c r="S90" s="14">
        <v>0.82580785698764403</v>
      </c>
      <c r="T90" s="14">
        <v>0.76298904858619299</v>
      </c>
      <c r="U90" s="14">
        <v>0.79399581530017405</v>
      </c>
      <c r="V90" s="14">
        <v>0.76599081834246596</v>
      </c>
      <c r="W90" s="14">
        <v>0.76050122084164595</v>
      </c>
      <c r="X90" s="14">
        <v>0.828133682995988</v>
      </c>
      <c r="Y90" s="14">
        <v>0.72884319242559503</v>
      </c>
      <c r="Z90" s="14">
        <v>0.74138439718081495</v>
      </c>
      <c r="AA90" s="14">
        <v>0.83388953828117895</v>
      </c>
      <c r="AB90" s="14"/>
      <c r="AC90" s="14">
        <v>0.69446863609731602</v>
      </c>
      <c r="AD90" s="14">
        <v>0.75378096393398697</v>
      </c>
      <c r="AE90" s="14">
        <v>0.82126297013009597</v>
      </c>
      <c r="AF90" s="14">
        <v>0.86622580517913905</v>
      </c>
      <c r="AG90" s="14">
        <v>0.86561609196425504</v>
      </c>
      <c r="AH90" s="14"/>
      <c r="AI90" s="14">
        <v>0.82723274696854099</v>
      </c>
      <c r="AJ90" s="14">
        <v>0.78024096264293397</v>
      </c>
      <c r="AK90" s="14">
        <v>0.85980143702641698</v>
      </c>
      <c r="AL90" s="14">
        <v>0.68600629310631001</v>
      </c>
      <c r="AM90" s="14">
        <v>0.86275410926194696</v>
      </c>
      <c r="AN90" s="14">
        <v>0.83294204189185805</v>
      </c>
      <c r="AO90" s="14"/>
      <c r="AP90" s="14">
        <v>0.78389104545957</v>
      </c>
      <c r="AQ90" s="14">
        <v>0.79376120856825805</v>
      </c>
      <c r="AR90" s="14"/>
      <c r="AS90" s="14">
        <v>0.77170904107210803</v>
      </c>
      <c r="AT90" s="14">
        <v>0.80398932303376203</v>
      </c>
      <c r="AU90" s="14" t="s">
        <v>88</v>
      </c>
      <c r="AV90" s="14"/>
      <c r="AW90" s="14">
        <v>0.77271942766950297</v>
      </c>
      <c r="AX90" s="14">
        <v>0.88400839106423801</v>
      </c>
      <c r="AY90" s="14"/>
      <c r="AZ90" s="14">
        <v>0.80108402824472702</v>
      </c>
      <c r="BA90" s="14">
        <v>0.74796349011443997</v>
      </c>
    </row>
    <row r="91" spans="2:53" x14ac:dyDescent="0.35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</row>
    <row r="92" spans="2:53" x14ac:dyDescent="0.35">
      <c r="B92" s="6" t="s">
        <v>89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</row>
    <row r="93" spans="2:53" x14ac:dyDescent="0.35">
      <c r="B93" s="24" t="s">
        <v>101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</row>
    <row r="94" spans="2:53" x14ac:dyDescent="0.35">
      <c r="B94" t="s">
        <v>76</v>
      </c>
      <c r="C94" s="14">
        <v>0.78597674477940804</v>
      </c>
      <c r="D94" s="14">
        <v>0.81092652808163501</v>
      </c>
      <c r="E94" s="14">
        <v>0.76245744052501696</v>
      </c>
      <c r="F94" s="14"/>
      <c r="G94" s="14">
        <v>0.56074380449106598</v>
      </c>
      <c r="H94" s="14">
        <v>0.65347759640557801</v>
      </c>
      <c r="I94" s="14">
        <v>0.78551911598431801</v>
      </c>
      <c r="J94" s="14">
        <v>0.80640782999410598</v>
      </c>
      <c r="K94" s="14">
        <v>0.81480800321193403</v>
      </c>
      <c r="L94" s="14">
        <v>0.78701286253090996</v>
      </c>
      <c r="M94" s="14"/>
      <c r="N94" s="14">
        <v>0.82569349628407895</v>
      </c>
      <c r="O94" s="14">
        <v>0.80867597185679996</v>
      </c>
      <c r="P94" s="14">
        <v>0.74769305541228004</v>
      </c>
      <c r="Q94" s="14">
        <v>0.75349896478425105</v>
      </c>
      <c r="R94" s="14"/>
      <c r="S94" s="14">
        <v>0.77548636863572196</v>
      </c>
      <c r="T94" s="14">
        <v>0.83951961001605802</v>
      </c>
      <c r="U94" s="14">
        <v>0.82680109385732403</v>
      </c>
      <c r="V94" s="14">
        <v>0.73775582024601805</v>
      </c>
      <c r="W94" s="14">
        <v>0.79736257930654997</v>
      </c>
      <c r="X94" s="14">
        <v>0.766843019404578</v>
      </c>
      <c r="Y94" s="14">
        <v>0.77178958450925905</v>
      </c>
      <c r="Z94" s="14">
        <v>0.75004354362074499</v>
      </c>
      <c r="AA94" s="14">
        <v>0.77776732370113799</v>
      </c>
      <c r="AB94" s="14"/>
      <c r="AC94" s="14">
        <v>0.77880072850156801</v>
      </c>
      <c r="AD94" s="14">
        <v>0.82486510759981302</v>
      </c>
      <c r="AE94" s="14">
        <v>0.78576066653668297</v>
      </c>
      <c r="AF94" s="14">
        <v>0.77171788489353998</v>
      </c>
      <c r="AG94" s="14">
        <v>0.83408985189024198</v>
      </c>
      <c r="AH94" s="14"/>
      <c r="AI94" s="14">
        <v>0.78079090805661999</v>
      </c>
      <c r="AJ94" s="14">
        <v>0.84581520046630498</v>
      </c>
      <c r="AK94" s="14">
        <v>0.76379871609702099</v>
      </c>
      <c r="AL94" s="14">
        <v>0.78803046822443201</v>
      </c>
      <c r="AM94" s="14">
        <v>0.77608941964919498</v>
      </c>
      <c r="AN94" s="14">
        <v>0.76084637089146201</v>
      </c>
      <c r="AO94" s="14"/>
      <c r="AP94" s="14">
        <v>0.80373771667318505</v>
      </c>
      <c r="AQ94" s="14">
        <v>0.76671530439662605</v>
      </c>
      <c r="AR94" s="14"/>
      <c r="AS94" s="14" t="s">
        <v>88</v>
      </c>
      <c r="AT94" s="14" t="s">
        <v>88</v>
      </c>
      <c r="AU94" s="14">
        <v>0.78597674477940804</v>
      </c>
      <c r="AV94" s="14"/>
      <c r="AW94" s="14">
        <v>0.80734454929091304</v>
      </c>
      <c r="AX94" s="14">
        <v>0.82022150846379305</v>
      </c>
      <c r="AY94" s="14"/>
      <c r="AZ94" s="14">
        <v>0.80835715906071204</v>
      </c>
      <c r="BA94" s="14">
        <v>0.70607801681930205</v>
      </c>
    </row>
    <row r="95" spans="2:53" x14ac:dyDescent="0.35">
      <c r="B95" t="s">
        <v>77</v>
      </c>
      <c r="C95" s="14">
        <v>0.18138915661945601</v>
      </c>
      <c r="D95" s="14">
        <v>0.15865300406743599</v>
      </c>
      <c r="E95" s="14">
        <v>0.202667220054398</v>
      </c>
      <c r="F95" s="14"/>
      <c r="G95" s="14">
        <v>0.43925619550893402</v>
      </c>
      <c r="H95" s="14">
        <v>0.294043389514695</v>
      </c>
      <c r="I95" s="14">
        <v>0.18192098114196101</v>
      </c>
      <c r="J95" s="14">
        <v>0.16750967054073301</v>
      </c>
      <c r="K95" s="14">
        <v>0.151264703639337</v>
      </c>
      <c r="L95" s="14">
        <v>0.14060557753925401</v>
      </c>
      <c r="M95" s="14"/>
      <c r="N95" s="14">
        <v>0.15129248486514199</v>
      </c>
      <c r="O95" s="14">
        <v>0.164399228891211</v>
      </c>
      <c r="P95" s="14">
        <v>0.22623500134889599</v>
      </c>
      <c r="Q95" s="14">
        <v>0.19020810062673299</v>
      </c>
      <c r="R95" s="14"/>
      <c r="S95" s="14">
        <v>0.191627399705559</v>
      </c>
      <c r="T95" s="14">
        <v>0.139393804808568</v>
      </c>
      <c r="U95" s="14">
        <v>0.14397662668914499</v>
      </c>
      <c r="V95" s="14">
        <v>0.21948802955998301</v>
      </c>
      <c r="W95" s="14">
        <v>0.16355549237401801</v>
      </c>
      <c r="X95" s="14">
        <v>0.19401957324920199</v>
      </c>
      <c r="Y95" s="14">
        <v>0.20402553144154401</v>
      </c>
      <c r="Z95" s="14">
        <v>0.20717897007546501</v>
      </c>
      <c r="AA95" s="14">
        <v>0.189581175467884</v>
      </c>
      <c r="AB95" s="14"/>
      <c r="AC95" s="14">
        <v>0.19660960628555499</v>
      </c>
      <c r="AD95" s="14">
        <v>0.15630362260757999</v>
      </c>
      <c r="AE95" s="14">
        <v>0.19185271456758099</v>
      </c>
      <c r="AF95" s="14">
        <v>0.183034098080506</v>
      </c>
      <c r="AG95" s="14">
        <v>0.14657774055790601</v>
      </c>
      <c r="AH95" s="14"/>
      <c r="AI95" s="14">
        <v>0.18297934892096401</v>
      </c>
      <c r="AJ95" s="14">
        <v>0.13107207506714399</v>
      </c>
      <c r="AK95" s="14">
        <v>0.21864392967567101</v>
      </c>
      <c r="AL95" s="14">
        <v>0.175545496154978</v>
      </c>
      <c r="AM95" s="14">
        <v>0.168439052671913</v>
      </c>
      <c r="AN95" s="14">
        <v>0.20395827611992801</v>
      </c>
      <c r="AO95" s="14"/>
      <c r="AP95" s="14">
        <v>0.170072763272482</v>
      </c>
      <c r="AQ95" s="14">
        <v>0.19526022636424401</v>
      </c>
      <c r="AR95" s="14"/>
      <c r="AS95" s="14" t="s">
        <v>88</v>
      </c>
      <c r="AT95" s="14" t="s">
        <v>88</v>
      </c>
      <c r="AU95" s="14">
        <v>0.18138915661945601</v>
      </c>
      <c r="AV95" s="14"/>
      <c r="AW95" s="14">
        <v>0.167896637265394</v>
      </c>
      <c r="AX95" s="14">
        <v>0.148665290726821</v>
      </c>
      <c r="AY95" s="14"/>
      <c r="AZ95" s="14">
        <v>0.16518157561478</v>
      </c>
      <c r="BA95" s="14">
        <v>0.24231038993701201</v>
      </c>
    </row>
    <row r="96" spans="2:53" x14ac:dyDescent="0.35">
      <c r="B96" t="s">
        <v>78</v>
      </c>
      <c r="C96" s="14">
        <v>2.0857317384783001E-2</v>
      </c>
      <c r="D96" s="14">
        <v>2.2984981793607001E-2</v>
      </c>
      <c r="E96" s="14">
        <v>1.8781948195764401E-2</v>
      </c>
      <c r="F96" s="14"/>
      <c r="G96" s="14">
        <v>0</v>
      </c>
      <c r="H96" s="14">
        <v>5.2479014079726397E-2</v>
      </c>
      <c r="I96" s="14">
        <v>1.9958887810319001E-2</v>
      </c>
      <c r="J96" s="14">
        <v>1.0733753765555101E-2</v>
      </c>
      <c r="K96" s="14">
        <v>2.5854386714950502E-2</v>
      </c>
      <c r="L96" s="14">
        <v>7.2381559929835901E-2</v>
      </c>
      <c r="M96" s="14"/>
      <c r="N96" s="14">
        <v>1.8443198059458401E-2</v>
      </c>
      <c r="O96" s="14">
        <v>1.77808786416161E-2</v>
      </c>
      <c r="P96" s="14">
        <v>2.0331815559038801E-2</v>
      </c>
      <c r="Q96" s="14">
        <v>2.75887620955385E-2</v>
      </c>
      <c r="R96" s="14"/>
      <c r="S96" s="14">
        <v>2.6201501729481901E-2</v>
      </c>
      <c r="T96" s="14">
        <v>7.5904540645790599E-3</v>
      </c>
      <c r="U96" s="14">
        <v>1.9005987091347799E-2</v>
      </c>
      <c r="V96" s="14">
        <v>2.1367014325609099E-2</v>
      </c>
      <c r="W96" s="14">
        <v>2.7785103401377902E-2</v>
      </c>
      <c r="X96" s="14">
        <v>2.5877615280736E-2</v>
      </c>
      <c r="Y96" s="14">
        <v>2.4184884049196002E-2</v>
      </c>
      <c r="Z96" s="14">
        <v>0</v>
      </c>
      <c r="AA96" s="14">
        <v>2.7870207151417602E-2</v>
      </c>
      <c r="AB96" s="14"/>
      <c r="AC96" s="14">
        <v>2.2326027479962301E-2</v>
      </c>
      <c r="AD96" s="14">
        <v>9.7961638764281697E-3</v>
      </c>
      <c r="AE96" s="14">
        <v>1.1483424705056901E-2</v>
      </c>
      <c r="AF96" s="14">
        <v>4.5248017025954601E-2</v>
      </c>
      <c r="AG96" s="14">
        <v>1.9332407551852698E-2</v>
      </c>
      <c r="AH96" s="14"/>
      <c r="AI96" s="14">
        <v>2.7610815528883999E-2</v>
      </c>
      <c r="AJ96" s="14">
        <v>9.6182694004422198E-3</v>
      </c>
      <c r="AK96" s="14">
        <v>0</v>
      </c>
      <c r="AL96" s="14">
        <v>1.9137913769599901E-2</v>
      </c>
      <c r="AM96" s="14">
        <v>5.5471527678891699E-2</v>
      </c>
      <c r="AN96" s="14">
        <v>2.0213983664775202E-2</v>
      </c>
      <c r="AO96" s="14"/>
      <c r="AP96" s="14">
        <v>2.1847035750408899E-2</v>
      </c>
      <c r="AQ96" s="14">
        <v>1.9831173262020101E-2</v>
      </c>
      <c r="AR96" s="14"/>
      <c r="AS96" s="14" t="s">
        <v>88</v>
      </c>
      <c r="AT96" s="14" t="s">
        <v>88</v>
      </c>
      <c r="AU96" s="14">
        <v>2.0857317384783001E-2</v>
      </c>
      <c r="AV96" s="14"/>
      <c r="AW96" s="14">
        <v>1.8378890447125901E-2</v>
      </c>
      <c r="AX96" s="14">
        <v>2.4152789153297799E-2</v>
      </c>
      <c r="AY96" s="14"/>
      <c r="AZ96" s="14">
        <v>1.58433508528424E-2</v>
      </c>
      <c r="BA96" s="14">
        <v>3.9314907715527501E-2</v>
      </c>
    </row>
    <row r="97" spans="2:53" x14ac:dyDescent="0.35">
      <c r="B97" t="s">
        <v>79</v>
      </c>
      <c r="C97" s="14">
        <v>4.5557722638892503E-3</v>
      </c>
      <c r="D97" s="14">
        <v>2.7515248714075598E-3</v>
      </c>
      <c r="E97" s="14">
        <v>6.3492492481115898E-3</v>
      </c>
      <c r="F97" s="14"/>
      <c r="G97" s="14">
        <v>0</v>
      </c>
      <c r="H97" s="14">
        <v>0</v>
      </c>
      <c r="I97" s="14">
        <v>2.6774757145777402E-3</v>
      </c>
      <c r="J97" s="14">
        <v>6.5632541738189299E-3</v>
      </c>
      <c r="K97" s="14">
        <v>8.0729064337786999E-3</v>
      </c>
      <c r="L97" s="14">
        <v>0</v>
      </c>
      <c r="M97" s="14"/>
      <c r="N97" s="14">
        <v>9.7242295348863399E-4</v>
      </c>
      <c r="O97" s="14">
        <v>9.1439206103725492E-3</v>
      </c>
      <c r="P97" s="14">
        <v>0</v>
      </c>
      <c r="Q97" s="14">
        <v>8.4454979714297194E-3</v>
      </c>
      <c r="R97" s="14"/>
      <c r="S97" s="14">
        <v>0</v>
      </c>
      <c r="T97" s="14">
        <v>6.7480655553974703E-3</v>
      </c>
      <c r="U97" s="14">
        <v>0</v>
      </c>
      <c r="V97" s="14">
        <v>1.13764513537233E-2</v>
      </c>
      <c r="W97" s="14">
        <v>1.1296824918053901E-2</v>
      </c>
      <c r="X97" s="14">
        <v>5.1922625452746601E-3</v>
      </c>
      <c r="Y97" s="14">
        <v>0</v>
      </c>
      <c r="Z97" s="14">
        <v>0</v>
      </c>
      <c r="AA97" s="14">
        <v>4.7812936795605396E-3</v>
      </c>
      <c r="AB97" s="14"/>
      <c r="AC97" s="14">
        <v>2.2636377329150899E-3</v>
      </c>
      <c r="AD97" s="14">
        <v>0</v>
      </c>
      <c r="AE97" s="14">
        <v>1.09031941906792E-2</v>
      </c>
      <c r="AF97" s="14">
        <v>0</v>
      </c>
      <c r="AG97" s="14">
        <v>0</v>
      </c>
      <c r="AH97" s="14"/>
      <c r="AI97" s="14">
        <v>0</v>
      </c>
      <c r="AJ97" s="14">
        <v>1.3494455066108701E-2</v>
      </c>
      <c r="AK97" s="14">
        <v>1.7557354227307701E-2</v>
      </c>
      <c r="AL97" s="14">
        <v>3.2025315501234201E-3</v>
      </c>
      <c r="AM97" s="14">
        <v>0</v>
      </c>
      <c r="AN97" s="14">
        <v>0</v>
      </c>
      <c r="AO97" s="14"/>
      <c r="AP97" s="14">
        <v>2.6625785277727201E-3</v>
      </c>
      <c r="AQ97" s="14">
        <v>4.59580954201207E-3</v>
      </c>
      <c r="AR97" s="14"/>
      <c r="AS97" s="14" t="s">
        <v>88</v>
      </c>
      <c r="AT97" s="14" t="s">
        <v>88</v>
      </c>
      <c r="AU97" s="14">
        <v>4.5557722638892503E-3</v>
      </c>
      <c r="AV97" s="14"/>
      <c r="AW97" s="14">
        <v>2.43763030921776E-3</v>
      </c>
      <c r="AX97" s="14">
        <v>6.9604116560878296E-3</v>
      </c>
      <c r="AY97" s="14"/>
      <c r="AZ97" s="14">
        <v>3.8678737116512102E-3</v>
      </c>
      <c r="BA97" s="14">
        <v>7.1067795863912001E-3</v>
      </c>
    </row>
    <row r="98" spans="2:53" x14ac:dyDescent="0.35">
      <c r="B98" t="s">
        <v>80</v>
      </c>
      <c r="C98" s="14">
        <v>7.2210089524631501E-3</v>
      </c>
      <c r="D98" s="14">
        <v>4.68396118591513E-3</v>
      </c>
      <c r="E98" s="14">
        <v>9.7441419767091992E-3</v>
      </c>
      <c r="F98" s="14"/>
      <c r="G98" s="14">
        <v>0</v>
      </c>
      <c r="H98" s="14">
        <v>0</v>
      </c>
      <c r="I98" s="14">
        <v>9.9235393488246396E-3</v>
      </c>
      <c r="J98" s="14">
        <v>8.7854915257873593E-3</v>
      </c>
      <c r="K98" s="14">
        <v>0</v>
      </c>
      <c r="L98" s="14">
        <v>0</v>
      </c>
      <c r="M98" s="14"/>
      <c r="N98" s="14">
        <v>3.5983978378326298E-3</v>
      </c>
      <c r="O98" s="14">
        <v>0</v>
      </c>
      <c r="P98" s="14">
        <v>5.7401276797851902E-3</v>
      </c>
      <c r="Q98" s="14">
        <v>2.0258674522047101E-2</v>
      </c>
      <c r="R98" s="14"/>
      <c r="S98" s="14">
        <v>6.6847299292369699E-3</v>
      </c>
      <c r="T98" s="14">
        <v>6.7480655553974703E-3</v>
      </c>
      <c r="U98" s="14">
        <v>1.0216292362183301E-2</v>
      </c>
      <c r="V98" s="14">
        <v>1.0012684514666701E-2</v>
      </c>
      <c r="W98" s="14">
        <v>0</v>
      </c>
      <c r="X98" s="14">
        <v>8.0675295202096292E-3</v>
      </c>
      <c r="Y98" s="14">
        <v>0</v>
      </c>
      <c r="Z98" s="14">
        <v>4.2777486303790198E-2</v>
      </c>
      <c r="AA98" s="14">
        <v>0</v>
      </c>
      <c r="AB98" s="14"/>
      <c r="AC98" s="14">
        <v>0</v>
      </c>
      <c r="AD98" s="14">
        <v>9.0351059161793996E-3</v>
      </c>
      <c r="AE98" s="14">
        <v>0</v>
      </c>
      <c r="AF98" s="14">
        <v>0</v>
      </c>
      <c r="AG98" s="14">
        <v>0</v>
      </c>
      <c r="AH98" s="14"/>
      <c r="AI98" s="14">
        <v>8.6189274935317504E-3</v>
      </c>
      <c r="AJ98" s="14">
        <v>0</v>
      </c>
      <c r="AK98" s="14">
        <v>0</v>
      </c>
      <c r="AL98" s="14">
        <v>1.4083590300866301E-2</v>
      </c>
      <c r="AM98" s="14">
        <v>0</v>
      </c>
      <c r="AN98" s="14">
        <v>1.49813693238342E-2</v>
      </c>
      <c r="AO98" s="14"/>
      <c r="AP98" s="14">
        <v>1.6799057761514801E-3</v>
      </c>
      <c r="AQ98" s="14">
        <v>1.3597486435098E-2</v>
      </c>
      <c r="AR98" s="14"/>
      <c r="AS98" s="14" t="s">
        <v>88</v>
      </c>
      <c r="AT98" s="14" t="s">
        <v>88</v>
      </c>
      <c r="AU98" s="14">
        <v>7.2210089524631501E-3</v>
      </c>
      <c r="AV98" s="14"/>
      <c r="AW98" s="14">
        <v>3.9422926873500398E-3</v>
      </c>
      <c r="AX98" s="14">
        <v>0</v>
      </c>
      <c r="AY98" s="14"/>
      <c r="AZ98" s="14">
        <v>6.7500407600137001E-3</v>
      </c>
      <c r="BA98" s="14">
        <v>5.1899059417677496E-3</v>
      </c>
    </row>
    <row r="99" spans="2:53" x14ac:dyDescent="0.35">
      <c r="B99" t="s">
        <v>81</v>
      </c>
      <c r="C99" s="14">
        <v>0.96736590139886502</v>
      </c>
      <c r="D99" s="14">
        <v>0.96957953214907</v>
      </c>
      <c r="E99" s="14">
        <v>0.96512466057941504</v>
      </c>
      <c r="F99" s="14"/>
      <c r="G99" s="14">
        <v>1</v>
      </c>
      <c r="H99" s="14">
        <v>0.94752098592027401</v>
      </c>
      <c r="I99" s="14">
        <v>0.96744009712627899</v>
      </c>
      <c r="J99" s="14">
        <v>0.97391750053483905</v>
      </c>
      <c r="K99" s="14">
        <v>0.966072706851271</v>
      </c>
      <c r="L99" s="14">
        <v>0.92761844007016403</v>
      </c>
      <c r="M99" s="14"/>
      <c r="N99" s="14">
        <v>0.97698598114921997</v>
      </c>
      <c r="O99" s="14">
        <v>0.97307520074801102</v>
      </c>
      <c r="P99" s="14">
        <v>0.973928056761176</v>
      </c>
      <c r="Q99" s="14">
        <v>0.94370706541098504</v>
      </c>
      <c r="R99" s="14"/>
      <c r="S99" s="14">
        <v>0.96711376834128104</v>
      </c>
      <c r="T99" s="14">
        <v>0.97891341482462602</v>
      </c>
      <c r="U99" s="14">
        <v>0.97077772054646905</v>
      </c>
      <c r="V99" s="14">
        <v>0.95724384980600097</v>
      </c>
      <c r="W99" s="14">
        <v>0.96091807168056798</v>
      </c>
      <c r="X99" s="14">
        <v>0.96086259265378005</v>
      </c>
      <c r="Y99" s="14">
        <v>0.97581511595080395</v>
      </c>
      <c r="Z99" s="14">
        <v>0.95722251369621003</v>
      </c>
      <c r="AA99" s="14">
        <v>0.96734849916902199</v>
      </c>
      <c r="AB99" s="14"/>
      <c r="AC99" s="14">
        <v>0.97541033478712302</v>
      </c>
      <c r="AD99" s="14">
        <v>0.98116873020739304</v>
      </c>
      <c r="AE99" s="14">
        <v>0.97761338110426399</v>
      </c>
      <c r="AF99" s="14">
        <v>0.95475198297404595</v>
      </c>
      <c r="AG99" s="14">
        <v>0.98066759244814705</v>
      </c>
      <c r="AH99" s="14"/>
      <c r="AI99" s="14">
        <v>0.96377025697758401</v>
      </c>
      <c r="AJ99" s="14">
        <v>0.97688727553344901</v>
      </c>
      <c r="AK99" s="14">
        <v>0.98244264577269202</v>
      </c>
      <c r="AL99" s="14">
        <v>0.96357596437940995</v>
      </c>
      <c r="AM99" s="14">
        <v>0.94452847232110804</v>
      </c>
      <c r="AN99" s="14">
        <v>0.96480464701139101</v>
      </c>
      <c r="AO99" s="14"/>
      <c r="AP99" s="14">
        <v>0.97381047994566705</v>
      </c>
      <c r="AQ99" s="14">
        <v>0.96197553076086995</v>
      </c>
      <c r="AR99" s="14"/>
      <c r="AS99" s="14" t="s">
        <v>88</v>
      </c>
      <c r="AT99" s="14" t="s">
        <v>88</v>
      </c>
      <c r="AU99" s="14">
        <v>0.96736590139886502</v>
      </c>
      <c r="AV99" s="14"/>
      <c r="AW99" s="14">
        <v>0.97524118655630598</v>
      </c>
      <c r="AX99" s="14">
        <v>0.96888679919061405</v>
      </c>
      <c r="AY99" s="14"/>
      <c r="AZ99" s="14">
        <v>0.97353873467549301</v>
      </c>
      <c r="BA99" s="14">
        <v>0.94838840675631397</v>
      </c>
    </row>
    <row r="100" spans="2:53" x14ac:dyDescent="0.35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</row>
    <row r="101" spans="2:53" x14ac:dyDescent="0.35">
      <c r="B101" s="6" t="s">
        <v>90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</row>
    <row r="102" spans="2:53" x14ac:dyDescent="0.35">
      <c r="B102" s="24" t="s">
        <v>101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</row>
    <row r="103" spans="2:53" x14ac:dyDescent="0.35">
      <c r="B103" t="s">
        <v>76</v>
      </c>
      <c r="C103" s="14">
        <v>0.802358000797469</v>
      </c>
      <c r="D103" s="14">
        <v>0.79706809919724697</v>
      </c>
      <c r="E103" s="14">
        <v>0.80729781796298405</v>
      </c>
      <c r="F103" s="14"/>
      <c r="G103" s="14">
        <v>0.56074380449106598</v>
      </c>
      <c r="H103" s="14">
        <v>0.68934828800368497</v>
      </c>
      <c r="I103" s="14">
        <v>0.78561439833813596</v>
      </c>
      <c r="J103" s="14">
        <v>0.84560682029411705</v>
      </c>
      <c r="K103" s="14">
        <v>0.800485869466802</v>
      </c>
      <c r="L103" s="14">
        <v>0.795386690402478</v>
      </c>
      <c r="M103" s="14"/>
      <c r="N103" s="14">
        <v>0.81410133924658201</v>
      </c>
      <c r="O103" s="14">
        <v>0.81844212247989201</v>
      </c>
      <c r="P103" s="14">
        <v>0.79431319494944996</v>
      </c>
      <c r="Q103" s="14">
        <v>0.77715111058184605</v>
      </c>
      <c r="R103" s="14"/>
      <c r="S103" s="14">
        <v>0.80416767548071499</v>
      </c>
      <c r="T103" s="14">
        <v>0.813594711639407</v>
      </c>
      <c r="U103" s="14">
        <v>0.85662493114935301</v>
      </c>
      <c r="V103" s="14">
        <v>0.81148423321136898</v>
      </c>
      <c r="W103" s="14">
        <v>0.72909825790570904</v>
      </c>
      <c r="X103" s="14">
        <v>0.83901675554326904</v>
      </c>
      <c r="Y103" s="14">
        <v>0.80481104811864801</v>
      </c>
      <c r="Z103" s="14">
        <v>0.68741275270544899</v>
      </c>
      <c r="AA103" s="14">
        <v>0.80855887666327997</v>
      </c>
      <c r="AB103" s="14"/>
      <c r="AC103" s="14">
        <v>0.78671244813514496</v>
      </c>
      <c r="AD103" s="14">
        <v>0.81523210972323001</v>
      </c>
      <c r="AE103" s="14">
        <v>0.78475203909201896</v>
      </c>
      <c r="AF103" s="14">
        <v>0.81981093508395597</v>
      </c>
      <c r="AG103" s="14">
        <v>0.87132927497019297</v>
      </c>
      <c r="AH103" s="14"/>
      <c r="AI103" s="14">
        <v>0.79410073000997405</v>
      </c>
      <c r="AJ103" s="14">
        <v>0.85533866679096804</v>
      </c>
      <c r="AK103" s="14">
        <v>0.783023833087379</v>
      </c>
      <c r="AL103" s="14">
        <v>0.80681093401206805</v>
      </c>
      <c r="AM103" s="14">
        <v>0.72485875195494998</v>
      </c>
      <c r="AN103" s="14">
        <v>0.81116954207435699</v>
      </c>
      <c r="AO103" s="14"/>
      <c r="AP103" s="14">
        <v>0.81615765368781301</v>
      </c>
      <c r="AQ103" s="14">
        <v>0.78556300886645403</v>
      </c>
      <c r="AR103" s="14"/>
      <c r="AS103" s="14" t="s">
        <v>88</v>
      </c>
      <c r="AT103" s="14" t="s">
        <v>88</v>
      </c>
      <c r="AU103" s="14">
        <v>0.802358000797469</v>
      </c>
      <c r="AV103" s="14"/>
      <c r="AW103" s="14">
        <v>0.813060080354162</v>
      </c>
      <c r="AX103" s="14">
        <v>0.83342090320668205</v>
      </c>
      <c r="AY103" s="14"/>
      <c r="AZ103" s="14">
        <v>0.81965357588156496</v>
      </c>
      <c r="BA103" s="14">
        <v>0.74485099756506901</v>
      </c>
    </row>
    <row r="104" spans="2:53" x14ac:dyDescent="0.35">
      <c r="B104" t="s">
        <v>77</v>
      </c>
      <c r="C104" s="14">
        <v>0.17023070884634101</v>
      </c>
      <c r="D104" s="14">
        <v>0.17557894721408199</v>
      </c>
      <c r="E104" s="14">
        <v>0.16519174773595199</v>
      </c>
      <c r="F104" s="14"/>
      <c r="G104" s="14">
        <v>0.43925619550893402</v>
      </c>
      <c r="H104" s="14">
        <v>0.25114420592162101</v>
      </c>
      <c r="I104" s="14">
        <v>0.183862734658191</v>
      </c>
      <c r="J104" s="14">
        <v>0.136857766370135</v>
      </c>
      <c r="K104" s="14">
        <v>0.167180393334809</v>
      </c>
      <c r="L104" s="14">
        <v>0.204613309597522</v>
      </c>
      <c r="M104" s="14"/>
      <c r="N104" s="14">
        <v>0.16432937151330601</v>
      </c>
      <c r="O104" s="14">
        <v>0.15537046317997899</v>
      </c>
      <c r="P104" s="14">
        <v>0.172209100233428</v>
      </c>
      <c r="Q104" s="14">
        <v>0.192897896841317</v>
      </c>
      <c r="R104" s="14"/>
      <c r="S104" s="14">
        <v>0.16156537798607001</v>
      </c>
      <c r="T104" s="14">
        <v>0.15072483063042399</v>
      </c>
      <c r="U104" s="14">
        <v>0.12963674564800401</v>
      </c>
      <c r="V104" s="14">
        <v>0.13980081031983399</v>
      </c>
      <c r="W104" s="14">
        <v>0.23844694251186499</v>
      </c>
      <c r="X104" s="14">
        <v>0.14137323871374599</v>
      </c>
      <c r="Y104" s="14">
        <v>0.17756454126367299</v>
      </c>
      <c r="Z104" s="14">
        <v>0.29720921861268401</v>
      </c>
      <c r="AA104" s="14">
        <v>0.174964642937466</v>
      </c>
      <c r="AB104" s="14"/>
      <c r="AC104" s="14">
        <v>0.177584722107234</v>
      </c>
      <c r="AD104" s="14">
        <v>0.174288286628522</v>
      </c>
      <c r="AE104" s="14">
        <v>0.17924965439089299</v>
      </c>
      <c r="AF104" s="14">
        <v>0.15928057147979799</v>
      </c>
      <c r="AG104" s="14">
        <v>0.109338317477954</v>
      </c>
      <c r="AH104" s="14"/>
      <c r="AI104" s="14">
        <v>0.17752546323887999</v>
      </c>
      <c r="AJ104" s="14">
        <v>0.12797514030211199</v>
      </c>
      <c r="AK104" s="14">
        <v>0.14581991676714401</v>
      </c>
      <c r="AL104" s="14">
        <v>0.185037959098976</v>
      </c>
      <c r="AM104" s="14">
        <v>0.24676301611552401</v>
      </c>
      <c r="AN104" s="14">
        <v>0.16077754395392499</v>
      </c>
      <c r="AO104" s="14"/>
      <c r="AP104" s="14">
        <v>0.15770568965192799</v>
      </c>
      <c r="AQ104" s="14">
        <v>0.18542777119864701</v>
      </c>
      <c r="AR104" s="14"/>
      <c r="AS104" s="14" t="s">
        <v>88</v>
      </c>
      <c r="AT104" s="14" t="s">
        <v>88</v>
      </c>
      <c r="AU104" s="14">
        <v>0.17023070884634101</v>
      </c>
      <c r="AV104" s="14"/>
      <c r="AW104" s="14">
        <v>0.164687014014752</v>
      </c>
      <c r="AX104" s="14">
        <v>0.12370650350182499</v>
      </c>
      <c r="AY104" s="14"/>
      <c r="AZ104" s="14">
        <v>0.15526303823398499</v>
      </c>
      <c r="BA104" s="14">
        <v>0.22279547202995301</v>
      </c>
    </row>
    <row r="105" spans="2:53" x14ac:dyDescent="0.35">
      <c r="B105" t="s">
        <v>78</v>
      </c>
      <c r="C105" s="14">
        <v>1.8144584569114299E-2</v>
      </c>
      <c r="D105" s="14">
        <v>2.2955617221934298E-2</v>
      </c>
      <c r="E105" s="14">
        <v>1.3407998358360399E-2</v>
      </c>
      <c r="F105" s="14"/>
      <c r="G105" s="14">
        <v>0</v>
      </c>
      <c r="H105" s="14">
        <v>4.9649281448358798E-2</v>
      </c>
      <c r="I105" s="14">
        <v>2.2422719089212301E-2</v>
      </c>
      <c r="J105" s="14">
        <v>5.7900966699213803E-3</v>
      </c>
      <c r="K105" s="14">
        <v>2.57281366591149E-2</v>
      </c>
      <c r="L105" s="14">
        <v>0</v>
      </c>
      <c r="M105" s="14"/>
      <c r="N105" s="14">
        <v>1.6966877994832701E-2</v>
      </c>
      <c r="O105" s="14">
        <v>1.7043493729756502E-2</v>
      </c>
      <c r="P105" s="14">
        <v>2.9398403959374899E-2</v>
      </c>
      <c r="Q105" s="14">
        <v>1.00801548324497E-2</v>
      </c>
      <c r="R105" s="14"/>
      <c r="S105" s="14">
        <v>2.7582216603978599E-2</v>
      </c>
      <c r="T105" s="14">
        <v>1.7471988252547001E-2</v>
      </c>
      <c r="U105" s="14">
        <v>1.1826474483305999E-2</v>
      </c>
      <c r="V105" s="14">
        <v>3.6289867993202399E-2</v>
      </c>
      <c r="W105" s="14">
        <v>2.1157974664371401E-2</v>
      </c>
      <c r="X105" s="14">
        <v>6.3502136775007304E-3</v>
      </c>
      <c r="Y105" s="14">
        <v>1.7624410617679099E-2</v>
      </c>
      <c r="Z105" s="14">
        <v>0</v>
      </c>
      <c r="AA105" s="14">
        <v>1.1695186719694399E-2</v>
      </c>
      <c r="AB105" s="14"/>
      <c r="AC105" s="14">
        <v>3.34391920247065E-2</v>
      </c>
      <c r="AD105" s="14">
        <v>5.5105855404445599E-3</v>
      </c>
      <c r="AE105" s="14">
        <v>2.1620470069907301E-2</v>
      </c>
      <c r="AF105" s="14">
        <v>2.0908493436246602E-2</v>
      </c>
      <c r="AG105" s="14">
        <v>1.9332407551852698E-2</v>
      </c>
      <c r="AH105" s="14"/>
      <c r="AI105" s="14">
        <v>2.0028284381068601E-2</v>
      </c>
      <c r="AJ105" s="14">
        <v>3.7091982169859001E-3</v>
      </c>
      <c r="AK105" s="14">
        <v>6.4445091862130696E-2</v>
      </c>
      <c r="AL105" s="14">
        <v>0</v>
      </c>
      <c r="AM105" s="14">
        <v>2.8378231929526699E-2</v>
      </c>
      <c r="AN105" s="14">
        <v>1.05719752542333E-2</v>
      </c>
      <c r="AO105" s="14"/>
      <c r="AP105" s="14">
        <v>2.13446932308765E-2</v>
      </c>
      <c r="AQ105" s="14">
        <v>1.45756671143236E-2</v>
      </c>
      <c r="AR105" s="14"/>
      <c r="AS105" s="14" t="s">
        <v>88</v>
      </c>
      <c r="AT105" s="14" t="s">
        <v>88</v>
      </c>
      <c r="AU105" s="14">
        <v>1.8144584569114299E-2</v>
      </c>
      <c r="AV105" s="14"/>
      <c r="AW105" s="14">
        <v>1.68447799608324E-2</v>
      </c>
      <c r="AX105" s="14">
        <v>2.5657770423132002E-2</v>
      </c>
      <c r="AY105" s="14"/>
      <c r="AZ105" s="14">
        <v>1.7962337431716699E-2</v>
      </c>
      <c r="BA105" s="14">
        <v>1.9007289410417402E-2</v>
      </c>
    </row>
    <row r="106" spans="2:53" x14ac:dyDescent="0.35">
      <c r="B106" t="s">
        <v>79</v>
      </c>
      <c r="C106" s="14">
        <v>6.3082115321691397E-3</v>
      </c>
      <c r="D106" s="14">
        <v>4.3973363667362203E-3</v>
      </c>
      <c r="E106" s="14">
        <v>8.2099186932149595E-3</v>
      </c>
      <c r="F106" s="14"/>
      <c r="G106" s="14">
        <v>0</v>
      </c>
      <c r="H106" s="14">
        <v>9.8582246263348005E-3</v>
      </c>
      <c r="I106" s="14">
        <v>4.8001072848184002E-4</v>
      </c>
      <c r="J106" s="14">
        <v>1.17453166658259E-2</v>
      </c>
      <c r="K106" s="14">
        <v>6.60560053927355E-3</v>
      </c>
      <c r="L106" s="14">
        <v>0</v>
      </c>
      <c r="M106" s="14"/>
      <c r="N106" s="14">
        <v>4.6024112452800097E-3</v>
      </c>
      <c r="O106" s="14">
        <v>9.1439206103725492E-3</v>
      </c>
      <c r="P106" s="14">
        <v>4.0793008577466004E-3</v>
      </c>
      <c r="Q106" s="14">
        <v>7.61992952093506E-3</v>
      </c>
      <c r="R106" s="14"/>
      <c r="S106" s="14">
        <v>0</v>
      </c>
      <c r="T106" s="14">
        <v>1.8208469477622301E-2</v>
      </c>
      <c r="U106" s="14">
        <v>1.91184871933707E-3</v>
      </c>
      <c r="V106" s="14">
        <v>2.41240396092766E-3</v>
      </c>
      <c r="W106" s="14">
        <v>1.1296824918053901E-2</v>
      </c>
      <c r="X106" s="14">
        <v>5.1922625452746601E-3</v>
      </c>
      <c r="Y106" s="14">
        <v>0</v>
      </c>
      <c r="Z106" s="14">
        <v>1.5378028681867001E-2</v>
      </c>
      <c r="AA106" s="14">
        <v>4.7812936795605396E-3</v>
      </c>
      <c r="AB106" s="14"/>
      <c r="AC106" s="14">
        <v>2.2636377329150899E-3</v>
      </c>
      <c r="AD106" s="14">
        <v>4.9690181078041297E-3</v>
      </c>
      <c r="AE106" s="14">
        <v>1.43778364471804E-2</v>
      </c>
      <c r="AF106" s="14">
        <v>0</v>
      </c>
      <c r="AG106" s="14">
        <v>0</v>
      </c>
      <c r="AH106" s="14"/>
      <c r="AI106" s="14">
        <v>5.3716612023186703E-3</v>
      </c>
      <c r="AJ106" s="14">
        <v>1.29769946899349E-2</v>
      </c>
      <c r="AK106" s="14">
        <v>6.7111582833459301E-3</v>
      </c>
      <c r="AL106" s="14">
        <v>8.1511068889552306E-3</v>
      </c>
      <c r="AM106" s="14">
        <v>0</v>
      </c>
      <c r="AN106" s="14">
        <v>2.4995693936500801E-3</v>
      </c>
      <c r="AO106" s="14"/>
      <c r="AP106" s="14">
        <v>4.7919634293830003E-3</v>
      </c>
      <c r="AQ106" s="14">
        <v>8.0751106156706602E-3</v>
      </c>
      <c r="AR106" s="14"/>
      <c r="AS106" s="14" t="s">
        <v>88</v>
      </c>
      <c r="AT106" s="14" t="s">
        <v>88</v>
      </c>
      <c r="AU106" s="14">
        <v>6.3082115321691397E-3</v>
      </c>
      <c r="AV106" s="14"/>
      <c r="AW106" s="14">
        <v>4.0274668482701698E-3</v>
      </c>
      <c r="AX106" s="14">
        <v>1.72148228683612E-2</v>
      </c>
      <c r="AY106" s="14"/>
      <c r="AZ106" s="14">
        <v>5.8189784027222703E-3</v>
      </c>
      <c r="BA106" s="14">
        <v>8.15633505279326E-3</v>
      </c>
    </row>
    <row r="107" spans="2:53" x14ac:dyDescent="0.35">
      <c r="B107" t="s">
        <v>80</v>
      </c>
      <c r="C107" s="14">
        <v>2.95849425490661E-3</v>
      </c>
      <c r="D107" s="14">
        <v>0</v>
      </c>
      <c r="E107" s="14">
        <v>5.8925172494896198E-3</v>
      </c>
      <c r="F107" s="14"/>
      <c r="G107" s="14">
        <v>0</v>
      </c>
      <c r="H107" s="14">
        <v>0</v>
      </c>
      <c r="I107" s="14">
        <v>7.62013718597863E-3</v>
      </c>
      <c r="J107" s="14">
        <v>0</v>
      </c>
      <c r="K107" s="14">
        <v>0</v>
      </c>
      <c r="L107" s="14">
        <v>0</v>
      </c>
      <c r="M107" s="14"/>
      <c r="N107" s="14">
        <v>0</v>
      </c>
      <c r="O107" s="14">
        <v>0</v>
      </c>
      <c r="P107" s="14">
        <v>0</v>
      </c>
      <c r="Q107" s="14">
        <v>1.2250908223452799E-2</v>
      </c>
      <c r="R107" s="14"/>
      <c r="S107" s="14">
        <v>6.6847299292369699E-3</v>
      </c>
      <c r="T107" s="14">
        <v>0</v>
      </c>
      <c r="U107" s="14">
        <v>0</v>
      </c>
      <c r="V107" s="14">
        <v>1.0012684514666701E-2</v>
      </c>
      <c r="W107" s="14">
        <v>0</v>
      </c>
      <c r="X107" s="14">
        <v>8.0675295202096292E-3</v>
      </c>
      <c r="Y107" s="14">
        <v>0</v>
      </c>
      <c r="Z107" s="14">
        <v>0</v>
      </c>
      <c r="AA107" s="14">
        <v>0</v>
      </c>
      <c r="AB107" s="14"/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/>
      <c r="AI107" s="14">
        <v>2.9738611677587699E-3</v>
      </c>
      <c r="AJ107" s="14">
        <v>0</v>
      </c>
      <c r="AK107" s="14">
        <v>0</v>
      </c>
      <c r="AL107" s="14">
        <v>0</v>
      </c>
      <c r="AM107" s="14">
        <v>0</v>
      </c>
      <c r="AN107" s="14">
        <v>1.49813693238342E-2</v>
      </c>
      <c r="AO107" s="14"/>
      <c r="AP107" s="14">
        <v>0</v>
      </c>
      <c r="AQ107" s="14">
        <v>6.3584422049049599E-3</v>
      </c>
      <c r="AR107" s="14"/>
      <c r="AS107" s="14" t="s">
        <v>88</v>
      </c>
      <c r="AT107" s="14" t="s">
        <v>88</v>
      </c>
      <c r="AU107" s="14">
        <v>2.95849425490661E-3</v>
      </c>
      <c r="AV107" s="14"/>
      <c r="AW107" s="14">
        <v>1.3806588219833201E-3</v>
      </c>
      <c r="AX107" s="14">
        <v>0</v>
      </c>
      <c r="AY107" s="14"/>
      <c r="AZ107" s="14">
        <v>1.3020700500108999E-3</v>
      </c>
      <c r="BA107" s="14">
        <v>5.1899059417677496E-3</v>
      </c>
    </row>
    <row r="108" spans="2:53" x14ac:dyDescent="0.35">
      <c r="B108" t="s">
        <v>81</v>
      </c>
      <c r="C108" s="14">
        <v>0.97258870964380995</v>
      </c>
      <c r="D108" s="14">
        <v>0.97264704641132904</v>
      </c>
      <c r="E108" s="14">
        <v>0.97248956569893497</v>
      </c>
      <c r="F108" s="14"/>
      <c r="G108" s="14">
        <v>1</v>
      </c>
      <c r="H108" s="14">
        <v>0.94049249392530698</v>
      </c>
      <c r="I108" s="14">
        <v>0.96947713299632698</v>
      </c>
      <c r="J108" s="14">
        <v>0.98246458666425296</v>
      </c>
      <c r="K108" s="14">
        <v>0.96766626280161105</v>
      </c>
      <c r="L108" s="14">
        <v>1</v>
      </c>
      <c r="M108" s="14"/>
      <c r="N108" s="14">
        <v>0.97843071075988697</v>
      </c>
      <c r="O108" s="14">
        <v>0.97381258565987106</v>
      </c>
      <c r="P108" s="14">
        <v>0.96652229518287802</v>
      </c>
      <c r="Q108" s="14">
        <v>0.97004900742316202</v>
      </c>
      <c r="R108" s="14"/>
      <c r="S108" s="14">
        <v>0.96573305346678395</v>
      </c>
      <c r="T108" s="14">
        <v>0.96431954226983096</v>
      </c>
      <c r="U108" s="14">
        <v>0.98626167679735699</v>
      </c>
      <c r="V108" s="14">
        <v>0.95128504353120302</v>
      </c>
      <c r="W108" s="14">
        <v>0.96754520041757497</v>
      </c>
      <c r="X108" s="14">
        <v>0.98038999425701501</v>
      </c>
      <c r="Y108" s="14">
        <v>0.98237558938232095</v>
      </c>
      <c r="Z108" s="14">
        <v>0.984621971318133</v>
      </c>
      <c r="AA108" s="14">
        <v>0.98352351960074502</v>
      </c>
      <c r="AB108" s="14"/>
      <c r="AC108" s="14">
        <v>0.96429717024237804</v>
      </c>
      <c r="AD108" s="14">
        <v>0.98952039635175104</v>
      </c>
      <c r="AE108" s="14">
        <v>0.96400169348291198</v>
      </c>
      <c r="AF108" s="14">
        <v>0.97909150656375299</v>
      </c>
      <c r="AG108" s="14">
        <v>0.98066759244814705</v>
      </c>
      <c r="AH108" s="14"/>
      <c r="AI108" s="14">
        <v>0.97162619324885402</v>
      </c>
      <c r="AJ108" s="14">
        <v>0.98331380709307903</v>
      </c>
      <c r="AK108" s="14">
        <v>0.928843749854523</v>
      </c>
      <c r="AL108" s="14">
        <v>0.99184889311104496</v>
      </c>
      <c r="AM108" s="14">
        <v>0.97162176807047296</v>
      </c>
      <c r="AN108" s="14">
        <v>0.97194708602828195</v>
      </c>
      <c r="AO108" s="14"/>
      <c r="AP108" s="14">
        <v>0.97386334333974001</v>
      </c>
      <c r="AQ108" s="14">
        <v>0.97099078006510098</v>
      </c>
      <c r="AR108" s="14"/>
      <c r="AS108" s="14" t="s">
        <v>88</v>
      </c>
      <c r="AT108" s="14" t="s">
        <v>88</v>
      </c>
      <c r="AU108" s="14">
        <v>0.97258870964380995</v>
      </c>
      <c r="AV108" s="14"/>
      <c r="AW108" s="14">
        <v>0.97774709436891405</v>
      </c>
      <c r="AX108" s="14">
        <v>0.95712740670850704</v>
      </c>
      <c r="AY108" s="14"/>
      <c r="AZ108" s="14">
        <v>0.97491661411554997</v>
      </c>
      <c r="BA108" s="14">
        <v>0.96764646959502199</v>
      </c>
    </row>
    <row r="109" spans="2:53" x14ac:dyDescent="0.35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</row>
    <row r="110" spans="2:53" x14ac:dyDescent="0.35">
      <c r="B110" s="6" t="s">
        <v>91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</row>
    <row r="111" spans="2:53" x14ac:dyDescent="0.35">
      <c r="B111" s="24" t="s">
        <v>101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</row>
    <row r="112" spans="2:53" x14ac:dyDescent="0.35">
      <c r="B112" t="s">
        <v>76</v>
      </c>
      <c r="C112" s="14">
        <v>0.60891261173126598</v>
      </c>
      <c r="D112" s="14">
        <v>0.67406440211181995</v>
      </c>
      <c r="E112" s="14">
        <v>0.54531723680001698</v>
      </c>
      <c r="F112" s="14"/>
      <c r="G112" s="14">
        <v>0.56074380449106598</v>
      </c>
      <c r="H112" s="14">
        <v>0.46001339749551101</v>
      </c>
      <c r="I112" s="14">
        <v>0.64094749075164603</v>
      </c>
      <c r="J112" s="14">
        <v>0.59221141651721398</v>
      </c>
      <c r="K112" s="14">
        <v>0.62181346371942903</v>
      </c>
      <c r="L112" s="14">
        <v>0.82506150946511303</v>
      </c>
      <c r="M112" s="14"/>
      <c r="N112" s="14">
        <v>0.63973405281807605</v>
      </c>
      <c r="O112" s="14">
        <v>0.62801093512576001</v>
      </c>
      <c r="P112" s="14">
        <v>0.55089431543811396</v>
      </c>
      <c r="Q112" s="14">
        <v>0.60377476689537202</v>
      </c>
      <c r="R112" s="14"/>
      <c r="S112" s="14">
        <v>0.70977790654930495</v>
      </c>
      <c r="T112" s="14">
        <v>0.65788408915235796</v>
      </c>
      <c r="U112" s="14">
        <v>0.62923371035754305</v>
      </c>
      <c r="V112" s="14">
        <v>0.50840377193445896</v>
      </c>
      <c r="W112" s="14">
        <v>0.61577864895282997</v>
      </c>
      <c r="X112" s="14">
        <v>0.60309383442342601</v>
      </c>
      <c r="Y112" s="14">
        <v>0.53919574734929798</v>
      </c>
      <c r="Z112" s="14">
        <v>0.52972102757721196</v>
      </c>
      <c r="AA112" s="14">
        <v>0.59036927206666401</v>
      </c>
      <c r="AB112" s="14"/>
      <c r="AC112" s="14">
        <v>0.55407699478633399</v>
      </c>
      <c r="AD112" s="14">
        <v>0.59164849284507104</v>
      </c>
      <c r="AE112" s="14">
        <v>0.64118357302714701</v>
      </c>
      <c r="AF112" s="14">
        <v>0.67476086668122304</v>
      </c>
      <c r="AG112" s="14">
        <v>0.75570465813972498</v>
      </c>
      <c r="AH112" s="14"/>
      <c r="AI112" s="14">
        <v>0.63770336836032304</v>
      </c>
      <c r="AJ112" s="14">
        <v>0.63566875114322596</v>
      </c>
      <c r="AK112" s="14">
        <v>0.59566852341314502</v>
      </c>
      <c r="AL112" s="14">
        <v>0.64435573288626102</v>
      </c>
      <c r="AM112" s="14">
        <v>0.51216073195844702</v>
      </c>
      <c r="AN112" s="14">
        <v>0.49957829196176801</v>
      </c>
      <c r="AO112" s="14"/>
      <c r="AP112" s="14">
        <v>0.63150717418403801</v>
      </c>
      <c r="AQ112" s="14">
        <v>0.58321925167604305</v>
      </c>
      <c r="AR112" s="14"/>
      <c r="AS112" s="14" t="s">
        <v>88</v>
      </c>
      <c r="AT112" s="14" t="s">
        <v>88</v>
      </c>
      <c r="AU112" s="14">
        <v>0.60891261173126598</v>
      </c>
      <c r="AV112" s="14"/>
      <c r="AW112" s="14">
        <v>0.61453023933385298</v>
      </c>
      <c r="AX112" s="14">
        <v>0.688053142762031</v>
      </c>
      <c r="AY112" s="14"/>
      <c r="AZ112" s="14">
        <v>0.63481198642628001</v>
      </c>
      <c r="BA112" s="14">
        <v>0.51775124887604196</v>
      </c>
    </row>
    <row r="113" spans="2:53" x14ac:dyDescent="0.35">
      <c r="B113" t="s">
        <v>77</v>
      </c>
      <c r="C113" s="14">
        <v>0.32750348474317698</v>
      </c>
      <c r="D113" s="14">
        <v>0.28351422966559398</v>
      </c>
      <c r="E113" s="14">
        <v>0.371556850746394</v>
      </c>
      <c r="F113" s="14"/>
      <c r="G113" s="14">
        <v>0.43925619550893402</v>
      </c>
      <c r="H113" s="14">
        <v>0.43923242776265198</v>
      </c>
      <c r="I113" s="14">
        <v>0.29932922344631602</v>
      </c>
      <c r="J113" s="14">
        <v>0.344551221199837</v>
      </c>
      <c r="K113" s="14">
        <v>0.31384865956890901</v>
      </c>
      <c r="L113" s="14">
        <v>0.174938490534887</v>
      </c>
      <c r="M113" s="14"/>
      <c r="N113" s="14">
        <v>0.29986394533001598</v>
      </c>
      <c r="O113" s="14">
        <v>0.31428496980131898</v>
      </c>
      <c r="P113" s="14">
        <v>0.40051188569475898</v>
      </c>
      <c r="Q113" s="14">
        <v>0.30759558977658003</v>
      </c>
      <c r="R113" s="14"/>
      <c r="S113" s="14">
        <v>0.245311967800003</v>
      </c>
      <c r="T113" s="14">
        <v>0.27822804566745202</v>
      </c>
      <c r="U113" s="14">
        <v>0.32952459049687599</v>
      </c>
      <c r="V113" s="14">
        <v>0.41714633706756599</v>
      </c>
      <c r="W113" s="14">
        <v>0.32248385479716402</v>
      </c>
      <c r="X113" s="14">
        <v>0.364881285970174</v>
      </c>
      <c r="Y113" s="14">
        <v>0.350113776820422</v>
      </c>
      <c r="Z113" s="14">
        <v>0.39711659936318999</v>
      </c>
      <c r="AA113" s="14">
        <v>0.33233052595243101</v>
      </c>
      <c r="AB113" s="14"/>
      <c r="AC113" s="14">
        <v>0.37553842548995098</v>
      </c>
      <c r="AD113" s="14">
        <v>0.34512761129254699</v>
      </c>
      <c r="AE113" s="14">
        <v>0.31439650874643399</v>
      </c>
      <c r="AF113" s="14">
        <v>0.25699416268096997</v>
      </c>
      <c r="AG113" s="14">
        <v>0.20769042143872199</v>
      </c>
      <c r="AH113" s="14"/>
      <c r="AI113" s="14">
        <v>0.30608274922904399</v>
      </c>
      <c r="AJ113" s="14">
        <v>0.28064547394906703</v>
      </c>
      <c r="AK113" s="14">
        <v>0.36325903189784098</v>
      </c>
      <c r="AL113" s="14">
        <v>0.29733399756227302</v>
      </c>
      <c r="AM113" s="14">
        <v>0.39772334373686802</v>
      </c>
      <c r="AN113" s="14">
        <v>0.4225592304463</v>
      </c>
      <c r="AO113" s="14"/>
      <c r="AP113" s="14">
        <v>0.32602381022664301</v>
      </c>
      <c r="AQ113" s="14">
        <v>0.330864221655361</v>
      </c>
      <c r="AR113" s="14"/>
      <c r="AS113" s="14" t="s">
        <v>88</v>
      </c>
      <c r="AT113" s="14" t="s">
        <v>88</v>
      </c>
      <c r="AU113" s="14">
        <v>0.32750348474317698</v>
      </c>
      <c r="AV113" s="14"/>
      <c r="AW113" s="14">
        <v>0.33162507362217902</v>
      </c>
      <c r="AX113" s="14">
        <v>0.243629859241321</v>
      </c>
      <c r="AY113" s="14"/>
      <c r="AZ113" s="14">
        <v>0.309002611320845</v>
      </c>
      <c r="BA113" s="14">
        <v>0.39489018596967701</v>
      </c>
    </row>
    <row r="114" spans="2:53" x14ac:dyDescent="0.35">
      <c r="B114" t="s">
        <v>78</v>
      </c>
      <c r="C114" s="14">
        <v>4.6411719638993897E-2</v>
      </c>
      <c r="D114" s="14">
        <v>3.5336329506711103E-2</v>
      </c>
      <c r="E114" s="14">
        <v>5.59393244968606E-2</v>
      </c>
      <c r="F114" s="14"/>
      <c r="G114" s="14">
        <v>0</v>
      </c>
      <c r="H114" s="14">
        <v>0.100754174741837</v>
      </c>
      <c r="I114" s="14">
        <v>4.0765288686427502E-2</v>
      </c>
      <c r="J114" s="14">
        <v>4.2396242952177102E-2</v>
      </c>
      <c r="K114" s="14">
        <v>4.9632005892915602E-2</v>
      </c>
      <c r="L114" s="14">
        <v>0</v>
      </c>
      <c r="M114" s="14"/>
      <c r="N114" s="14">
        <v>5.1127575589270197E-2</v>
      </c>
      <c r="O114" s="14">
        <v>3.8701812790576599E-2</v>
      </c>
      <c r="P114" s="14">
        <v>3.5264994939061101E-2</v>
      </c>
      <c r="Q114" s="14">
        <v>6.0302739506368101E-2</v>
      </c>
      <c r="R114" s="14"/>
      <c r="S114" s="14">
        <v>2.4721549937770398E-2</v>
      </c>
      <c r="T114" s="14">
        <v>4.3955679251330503E-2</v>
      </c>
      <c r="U114" s="14">
        <v>4.1241699145580797E-2</v>
      </c>
      <c r="V114" s="14">
        <v>5.3060755129584899E-2</v>
      </c>
      <c r="W114" s="14">
        <v>4.19937830751511E-2</v>
      </c>
      <c r="X114" s="14">
        <v>1.35728249956415E-2</v>
      </c>
      <c r="Y114" s="14">
        <v>0.102668640193049</v>
      </c>
      <c r="Z114" s="14">
        <v>3.1910338132762901E-2</v>
      </c>
      <c r="AA114" s="14">
        <v>6.2956320658858506E-2</v>
      </c>
      <c r="AB114" s="14"/>
      <c r="AC114" s="14">
        <v>6.0659247410168302E-2</v>
      </c>
      <c r="AD114" s="14">
        <v>5.43487969076481E-2</v>
      </c>
      <c r="AE114" s="14">
        <v>2.4490694375604201E-2</v>
      </c>
      <c r="AF114" s="14">
        <v>5.8359027043756097E-2</v>
      </c>
      <c r="AG114" s="14">
        <v>3.6604920421553597E-2</v>
      </c>
      <c r="AH114" s="14"/>
      <c r="AI114" s="14">
        <v>4.5289880722743397E-2</v>
      </c>
      <c r="AJ114" s="14">
        <v>6.54041157695298E-2</v>
      </c>
      <c r="AK114" s="14">
        <v>1.77716375539872E-2</v>
      </c>
      <c r="AL114" s="14">
        <v>3.5411660650573697E-2</v>
      </c>
      <c r="AM114" s="14">
        <v>7.1111112437099597E-2</v>
      </c>
      <c r="AN114" s="14">
        <v>5.7297658828803603E-2</v>
      </c>
      <c r="AO114" s="14"/>
      <c r="AP114" s="14">
        <v>3.5282340758631001E-2</v>
      </c>
      <c r="AQ114" s="14">
        <v>5.9381451053678397E-2</v>
      </c>
      <c r="AR114" s="14"/>
      <c r="AS114" s="14" t="s">
        <v>88</v>
      </c>
      <c r="AT114" s="14" t="s">
        <v>88</v>
      </c>
      <c r="AU114" s="14">
        <v>4.6411719638993897E-2</v>
      </c>
      <c r="AV114" s="14"/>
      <c r="AW114" s="14">
        <v>4.3653195241496898E-2</v>
      </c>
      <c r="AX114" s="14">
        <v>4.4305692409961898E-2</v>
      </c>
      <c r="AY114" s="14"/>
      <c r="AZ114" s="14">
        <v>4.5584520571095397E-2</v>
      </c>
      <c r="BA114" s="14">
        <v>4.99308936314539E-2</v>
      </c>
    </row>
    <row r="115" spans="2:53" x14ac:dyDescent="0.35">
      <c r="B115" t="s">
        <v>79</v>
      </c>
      <c r="C115" s="14">
        <v>8.8744384103124005E-3</v>
      </c>
      <c r="D115" s="14">
        <v>4.40415417709762E-3</v>
      </c>
      <c r="E115" s="14">
        <v>1.3314394713663E-2</v>
      </c>
      <c r="F115" s="14"/>
      <c r="G115" s="14">
        <v>0</v>
      </c>
      <c r="H115" s="14">
        <v>0</v>
      </c>
      <c r="I115" s="14">
        <v>6.1322515026663504E-3</v>
      </c>
      <c r="J115" s="14">
        <v>1.21861386722685E-2</v>
      </c>
      <c r="K115" s="14">
        <v>1.4705870818746501E-2</v>
      </c>
      <c r="L115" s="14">
        <v>0</v>
      </c>
      <c r="M115" s="14"/>
      <c r="N115" s="14">
        <v>5.9987580280970497E-3</v>
      </c>
      <c r="O115" s="14">
        <v>1.4329721382606599E-2</v>
      </c>
      <c r="P115" s="14">
        <v>7.5886762482806902E-3</v>
      </c>
      <c r="Q115" s="14">
        <v>7.9946764556079897E-3</v>
      </c>
      <c r="R115" s="14"/>
      <c r="S115" s="14">
        <v>4.3022926160811298E-3</v>
      </c>
      <c r="T115" s="14">
        <v>1.3184120373462701E-2</v>
      </c>
      <c r="U115" s="14">
        <v>0</v>
      </c>
      <c r="V115" s="14">
        <v>1.13764513537233E-2</v>
      </c>
      <c r="W115" s="14">
        <v>1.9743713174855099E-2</v>
      </c>
      <c r="X115" s="14">
        <v>5.1922625452746601E-3</v>
      </c>
      <c r="Y115" s="14">
        <v>4.0109179166637103E-3</v>
      </c>
      <c r="Z115" s="14">
        <v>1.5651534304922901E-2</v>
      </c>
      <c r="AA115" s="14">
        <v>9.5625873591210792E-3</v>
      </c>
      <c r="AB115" s="14"/>
      <c r="AC115" s="14">
        <v>9.7253323135473302E-3</v>
      </c>
      <c r="AD115" s="14">
        <v>8.8750989547334101E-3</v>
      </c>
      <c r="AE115" s="14">
        <v>1.4361019513780399E-2</v>
      </c>
      <c r="AF115" s="14">
        <v>5.9743674213876899E-3</v>
      </c>
      <c r="AG115" s="14">
        <v>0</v>
      </c>
      <c r="AH115" s="14"/>
      <c r="AI115" s="14">
        <v>2.2532231952783299E-3</v>
      </c>
      <c r="AJ115" s="14">
        <v>1.59482656004107E-2</v>
      </c>
      <c r="AK115" s="14">
        <v>1.7557354227307701E-2</v>
      </c>
      <c r="AL115" s="14">
        <v>8.1307127147342492E-3</v>
      </c>
      <c r="AM115" s="14">
        <v>1.9004811867584501E-2</v>
      </c>
      <c r="AN115" s="14">
        <v>5.5834494392945798E-3</v>
      </c>
      <c r="AO115" s="14"/>
      <c r="AP115" s="14">
        <v>7.1866748306876303E-3</v>
      </c>
      <c r="AQ115" s="14">
        <v>8.7014310322890108E-3</v>
      </c>
      <c r="AR115" s="14"/>
      <c r="AS115" s="14" t="s">
        <v>88</v>
      </c>
      <c r="AT115" s="14" t="s">
        <v>88</v>
      </c>
      <c r="AU115" s="14">
        <v>8.8744384103124005E-3</v>
      </c>
      <c r="AV115" s="14"/>
      <c r="AW115" s="14">
        <v>6.59018766001039E-3</v>
      </c>
      <c r="AX115" s="14">
        <v>1.55971914321644E-2</v>
      </c>
      <c r="AY115" s="14"/>
      <c r="AZ115" s="14">
        <v>4.31715905096692E-3</v>
      </c>
      <c r="BA115" s="14">
        <v>2.55396171064038E-2</v>
      </c>
    </row>
    <row r="116" spans="2:53" x14ac:dyDescent="0.35">
      <c r="B116" t="s">
        <v>80</v>
      </c>
      <c r="C116" s="14">
        <v>8.2977454762506505E-3</v>
      </c>
      <c r="D116" s="14">
        <v>2.68088453877774E-3</v>
      </c>
      <c r="E116" s="14">
        <v>1.38721932430656E-2</v>
      </c>
      <c r="F116" s="14"/>
      <c r="G116" s="14">
        <v>0</v>
      </c>
      <c r="H116" s="14">
        <v>0</v>
      </c>
      <c r="I116" s="14">
        <v>1.2825745612944099E-2</v>
      </c>
      <c r="J116" s="14">
        <v>8.6549806585034701E-3</v>
      </c>
      <c r="K116" s="14">
        <v>0</v>
      </c>
      <c r="L116" s="14">
        <v>0</v>
      </c>
      <c r="M116" s="14"/>
      <c r="N116" s="14">
        <v>3.2756682345405899E-3</v>
      </c>
      <c r="O116" s="14">
        <v>4.6725608997380602E-3</v>
      </c>
      <c r="P116" s="14">
        <v>5.7401276797851902E-3</v>
      </c>
      <c r="Q116" s="14">
        <v>2.0332227366072101E-2</v>
      </c>
      <c r="R116" s="14"/>
      <c r="S116" s="14">
        <v>1.58862830968402E-2</v>
      </c>
      <c r="T116" s="14">
        <v>6.7480655553974703E-3</v>
      </c>
      <c r="U116" s="14">
        <v>0</v>
      </c>
      <c r="V116" s="14">
        <v>1.0012684514666701E-2</v>
      </c>
      <c r="W116" s="14">
        <v>0</v>
      </c>
      <c r="X116" s="14">
        <v>1.32597920654843E-2</v>
      </c>
      <c r="Y116" s="14">
        <v>4.0109177205673698E-3</v>
      </c>
      <c r="Z116" s="14">
        <v>2.5600500621911802E-2</v>
      </c>
      <c r="AA116" s="14">
        <v>4.7812939629247797E-3</v>
      </c>
      <c r="AB116" s="14"/>
      <c r="AC116" s="14">
        <v>0</v>
      </c>
      <c r="AD116" s="14">
        <v>0</v>
      </c>
      <c r="AE116" s="14">
        <v>5.5682043370344804E-3</v>
      </c>
      <c r="AF116" s="14">
        <v>3.9115761726628701E-3</v>
      </c>
      <c r="AG116" s="14">
        <v>0</v>
      </c>
      <c r="AH116" s="14"/>
      <c r="AI116" s="14">
        <v>8.6707784926103402E-3</v>
      </c>
      <c r="AJ116" s="14">
        <v>2.33339353776674E-3</v>
      </c>
      <c r="AK116" s="14">
        <v>5.7434529077191399E-3</v>
      </c>
      <c r="AL116" s="14">
        <v>1.47678961861583E-2</v>
      </c>
      <c r="AM116" s="14">
        <v>0</v>
      </c>
      <c r="AN116" s="14">
        <v>1.49813693238342E-2</v>
      </c>
      <c r="AO116" s="14"/>
      <c r="AP116" s="14">
        <v>0</v>
      </c>
      <c r="AQ116" s="14">
        <v>1.7833644582628001E-2</v>
      </c>
      <c r="AR116" s="14"/>
      <c r="AS116" s="14" t="s">
        <v>88</v>
      </c>
      <c r="AT116" s="14" t="s">
        <v>88</v>
      </c>
      <c r="AU116" s="14">
        <v>8.2977454762506505E-3</v>
      </c>
      <c r="AV116" s="14"/>
      <c r="AW116" s="14">
        <v>3.6013041424611098E-3</v>
      </c>
      <c r="AX116" s="14">
        <v>8.4141141545210699E-3</v>
      </c>
      <c r="AY116" s="14"/>
      <c r="AZ116" s="14">
        <v>6.2837226308134998E-3</v>
      </c>
      <c r="BA116" s="14">
        <v>1.1888054416422799E-2</v>
      </c>
    </row>
    <row r="117" spans="2:53" x14ac:dyDescent="0.35">
      <c r="B117" t="s">
        <v>81</v>
      </c>
      <c r="C117" s="14">
        <v>0.93641609647444302</v>
      </c>
      <c r="D117" s="14">
        <v>0.95757863177741398</v>
      </c>
      <c r="E117" s="14">
        <v>0.91687408754641098</v>
      </c>
      <c r="F117" s="14"/>
      <c r="G117" s="14">
        <v>1</v>
      </c>
      <c r="H117" s="14">
        <v>0.89924582525816299</v>
      </c>
      <c r="I117" s="14">
        <v>0.94027671419796199</v>
      </c>
      <c r="J117" s="14">
        <v>0.93676263771705104</v>
      </c>
      <c r="K117" s="14">
        <v>0.93566212328833798</v>
      </c>
      <c r="L117" s="14">
        <v>1</v>
      </c>
      <c r="M117" s="14"/>
      <c r="N117" s="14">
        <v>0.93959799814809197</v>
      </c>
      <c r="O117" s="14">
        <v>0.94229590492707904</v>
      </c>
      <c r="P117" s="14">
        <v>0.951406201132873</v>
      </c>
      <c r="Q117" s="14">
        <v>0.91137035667195199</v>
      </c>
      <c r="R117" s="14"/>
      <c r="S117" s="14">
        <v>0.95508987434930803</v>
      </c>
      <c r="T117" s="14">
        <v>0.93611213481980904</v>
      </c>
      <c r="U117" s="14">
        <v>0.95875830085441904</v>
      </c>
      <c r="V117" s="14">
        <v>0.92555010900202495</v>
      </c>
      <c r="W117" s="14">
        <v>0.93826250374999398</v>
      </c>
      <c r="X117" s="14">
        <v>0.96797512039360001</v>
      </c>
      <c r="Y117" s="14">
        <v>0.88930952416971998</v>
      </c>
      <c r="Z117" s="14">
        <v>0.92683762694040195</v>
      </c>
      <c r="AA117" s="14">
        <v>0.92269979801909596</v>
      </c>
      <c r="AB117" s="14"/>
      <c r="AC117" s="14">
        <v>0.92961542027628397</v>
      </c>
      <c r="AD117" s="14">
        <v>0.93677610413761803</v>
      </c>
      <c r="AE117" s="14">
        <v>0.955580081773581</v>
      </c>
      <c r="AF117" s="14">
        <v>0.93175502936219301</v>
      </c>
      <c r="AG117" s="14">
        <v>0.96339507957844694</v>
      </c>
      <c r="AH117" s="14"/>
      <c r="AI117" s="14">
        <v>0.94378611758936803</v>
      </c>
      <c r="AJ117" s="14">
        <v>0.91631422509229299</v>
      </c>
      <c r="AK117" s="14">
        <v>0.95892755531098595</v>
      </c>
      <c r="AL117" s="14">
        <v>0.94168973044853399</v>
      </c>
      <c r="AM117" s="14">
        <v>0.90988407569531604</v>
      </c>
      <c r="AN117" s="14">
        <v>0.92213752240806801</v>
      </c>
      <c r="AO117" s="14"/>
      <c r="AP117" s="14">
        <v>0.95753098441068196</v>
      </c>
      <c r="AQ117" s="14">
        <v>0.91408347333140405</v>
      </c>
      <c r="AR117" s="14"/>
      <c r="AS117" s="14" t="s">
        <v>88</v>
      </c>
      <c r="AT117" s="14" t="s">
        <v>88</v>
      </c>
      <c r="AU117" s="14">
        <v>0.93641609647444302</v>
      </c>
      <c r="AV117" s="14"/>
      <c r="AW117" s="14">
        <v>0.94615531295603195</v>
      </c>
      <c r="AX117" s="14">
        <v>0.93168300200335297</v>
      </c>
      <c r="AY117" s="14"/>
      <c r="AZ117" s="14">
        <v>0.94381459774712395</v>
      </c>
      <c r="BA117" s="14">
        <v>0.91264143484572002</v>
      </c>
    </row>
    <row r="118" spans="2:53" x14ac:dyDescent="0.35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</row>
    <row r="119" spans="2:53" x14ac:dyDescent="0.35">
      <c r="B119" s="6" t="s">
        <v>102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</row>
    <row r="120" spans="2:53" x14ac:dyDescent="0.35">
      <c r="B120" s="24" t="s">
        <v>101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</row>
    <row r="121" spans="2:53" x14ac:dyDescent="0.35">
      <c r="B121" t="s">
        <v>76</v>
      </c>
      <c r="C121" s="14">
        <v>0.35809679181709397</v>
      </c>
      <c r="D121" s="14">
        <v>0.41588057767095699</v>
      </c>
      <c r="E121" s="14">
        <v>0.29990922860743702</v>
      </c>
      <c r="F121" s="14"/>
      <c r="G121" s="14">
        <v>0</v>
      </c>
      <c r="H121" s="14">
        <v>0.36838165112889298</v>
      </c>
      <c r="I121" s="14">
        <v>0.43603237088428398</v>
      </c>
      <c r="J121" s="14">
        <v>0.30608058008566102</v>
      </c>
      <c r="K121" s="14">
        <v>0.283157330826178</v>
      </c>
      <c r="L121" s="14">
        <v>0.30633530711593399</v>
      </c>
      <c r="M121" s="14"/>
      <c r="N121" s="14">
        <v>0.437751694522163</v>
      </c>
      <c r="O121" s="14">
        <v>0.32903961347211003</v>
      </c>
      <c r="P121" s="14">
        <v>0.31849013711221502</v>
      </c>
      <c r="Q121" s="14">
        <v>0.33367178365947697</v>
      </c>
      <c r="R121" s="14"/>
      <c r="S121" s="14">
        <v>0.47340680472223901</v>
      </c>
      <c r="T121" s="14">
        <v>0.39260068360233702</v>
      </c>
      <c r="U121" s="14">
        <v>0.34986686844847897</v>
      </c>
      <c r="V121" s="14">
        <v>0.22378312831963201</v>
      </c>
      <c r="W121" s="14">
        <v>0.328718438930241</v>
      </c>
      <c r="X121" s="14">
        <v>0.37826634359280897</v>
      </c>
      <c r="Y121" s="14">
        <v>0.35938998771520297</v>
      </c>
      <c r="Z121" s="14">
        <v>0.32729804995231199</v>
      </c>
      <c r="AA121" s="14">
        <v>0.32075353189717498</v>
      </c>
      <c r="AB121" s="14"/>
      <c r="AC121" s="14">
        <v>0.28852349042452202</v>
      </c>
      <c r="AD121" s="14">
        <v>0.2737450718751</v>
      </c>
      <c r="AE121" s="14">
        <v>0.43841935010528299</v>
      </c>
      <c r="AF121" s="14">
        <v>0.503091077960236</v>
      </c>
      <c r="AG121" s="14">
        <v>0.58384312282107798</v>
      </c>
      <c r="AH121" s="14"/>
      <c r="AI121" s="14">
        <v>0.42294259687991698</v>
      </c>
      <c r="AJ121" s="14">
        <v>0.41037205638388102</v>
      </c>
      <c r="AK121" s="14">
        <v>0.34474115989137</v>
      </c>
      <c r="AL121" s="14">
        <v>0.27956817292165198</v>
      </c>
      <c r="AM121" s="14">
        <v>0.31619782044396499</v>
      </c>
      <c r="AN121" s="14">
        <v>0.30682353667227003</v>
      </c>
      <c r="AO121" s="14"/>
      <c r="AP121" s="14">
        <v>0.38730364715419002</v>
      </c>
      <c r="AQ121" s="14">
        <v>0.32545049129758202</v>
      </c>
      <c r="AR121" s="14"/>
      <c r="AS121" s="14" t="s">
        <v>88</v>
      </c>
      <c r="AT121" s="14" t="s">
        <v>88</v>
      </c>
      <c r="AU121" s="14">
        <v>0.35809679181709397</v>
      </c>
      <c r="AV121" s="14"/>
      <c r="AW121" s="14">
        <v>0.35313050198817503</v>
      </c>
      <c r="AX121" s="14">
        <v>0.51421808848355599</v>
      </c>
      <c r="AY121" s="14"/>
      <c r="AZ121" s="14">
        <v>0.39222637635109903</v>
      </c>
      <c r="BA121" s="14">
        <v>0.23076535790581701</v>
      </c>
    </row>
    <row r="122" spans="2:53" x14ac:dyDescent="0.35">
      <c r="B122" t="s">
        <v>77</v>
      </c>
      <c r="C122" s="14">
        <v>0.41135299287060201</v>
      </c>
      <c r="D122" s="14">
        <v>0.39263693229622199</v>
      </c>
      <c r="E122" s="14">
        <v>0.43050693466740902</v>
      </c>
      <c r="F122" s="14"/>
      <c r="G122" s="14">
        <v>0.37788578674971901</v>
      </c>
      <c r="H122" s="14">
        <v>0.42836958510623002</v>
      </c>
      <c r="I122" s="14">
        <v>0.38535349769876098</v>
      </c>
      <c r="J122" s="14">
        <v>0.42106537272530398</v>
      </c>
      <c r="K122" s="14">
        <v>0.42533001851654001</v>
      </c>
      <c r="L122" s="14">
        <v>0.56903003231470195</v>
      </c>
      <c r="M122" s="14"/>
      <c r="N122" s="14">
        <v>0.41038085566722199</v>
      </c>
      <c r="O122" s="14">
        <v>0.47526969651654399</v>
      </c>
      <c r="P122" s="14">
        <v>0.37682738902624002</v>
      </c>
      <c r="Q122" s="14">
        <v>0.38029103726800101</v>
      </c>
      <c r="R122" s="14"/>
      <c r="S122" s="14">
        <v>0.34158820150171398</v>
      </c>
      <c r="T122" s="14">
        <v>0.34472437663858202</v>
      </c>
      <c r="U122" s="14">
        <v>0.420215553037325</v>
      </c>
      <c r="V122" s="14">
        <v>0.51845094368224398</v>
      </c>
      <c r="W122" s="14">
        <v>0.45146309825852599</v>
      </c>
      <c r="X122" s="14">
        <v>0.40278630413133998</v>
      </c>
      <c r="Y122" s="14">
        <v>0.40342196591975299</v>
      </c>
      <c r="Z122" s="14">
        <v>0.41734695630850699</v>
      </c>
      <c r="AA122" s="14">
        <v>0.45437781204107702</v>
      </c>
      <c r="AB122" s="14"/>
      <c r="AC122" s="14">
        <v>0.42010392638155702</v>
      </c>
      <c r="AD122" s="14">
        <v>0.44975964432961402</v>
      </c>
      <c r="AE122" s="14">
        <v>0.371854450149325</v>
      </c>
      <c r="AF122" s="14">
        <v>0.35125597466094599</v>
      </c>
      <c r="AG122" s="14">
        <v>0.32624518045122902</v>
      </c>
      <c r="AH122" s="14"/>
      <c r="AI122" s="14">
        <v>0.36898251249391401</v>
      </c>
      <c r="AJ122" s="14">
        <v>0.434612020251327</v>
      </c>
      <c r="AK122" s="14">
        <v>0.49605691000101798</v>
      </c>
      <c r="AL122" s="14">
        <v>0.37897939794748098</v>
      </c>
      <c r="AM122" s="14">
        <v>0.42838045521867202</v>
      </c>
      <c r="AN122" s="14">
        <v>0.44191350367283599</v>
      </c>
      <c r="AO122" s="14"/>
      <c r="AP122" s="14">
        <v>0.400228185256439</v>
      </c>
      <c r="AQ122" s="14">
        <v>0.42617595261435498</v>
      </c>
      <c r="AR122" s="14"/>
      <c r="AS122" s="14" t="s">
        <v>88</v>
      </c>
      <c r="AT122" s="14" t="s">
        <v>88</v>
      </c>
      <c r="AU122" s="14">
        <v>0.41135299287060201</v>
      </c>
      <c r="AV122" s="14"/>
      <c r="AW122" s="14">
        <v>0.42700892556459102</v>
      </c>
      <c r="AX122" s="14">
        <v>0.36800581437822499</v>
      </c>
      <c r="AY122" s="14"/>
      <c r="AZ122" s="14">
        <v>0.40490626310845901</v>
      </c>
      <c r="BA122" s="14">
        <v>0.43932717984312902</v>
      </c>
    </row>
    <row r="123" spans="2:53" x14ac:dyDescent="0.35">
      <c r="B123" t="s">
        <v>78</v>
      </c>
      <c r="C123" s="14">
        <v>0.18004432640399301</v>
      </c>
      <c r="D123" s="14">
        <v>0.158876061001059</v>
      </c>
      <c r="E123" s="14">
        <v>0.20127732386221101</v>
      </c>
      <c r="F123" s="14"/>
      <c r="G123" s="14">
        <v>0.43925619550893402</v>
      </c>
      <c r="H123" s="14">
        <v>0.197552022964947</v>
      </c>
      <c r="I123" s="14">
        <v>0.13104689758799201</v>
      </c>
      <c r="J123" s="14">
        <v>0.21160865243263899</v>
      </c>
      <c r="K123" s="14">
        <v>0.23465319335569601</v>
      </c>
      <c r="L123" s="14">
        <v>9.3586521800859607E-2</v>
      </c>
      <c r="M123" s="14"/>
      <c r="N123" s="14">
        <v>0.11811941237724401</v>
      </c>
      <c r="O123" s="14">
        <v>0.16032103600459099</v>
      </c>
      <c r="P123" s="14">
        <v>0.26096598594288001</v>
      </c>
      <c r="Q123" s="14">
        <v>0.19359900550647599</v>
      </c>
      <c r="R123" s="14"/>
      <c r="S123" s="14">
        <v>0.141332486598162</v>
      </c>
      <c r="T123" s="14">
        <v>0.21294115946731701</v>
      </c>
      <c r="U123" s="14">
        <v>0.20858508906855699</v>
      </c>
      <c r="V123" s="14">
        <v>0.16341231008625101</v>
      </c>
      <c r="W123" s="14">
        <v>0.18284799755676601</v>
      </c>
      <c r="X123" s="14">
        <v>0.17087391017284101</v>
      </c>
      <c r="Y123" s="14">
        <v>0.201325118552482</v>
      </c>
      <c r="Z123" s="14">
        <v>0.204601349305854</v>
      </c>
      <c r="AA123" s="14">
        <v>0.157485223392544</v>
      </c>
      <c r="AB123" s="14"/>
      <c r="AC123" s="14">
        <v>0.24199313710707601</v>
      </c>
      <c r="AD123" s="14">
        <v>0.247467625162582</v>
      </c>
      <c r="AE123" s="14">
        <v>0.14201058795813201</v>
      </c>
      <c r="AF123" s="14">
        <v>0.117447284170278</v>
      </c>
      <c r="AG123" s="14">
        <v>6.3333977133674502E-2</v>
      </c>
      <c r="AH123" s="14"/>
      <c r="AI123" s="14">
        <v>0.167046707574495</v>
      </c>
      <c r="AJ123" s="14">
        <v>9.1108500509061496E-2</v>
      </c>
      <c r="AK123" s="14">
        <v>0.108260938569388</v>
      </c>
      <c r="AL123" s="14">
        <v>0.287051231814759</v>
      </c>
      <c r="AM123" s="14">
        <v>0.22914668551763701</v>
      </c>
      <c r="AN123" s="14">
        <v>0.20967055144666699</v>
      </c>
      <c r="AO123" s="14"/>
      <c r="AP123" s="14">
        <v>0.17379299266093001</v>
      </c>
      <c r="AQ123" s="14">
        <v>0.18811349551211401</v>
      </c>
      <c r="AR123" s="14"/>
      <c r="AS123" s="14" t="s">
        <v>88</v>
      </c>
      <c r="AT123" s="14" t="s">
        <v>88</v>
      </c>
      <c r="AU123" s="14">
        <v>0.18004432640399301</v>
      </c>
      <c r="AV123" s="14"/>
      <c r="AW123" s="14">
        <v>0.184902656162691</v>
      </c>
      <c r="AX123" s="14">
        <v>7.6947051407313699E-2</v>
      </c>
      <c r="AY123" s="14"/>
      <c r="AZ123" s="14">
        <v>0.15909765166203499</v>
      </c>
      <c r="BA123" s="14">
        <v>0.25817895547610398</v>
      </c>
    </row>
    <row r="124" spans="2:53" x14ac:dyDescent="0.35">
      <c r="B124" t="s">
        <v>79</v>
      </c>
      <c r="C124" s="14">
        <v>3.3004043498949601E-2</v>
      </c>
      <c r="D124" s="14">
        <v>2.26913640789469E-2</v>
      </c>
      <c r="E124" s="14">
        <v>4.3265674298475602E-2</v>
      </c>
      <c r="F124" s="14"/>
      <c r="G124" s="14">
        <v>0</v>
      </c>
      <c r="H124" s="14">
        <v>5.6967407999305598E-3</v>
      </c>
      <c r="I124" s="14">
        <v>1.9633940785329901E-2</v>
      </c>
      <c r="J124" s="14">
        <v>4.6625045593235201E-2</v>
      </c>
      <c r="K124" s="14">
        <v>5.6859457301585599E-2</v>
      </c>
      <c r="L124" s="14">
        <v>0</v>
      </c>
      <c r="M124" s="14"/>
      <c r="N124" s="14">
        <v>2.6132041241876298E-2</v>
      </c>
      <c r="O124" s="14">
        <v>2.2047730950830499E-2</v>
      </c>
      <c r="P124" s="14">
        <v>3.4203636008591103E-2</v>
      </c>
      <c r="Q124" s="14">
        <v>5.13959457050506E-2</v>
      </c>
      <c r="R124" s="14"/>
      <c r="S124" s="14">
        <v>1.57138270725901E-2</v>
      </c>
      <c r="T124" s="14">
        <v>4.2985714736366303E-2</v>
      </c>
      <c r="U124" s="14">
        <v>0</v>
      </c>
      <c r="V124" s="14">
        <v>7.64596261710416E-2</v>
      </c>
      <c r="W124" s="14">
        <v>3.6970465254466699E-2</v>
      </c>
      <c r="X124" s="14">
        <v>3.0931279956470999E-2</v>
      </c>
      <c r="Y124" s="14">
        <v>2.78410923714273E-2</v>
      </c>
      <c r="Z124" s="14">
        <v>0</v>
      </c>
      <c r="AA124" s="14">
        <v>4.49542717448978E-2</v>
      </c>
      <c r="AB124" s="14"/>
      <c r="AC124" s="14">
        <v>4.3781412128040799E-2</v>
      </c>
      <c r="AD124" s="14">
        <v>2.9027658632703401E-2</v>
      </c>
      <c r="AE124" s="14">
        <v>3.00027643347444E-2</v>
      </c>
      <c r="AF124" s="14">
        <v>1.38947595456954E-2</v>
      </c>
      <c r="AG124" s="14">
        <v>2.65777195940189E-2</v>
      </c>
      <c r="AH124" s="14"/>
      <c r="AI124" s="14">
        <v>2.8584975092094501E-2</v>
      </c>
      <c r="AJ124" s="14">
        <v>5.7898894480270698E-2</v>
      </c>
      <c r="AK124" s="14">
        <v>2.9254330986027501E-2</v>
      </c>
      <c r="AL124" s="14">
        <v>3.1689411471239701E-2</v>
      </c>
      <c r="AM124" s="14">
        <v>0</v>
      </c>
      <c r="AN124" s="14">
        <v>9.6420084105418198E-3</v>
      </c>
      <c r="AO124" s="14"/>
      <c r="AP124" s="14">
        <v>2.5621095041210701E-2</v>
      </c>
      <c r="AQ124" s="14">
        <v>3.9469908843948603E-2</v>
      </c>
      <c r="AR124" s="14"/>
      <c r="AS124" s="14" t="s">
        <v>88</v>
      </c>
      <c r="AT124" s="14" t="s">
        <v>88</v>
      </c>
      <c r="AU124" s="14">
        <v>3.3004043498949601E-2</v>
      </c>
      <c r="AV124" s="14"/>
      <c r="AW124" s="14">
        <v>2.2038149977890699E-2</v>
      </c>
      <c r="AX124" s="14">
        <v>3.2414931576384101E-2</v>
      </c>
      <c r="AY124" s="14"/>
      <c r="AZ124" s="14">
        <v>3.20942975095262E-2</v>
      </c>
      <c r="BA124" s="14">
        <v>3.6675388258011997E-2</v>
      </c>
    </row>
    <row r="125" spans="2:53" x14ac:dyDescent="0.35">
      <c r="B125" t="s">
        <v>80</v>
      </c>
      <c r="C125" s="14">
        <v>1.7501845409360998E-2</v>
      </c>
      <c r="D125" s="14">
        <v>9.9150649528150208E-3</v>
      </c>
      <c r="E125" s="14">
        <v>2.5040838564467E-2</v>
      </c>
      <c r="F125" s="14"/>
      <c r="G125" s="14">
        <v>0.182858017741347</v>
      </c>
      <c r="H125" s="14">
        <v>0</v>
      </c>
      <c r="I125" s="14">
        <v>2.7933293043632401E-2</v>
      </c>
      <c r="J125" s="14">
        <v>1.46203491631611E-2</v>
      </c>
      <c r="K125" s="14">
        <v>0</v>
      </c>
      <c r="L125" s="14">
        <v>3.1048138768503899E-2</v>
      </c>
      <c r="M125" s="14"/>
      <c r="N125" s="14">
        <v>7.6159961914941399E-3</v>
      </c>
      <c r="O125" s="14">
        <v>1.33219230559241E-2</v>
      </c>
      <c r="P125" s="14">
        <v>9.5128519100735297E-3</v>
      </c>
      <c r="Q125" s="14">
        <v>4.1042227860995102E-2</v>
      </c>
      <c r="R125" s="14"/>
      <c r="S125" s="14">
        <v>2.7958680105295501E-2</v>
      </c>
      <c r="T125" s="14">
        <v>6.7480655553974703E-3</v>
      </c>
      <c r="U125" s="14">
        <v>2.1332489445638501E-2</v>
      </c>
      <c r="V125" s="14">
        <v>1.7893991740831498E-2</v>
      </c>
      <c r="W125" s="14">
        <v>0</v>
      </c>
      <c r="X125" s="14">
        <v>1.71421621465387E-2</v>
      </c>
      <c r="Y125" s="14">
        <v>8.0218354411347292E-3</v>
      </c>
      <c r="Z125" s="14">
        <v>5.0753644433327E-2</v>
      </c>
      <c r="AA125" s="14">
        <v>2.2429160924305799E-2</v>
      </c>
      <c r="AB125" s="14"/>
      <c r="AC125" s="14">
        <v>5.5980339588046803E-3</v>
      </c>
      <c r="AD125" s="14">
        <v>0</v>
      </c>
      <c r="AE125" s="14">
        <v>1.7712847452515699E-2</v>
      </c>
      <c r="AF125" s="14">
        <v>1.4310903662844199E-2</v>
      </c>
      <c r="AG125" s="14">
        <v>0</v>
      </c>
      <c r="AH125" s="14"/>
      <c r="AI125" s="14">
        <v>1.2443207959578701E-2</v>
      </c>
      <c r="AJ125" s="14">
        <v>6.0085283754592001E-3</v>
      </c>
      <c r="AK125" s="14">
        <v>2.1686660552196601E-2</v>
      </c>
      <c r="AL125" s="14">
        <v>2.2711785844867799E-2</v>
      </c>
      <c r="AM125" s="14">
        <v>2.6275038819726301E-2</v>
      </c>
      <c r="AN125" s="14">
        <v>3.1950399797684798E-2</v>
      </c>
      <c r="AO125" s="14"/>
      <c r="AP125" s="14">
        <v>1.3054079887230801E-2</v>
      </c>
      <c r="AQ125" s="14">
        <v>2.0790151731999999E-2</v>
      </c>
      <c r="AR125" s="14"/>
      <c r="AS125" s="14" t="s">
        <v>88</v>
      </c>
      <c r="AT125" s="14" t="s">
        <v>88</v>
      </c>
      <c r="AU125" s="14">
        <v>1.7501845409360998E-2</v>
      </c>
      <c r="AV125" s="14"/>
      <c r="AW125" s="14">
        <v>1.29197663066521E-2</v>
      </c>
      <c r="AX125" s="14">
        <v>8.4141141545210699E-3</v>
      </c>
      <c r="AY125" s="14"/>
      <c r="AZ125" s="14">
        <v>1.1675411368881099E-2</v>
      </c>
      <c r="BA125" s="14">
        <v>3.5053118516937799E-2</v>
      </c>
    </row>
    <row r="126" spans="2:53" x14ac:dyDescent="0.35">
      <c r="B126" t="s">
        <v>81</v>
      </c>
      <c r="C126" s="14">
        <v>0.76944978468769598</v>
      </c>
      <c r="D126" s="14">
        <v>0.80851750996717897</v>
      </c>
      <c r="E126" s="14">
        <v>0.73041616327484604</v>
      </c>
      <c r="F126" s="14"/>
      <c r="G126" s="14">
        <v>0.37788578674971901</v>
      </c>
      <c r="H126" s="14">
        <v>0.79675123623512301</v>
      </c>
      <c r="I126" s="14">
        <v>0.82138586858304596</v>
      </c>
      <c r="J126" s="14">
        <v>0.72714595281096495</v>
      </c>
      <c r="K126" s="14">
        <v>0.70848734934271895</v>
      </c>
      <c r="L126" s="14">
        <v>0.87536533943063599</v>
      </c>
      <c r="M126" s="14"/>
      <c r="N126" s="14">
        <v>0.84813255018938505</v>
      </c>
      <c r="O126" s="14">
        <v>0.80430930998865402</v>
      </c>
      <c r="P126" s="14">
        <v>0.69531752613845499</v>
      </c>
      <c r="Q126" s="14">
        <v>0.71396282092747798</v>
      </c>
      <c r="R126" s="14"/>
      <c r="S126" s="14">
        <v>0.81499500622395205</v>
      </c>
      <c r="T126" s="14">
        <v>0.73732506024092004</v>
      </c>
      <c r="U126" s="14">
        <v>0.77008242148580397</v>
      </c>
      <c r="V126" s="14">
        <v>0.74223407200187597</v>
      </c>
      <c r="W126" s="14">
        <v>0.78018153718876704</v>
      </c>
      <c r="X126" s="14">
        <v>0.78105264772414895</v>
      </c>
      <c r="Y126" s="14">
        <v>0.76281195363495602</v>
      </c>
      <c r="Z126" s="14">
        <v>0.74464500626081898</v>
      </c>
      <c r="AA126" s="14">
        <v>0.775131343938253</v>
      </c>
      <c r="AB126" s="14"/>
      <c r="AC126" s="14">
        <v>0.70862741680607899</v>
      </c>
      <c r="AD126" s="14">
        <v>0.72350471620471402</v>
      </c>
      <c r="AE126" s="14">
        <v>0.81027380025460805</v>
      </c>
      <c r="AF126" s="14">
        <v>0.85434705262118205</v>
      </c>
      <c r="AG126" s="14">
        <v>0.91008830327230705</v>
      </c>
      <c r="AH126" s="14"/>
      <c r="AI126" s="14">
        <v>0.79192510937383198</v>
      </c>
      <c r="AJ126" s="14">
        <v>0.84498407663520902</v>
      </c>
      <c r="AK126" s="14">
        <v>0.84079806989238803</v>
      </c>
      <c r="AL126" s="14">
        <v>0.65854757086913296</v>
      </c>
      <c r="AM126" s="14">
        <v>0.74457827566263701</v>
      </c>
      <c r="AN126" s="14">
        <v>0.74873704034510602</v>
      </c>
      <c r="AO126" s="14"/>
      <c r="AP126" s="14">
        <v>0.78753183241062896</v>
      </c>
      <c r="AQ126" s="14">
        <v>0.751626443911937</v>
      </c>
      <c r="AR126" s="14"/>
      <c r="AS126" s="14" t="s">
        <v>88</v>
      </c>
      <c r="AT126" s="14" t="s">
        <v>88</v>
      </c>
      <c r="AU126" s="14">
        <v>0.76944978468769598</v>
      </c>
      <c r="AV126" s="14"/>
      <c r="AW126" s="14">
        <v>0.780139427552766</v>
      </c>
      <c r="AX126" s="14">
        <v>0.88222390286178098</v>
      </c>
      <c r="AY126" s="14"/>
      <c r="AZ126" s="14">
        <v>0.79713263945955803</v>
      </c>
      <c r="BA126" s="14">
        <v>0.67009253774894595</v>
      </c>
    </row>
    <row r="127" spans="2:53" x14ac:dyDescent="0.35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</row>
    <row r="128" spans="2:53" x14ac:dyDescent="0.35">
      <c r="B128" s="6" t="s">
        <v>103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</row>
    <row r="129" spans="2:53" x14ac:dyDescent="0.35">
      <c r="B129" s="24" t="s">
        <v>101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</row>
    <row r="130" spans="2:53" x14ac:dyDescent="0.35">
      <c r="B130" t="s">
        <v>76</v>
      </c>
      <c r="C130" s="14">
        <v>0.36954159700897499</v>
      </c>
      <c r="D130" s="14">
        <v>0.37606617247915303</v>
      </c>
      <c r="E130" s="14">
        <v>0.36363866750172702</v>
      </c>
      <c r="F130" s="14"/>
      <c r="G130" s="14">
        <v>0.182858017741347</v>
      </c>
      <c r="H130" s="14">
        <v>0.37070988523353798</v>
      </c>
      <c r="I130" s="14">
        <v>0.449286595478878</v>
      </c>
      <c r="J130" s="14">
        <v>0.324229999392595</v>
      </c>
      <c r="K130" s="14">
        <v>0.27028876561669901</v>
      </c>
      <c r="L130" s="14">
        <v>0.32289427173086799</v>
      </c>
      <c r="M130" s="14"/>
      <c r="N130" s="14">
        <v>0.41890652164570102</v>
      </c>
      <c r="O130" s="14">
        <v>0.35240196489259601</v>
      </c>
      <c r="P130" s="14">
        <v>0.371403788742876</v>
      </c>
      <c r="Q130" s="14">
        <v>0.32530711932379203</v>
      </c>
      <c r="R130" s="14"/>
      <c r="S130" s="14">
        <v>0.480646048100413</v>
      </c>
      <c r="T130" s="14">
        <v>0.32166929518592102</v>
      </c>
      <c r="U130" s="14">
        <v>0.37279591375748</v>
      </c>
      <c r="V130" s="14">
        <v>0.27056830627225997</v>
      </c>
      <c r="W130" s="14">
        <v>0.31082722271813101</v>
      </c>
      <c r="X130" s="14">
        <v>0.38232475320303799</v>
      </c>
      <c r="Y130" s="14">
        <v>0.37944122524178597</v>
      </c>
      <c r="Z130" s="14">
        <v>0.42370830395139503</v>
      </c>
      <c r="AA130" s="14">
        <v>0.38288039173076399</v>
      </c>
      <c r="AB130" s="14"/>
      <c r="AC130" s="14">
        <v>0.29263312030211502</v>
      </c>
      <c r="AD130" s="14">
        <v>0.33715727901895798</v>
      </c>
      <c r="AE130" s="14">
        <v>0.40943915446658802</v>
      </c>
      <c r="AF130" s="14">
        <v>0.48682634095138599</v>
      </c>
      <c r="AG130" s="14">
        <v>0.55382474095494305</v>
      </c>
      <c r="AH130" s="14"/>
      <c r="AI130" s="14">
        <v>0.39962675705213702</v>
      </c>
      <c r="AJ130" s="14">
        <v>0.44140690035027702</v>
      </c>
      <c r="AK130" s="14">
        <v>0.35833946232922798</v>
      </c>
      <c r="AL130" s="14">
        <v>0.30611018023824399</v>
      </c>
      <c r="AM130" s="14">
        <v>0.33490256147470499</v>
      </c>
      <c r="AN130" s="14">
        <v>0.3921264714503</v>
      </c>
      <c r="AO130" s="14"/>
      <c r="AP130" s="14">
        <v>0.36765197103741598</v>
      </c>
      <c r="AQ130" s="14">
        <v>0.37253178412335602</v>
      </c>
      <c r="AR130" s="14"/>
      <c r="AS130" s="14" t="s">
        <v>88</v>
      </c>
      <c r="AT130" s="14" t="s">
        <v>88</v>
      </c>
      <c r="AU130" s="14">
        <v>0.36954159700897499</v>
      </c>
      <c r="AV130" s="14"/>
      <c r="AW130" s="14">
        <v>0.36811347588094101</v>
      </c>
      <c r="AX130" s="14">
        <v>0.50958782481568399</v>
      </c>
      <c r="AY130" s="14"/>
      <c r="AZ130" s="14">
        <v>0.38688792066161198</v>
      </c>
      <c r="BA130" s="14">
        <v>0.31055859933387697</v>
      </c>
    </row>
    <row r="131" spans="2:53" x14ac:dyDescent="0.35">
      <c r="B131" t="s">
        <v>77</v>
      </c>
      <c r="C131" s="14">
        <v>0.44656731973178698</v>
      </c>
      <c r="D131" s="14">
        <v>0.44292699275481501</v>
      </c>
      <c r="E131" s="14">
        <v>0.44933662523132201</v>
      </c>
      <c r="F131" s="14"/>
      <c r="G131" s="14">
        <v>0.81714198225865298</v>
      </c>
      <c r="H131" s="14">
        <v>0.44124976947190597</v>
      </c>
      <c r="I131" s="14">
        <v>0.41818072730031502</v>
      </c>
      <c r="J131" s="14">
        <v>0.46482387761611699</v>
      </c>
      <c r="K131" s="14">
        <v>0.46317417473869799</v>
      </c>
      <c r="L131" s="14">
        <v>0.52205201624403696</v>
      </c>
      <c r="M131" s="14"/>
      <c r="N131" s="14">
        <v>0.43052449614532701</v>
      </c>
      <c r="O131" s="14">
        <v>0.52336800675586703</v>
      </c>
      <c r="P131" s="14">
        <v>0.39388226838354601</v>
      </c>
      <c r="Q131" s="14">
        <v>0.44038281769163301</v>
      </c>
      <c r="R131" s="14"/>
      <c r="S131" s="14">
        <v>0.34119972956882699</v>
      </c>
      <c r="T131" s="14">
        <v>0.43087510851579602</v>
      </c>
      <c r="U131" s="14">
        <v>0.47929498553871203</v>
      </c>
      <c r="V131" s="14">
        <v>0.52916798780145102</v>
      </c>
      <c r="W131" s="14">
        <v>0.573719097913158</v>
      </c>
      <c r="X131" s="14">
        <v>0.38571878403099302</v>
      </c>
      <c r="Y131" s="14">
        <v>0.42360282746403</v>
      </c>
      <c r="Z131" s="14">
        <v>0.41921033953273701</v>
      </c>
      <c r="AA131" s="14">
        <v>0.47527976100230002</v>
      </c>
      <c r="AB131" s="14"/>
      <c r="AC131" s="14">
        <v>0.45980052868274901</v>
      </c>
      <c r="AD131" s="14">
        <v>0.43978669252108599</v>
      </c>
      <c r="AE131" s="14">
        <v>0.46131265927381998</v>
      </c>
      <c r="AF131" s="14">
        <v>0.41332021384463202</v>
      </c>
      <c r="AG131" s="14">
        <v>0.38253948239872798</v>
      </c>
      <c r="AH131" s="14"/>
      <c r="AI131" s="14">
        <v>0.41681973585909399</v>
      </c>
      <c r="AJ131" s="14">
        <v>0.41617644555480698</v>
      </c>
      <c r="AK131" s="14">
        <v>0.48594559257651898</v>
      </c>
      <c r="AL131" s="14">
        <v>0.48273356564402797</v>
      </c>
      <c r="AM131" s="14">
        <v>0.49093703719964799</v>
      </c>
      <c r="AN131" s="14">
        <v>0.42425360950183999</v>
      </c>
      <c r="AO131" s="14"/>
      <c r="AP131" s="14">
        <v>0.45316093280999298</v>
      </c>
      <c r="AQ131" s="14">
        <v>0.44129755210198202</v>
      </c>
      <c r="AR131" s="14"/>
      <c r="AS131" s="14" t="s">
        <v>88</v>
      </c>
      <c r="AT131" s="14" t="s">
        <v>88</v>
      </c>
      <c r="AU131" s="14">
        <v>0.44656731973178698</v>
      </c>
      <c r="AV131" s="14"/>
      <c r="AW131" s="14">
        <v>0.45882170453413101</v>
      </c>
      <c r="AX131" s="14">
        <v>0.401763175003713</v>
      </c>
      <c r="AY131" s="14"/>
      <c r="AZ131" s="14">
        <v>0.43723692354424798</v>
      </c>
      <c r="BA131" s="14">
        <v>0.48168724531384299</v>
      </c>
    </row>
    <row r="132" spans="2:53" x14ac:dyDescent="0.35">
      <c r="B132" t="s">
        <v>78</v>
      </c>
      <c r="C132" s="14">
        <v>0.13872208905910599</v>
      </c>
      <c r="D132" s="14">
        <v>0.13969143545089599</v>
      </c>
      <c r="E132" s="14">
        <v>0.13797162704803601</v>
      </c>
      <c r="F132" s="14"/>
      <c r="G132" s="14">
        <v>0</v>
      </c>
      <c r="H132" s="14">
        <v>0.17738893618701501</v>
      </c>
      <c r="I132" s="14">
        <v>9.1880907104143497E-2</v>
      </c>
      <c r="J132" s="14">
        <v>0.161186482561917</v>
      </c>
      <c r="K132" s="14">
        <v>0.19029694055028101</v>
      </c>
      <c r="L132" s="14">
        <v>0.15505371202509499</v>
      </c>
      <c r="M132" s="14"/>
      <c r="N132" s="14">
        <v>0.122292427810408</v>
      </c>
      <c r="O132" s="14">
        <v>9.8447099318853204E-2</v>
      </c>
      <c r="P132" s="14">
        <v>0.178400300524924</v>
      </c>
      <c r="Q132" s="14">
        <v>0.16005772049000899</v>
      </c>
      <c r="R132" s="14"/>
      <c r="S132" s="14">
        <v>0.12709371424080099</v>
      </c>
      <c r="T132" s="14">
        <v>0.20185577028353199</v>
      </c>
      <c r="U132" s="14">
        <v>0.113428716891181</v>
      </c>
      <c r="V132" s="14">
        <v>0.101619587747226</v>
      </c>
      <c r="W132" s="14">
        <v>9.7228592889700302E-2</v>
      </c>
      <c r="X132" s="14">
        <v>0.171188844803118</v>
      </c>
      <c r="Y132" s="14">
        <v>0.16899407817085099</v>
      </c>
      <c r="Z132" s="14">
        <v>8.2410018517793296E-2</v>
      </c>
      <c r="AA132" s="14">
        <v>0.132277259624451</v>
      </c>
      <c r="AB132" s="14"/>
      <c r="AC132" s="14">
        <v>0.200046745059236</v>
      </c>
      <c r="AD132" s="14">
        <v>0.18411548633692701</v>
      </c>
      <c r="AE132" s="14">
        <v>9.35232122313676E-2</v>
      </c>
      <c r="AF132" s="14">
        <v>8.8647512946505802E-2</v>
      </c>
      <c r="AG132" s="14">
        <v>5.6666891482334003E-2</v>
      </c>
      <c r="AH132" s="14"/>
      <c r="AI132" s="14">
        <v>0.13169488914417901</v>
      </c>
      <c r="AJ132" s="14">
        <v>0.10322949668555401</v>
      </c>
      <c r="AK132" s="14">
        <v>0.13241413795922599</v>
      </c>
      <c r="AL132" s="14">
        <v>0.171184977151983</v>
      </c>
      <c r="AM132" s="14">
        <v>0.14788536250591999</v>
      </c>
      <c r="AN132" s="14">
        <v>0.13394449200668901</v>
      </c>
      <c r="AO132" s="14"/>
      <c r="AP132" s="14">
        <v>0.137152522493806</v>
      </c>
      <c r="AQ132" s="14">
        <v>0.14122430688387999</v>
      </c>
      <c r="AR132" s="14"/>
      <c r="AS132" s="14" t="s">
        <v>88</v>
      </c>
      <c r="AT132" s="14" t="s">
        <v>88</v>
      </c>
      <c r="AU132" s="14">
        <v>0.13872208905910599</v>
      </c>
      <c r="AV132" s="14"/>
      <c r="AW132" s="14">
        <v>0.13470301502569501</v>
      </c>
      <c r="AX132" s="14">
        <v>6.9679572587422606E-2</v>
      </c>
      <c r="AY132" s="14"/>
      <c r="AZ132" s="14">
        <v>0.13785073818049101</v>
      </c>
      <c r="BA132" s="14">
        <v>0.143420152758758</v>
      </c>
    </row>
    <row r="133" spans="2:53" x14ac:dyDescent="0.35">
      <c r="B133" t="s">
        <v>79</v>
      </c>
      <c r="C133" s="14">
        <v>3.1201002846779902E-2</v>
      </c>
      <c r="D133" s="14">
        <v>3.4232031389324097E-2</v>
      </c>
      <c r="E133" s="14">
        <v>2.8246719320739799E-2</v>
      </c>
      <c r="F133" s="14"/>
      <c r="G133" s="14">
        <v>0</v>
      </c>
      <c r="H133" s="14">
        <v>0</v>
      </c>
      <c r="I133" s="14">
        <v>1.8760892553188201E-2</v>
      </c>
      <c r="J133" s="14">
        <v>3.7751138750648103E-2</v>
      </c>
      <c r="K133" s="14">
        <v>7.6240119094322101E-2</v>
      </c>
      <c r="L133" s="14">
        <v>0</v>
      </c>
      <c r="M133" s="14"/>
      <c r="N133" s="14">
        <v>2.3595451204226899E-2</v>
      </c>
      <c r="O133" s="14">
        <v>2.11103681329456E-2</v>
      </c>
      <c r="P133" s="14">
        <v>5.05735146688693E-2</v>
      </c>
      <c r="Q133" s="14">
        <v>3.2050679359257699E-2</v>
      </c>
      <c r="R133" s="14"/>
      <c r="S133" s="14">
        <v>3.1706412927275003E-2</v>
      </c>
      <c r="T133" s="14">
        <v>3.88517604593537E-2</v>
      </c>
      <c r="U133" s="14">
        <v>2.1501260583546601E-2</v>
      </c>
      <c r="V133" s="14">
        <v>8.0750126438231207E-2</v>
      </c>
      <c r="W133" s="14">
        <v>1.8225086479011499E-2</v>
      </c>
      <c r="X133" s="14">
        <v>3.9440299791106297E-2</v>
      </c>
      <c r="Y133" s="14">
        <v>1.56163030758199E-2</v>
      </c>
      <c r="Z133" s="14">
        <v>2.3917693564747201E-2</v>
      </c>
      <c r="AA133" s="14">
        <v>4.7812936795605396E-3</v>
      </c>
      <c r="AB133" s="14"/>
      <c r="AC133" s="14">
        <v>3.82236965634071E-2</v>
      </c>
      <c r="AD133" s="14">
        <v>3.8940542123029803E-2</v>
      </c>
      <c r="AE133" s="14">
        <v>2.87368621716243E-2</v>
      </c>
      <c r="AF133" s="14">
        <v>7.2943560848133396E-3</v>
      </c>
      <c r="AG133" s="14">
        <v>6.9688851639947702E-3</v>
      </c>
      <c r="AH133" s="14"/>
      <c r="AI133" s="14">
        <v>3.95708482346308E-2</v>
      </c>
      <c r="AJ133" s="14">
        <v>3.9187157409362898E-2</v>
      </c>
      <c r="AK133" s="14">
        <v>1.7557354227307701E-2</v>
      </c>
      <c r="AL133" s="14">
        <v>2.8168354572238999E-2</v>
      </c>
      <c r="AM133" s="14">
        <v>0</v>
      </c>
      <c r="AN133" s="14">
        <v>1.7725027243486499E-2</v>
      </c>
      <c r="AO133" s="14"/>
      <c r="AP133" s="14">
        <v>3.1331767228480002E-2</v>
      </c>
      <c r="AQ133" s="14">
        <v>2.90610731951358E-2</v>
      </c>
      <c r="AR133" s="14"/>
      <c r="AS133" s="14" t="s">
        <v>88</v>
      </c>
      <c r="AT133" s="14" t="s">
        <v>88</v>
      </c>
      <c r="AU133" s="14">
        <v>3.1201002846779902E-2</v>
      </c>
      <c r="AV133" s="14"/>
      <c r="AW133" s="14">
        <v>2.9667130994974499E-2</v>
      </c>
      <c r="AX133" s="14">
        <v>1.3192221419588999E-2</v>
      </c>
      <c r="AY133" s="14"/>
      <c r="AZ133" s="14">
        <v>3.0013633601347501E-2</v>
      </c>
      <c r="BA133" s="14">
        <v>3.2378318346908699E-2</v>
      </c>
    </row>
    <row r="134" spans="2:53" x14ac:dyDescent="0.35">
      <c r="B134" t="s">
        <v>80</v>
      </c>
      <c r="C134" s="14">
        <v>1.3967991353353301E-2</v>
      </c>
      <c r="D134" s="14">
        <v>7.0833679258126697E-3</v>
      </c>
      <c r="E134" s="14">
        <v>2.08063608981746E-2</v>
      </c>
      <c r="F134" s="14"/>
      <c r="G134" s="14">
        <v>0</v>
      </c>
      <c r="H134" s="14">
        <v>1.06514091075408E-2</v>
      </c>
      <c r="I134" s="14">
        <v>2.1890877563476199E-2</v>
      </c>
      <c r="J134" s="14">
        <v>1.20085016787223E-2</v>
      </c>
      <c r="K134" s="14">
        <v>0</v>
      </c>
      <c r="L134" s="14">
        <v>0</v>
      </c>
      <c r="M134" s="14"/>
      <c r="N134" s="14">
        <v>4.6811031943377003E-3</v>
      </c>
      <c r="O134" s="14">
        <v>4.6725608997380602E-3</v>
      </c>
      <c r="P134" s="14">
        <v>5.7401276797851902E-3</v>
      </c>
      <c r="Q134" s="14">
        <v>4.2201663135308598E-2</v>
      </c>
      <c r="R134" s="14"/>
      <c r="S134" s="14">
        <v>1.9354095162684201E-2</v>
      </c>
      <c r="T134" s="14">
        <v>6.7480655553974703E-3</v>
      </c>
      <c r="U134" s="14">
        <v>1.29791232290806E-2</v>
      </c>
      <c r="V134" s="14">
        <v>1.7893991740831498E-2</v>
      </c>
      <c r="W134" s="14">
        <v>0</v>
      </c>
      <c r="X134" s="14">
        <v>2.1327318171744401E-2</v>
      </c>
      <c r="Y134" s="14">
        <v>1.23455660475126E-2</v>
      </c>
      <c r="Z134" s="14">
        <v>5.0753644433327E-2</v>
      </c>
      <c r="AA134" s="14">
        <v>4.7812939629247797E-3</v>
      </c>
      <c r="AB134" s="14"/>
      <c r="AC134" s="14">
        <v>9.2959093924934594E-3</v>
      </c>
      <c r="AD134" s="14">
        <v>0</v>
      </c>
      <c r="AE134" s="14">
        <v>6.9881118565998501E-3</v>
      </c>
      <c r="AF134" s="14">
        <v>3.9115761726628701E-3</v>
      </c>
      <c r="AG134" s="14">
        <v>0</v>
      </c>
      <c r="AH134" s="14"/>
      <c r="AI134" s="14">
        <v>1.2287769709959101E-2</v>
      </c>
      <c r="AJ134" s="14">
        <v>0</v>
      </c>
      <c r="AK134" s="14">
        <v>5.7434529077191399E-3</v>
      </c>
      <c r="AL134" s="14">
        <v>1.1802922393505499E-2</v>
      </c>
      <c r="AM134" s="14">
        <v>2.6275038819726301E-2</v>
      </c>
      <c r="AN134" s="14">
        <v>3.1950399797684798E-2</v>
      </c>
      <c r="AO134" s="14"/>
      <c r="AP134" s="14">
        <v>1.07028064303043E-2</v>
      </c>
      <c r="AQ134" s="14">
        <v>1.5885283695646402E-2</v>
      </c>
      <c r="AR134" s="14"/>
      <c r="AS134" s="14" t="s">
        <v>88</v>
      </c>
      <c r="AT134" s="14" t="s">
        <v>88</v>
      </c>
      <c r="AU134" s="14">
        <v>1.3967991353353301E-2</v>
      </c>
      <c r="AV134" s="14"/>
      <c r="AW134" s="14">
        <v>8.6946735642585895E-3</v>
      </c>
      <c r="AX134" s="14">
        <v>5.77720617359206E-3</v>
      </c>
      <c r="AY134" s="14"/>
      <c r="AZ134" s="14">
        <v>8.0107840123021697E-3</v>
      </c>
      <c r="BA134" s="14">
        <v>3.1955684246613797E-2</v>
      </c>
    </row>
    <row r="135" spans="2:53" x14ac:dyDescent="0.35">
      <c r="B135" t="s">
        <v>81</v>
      </c>
      <c r="C135" s="14">
        <v>0.81610891674076103</v>
      </c>
      <c r="D135" s="14">
        <v>0.81899316523396704</v>
      </c>
      <c r="E135" s="14">
        <v>0.81297529273304903</v>
      </c>
      <c r="F135" s="14"/>
      <c r="G135" s="14">
        <v>1</v>
      </c>
      <c r="H135" s="14">
        <v>0.81195965470544396</v>
      </c>
      <c r="I135" s="14">
        <v>0.86746732277919203</v>
      </c>
      <c r="J135" s="14">
        <v>0.78905387700871299</v>
      </c>
      <c r="K135" s="14">
        <v>0.73346294035539605</v>
      </c>
      <c r="L135" s="14">
        <v>0.84494628797490501</v>
      </c>
      <c r="M135" s="14"/>
      <c r="N135" s="14">
        <v>0.84943101779102803</v>
      </c>
      <c r="O135" s="14">
        <v>0.87576997164846304</v>
      </c>
      <c r="P135" s="14">
        <v>0.76528605712642195</v>
      </c>
      <c r="Q135" s="14">
        <v>0.76568993701542398</v>
      </c>
      <c r="R135" s="14"/>
      <c r="S135" s="14">
        <v>0.82184577766924005</v>
      </c>
      <c r="T135" s="14">
        <v>0.75254440370171705</v>
      </c>
      <c r="U135" s="14">
        <v>0.85209089929619197</v>
      </c>
      <c r="V135" s="14">
        <v>0.79973629407371105</v>
      </c>
      <c r="W135" s="14">
        <v>0.88454632063128802</v>
      </c>
      <c r="X135" s="14">
        <v>0.76804353723403096</v>
      </c>
      <c r="Y135" s="14">
        <v>0.80304405270581602</v>
      </c>
      <c r="Z135" s="14">
        <v>0.84291864348413204</v>
      </c>
      <c r="AA135" s="14">
        <v>0.85816015273306401</v>
      </c>
      <c r="AB135" s="14"/>
      <c r="AC135" s="14">
        <v>0.75243364898486298</v>
      </c>
      <c r="AD135" s="14">
        <v>0.77694397154004402</v>
      </c>
      <c r="AE135" s="14">
        <v>0.870751813740408</v>
      </c>
      <c r="AF135" s="14">
        <v>0.90014655479601802</v>
      </c>
      <c r="AG135" s="14">
        <v>0.93636422335367098</v>
      </c>
      <c r="AH135" s="14"/>
      <c r="AI135" s="14">
        <v>0.81644649291123095</v>
      </c>
      <c r="AJ135" s="14">
        <v>0.85758334590508301</v>
      </c>
      <c r="AK135" s="14">
        <v>0.84428505490574701</v>
      </c>
      <c r="AL135" s="14">
        <v>0.78884374588227202</v>
      </c>
      <c r="AM135" s="14">
        <v>0.82583959867435297</v>
      </c>
      <c r="AN135" s="14">
        <v>0.81638008095213999</v>
      </c>
      <c r="AO135" s="14"/>
      <c r="AP135" s="14">
        <v>0.82081290384740901</v>
      </c>
      <c r="AQ135" s="14">
        <v>0.81382933622533704</v>
      </c>
      <c r="AR135" s="14"/>
      <c r="AS135" s="14" t="s">
        <v>88</v>
      </c>
      <c r="AT135" s="14" t="s">
        <v>88</v>
      </c>
      <c r="AU135" s="14">
        <v>0.81610891674076103</v>
      </c>
      <c r="AV135" s="14"/>
      <c r="AW135" s="14">
        <v>0.82693518041507197</v>
      </c>
      <c r="AX135" s="14">
        <v>0.91135099981939605</v>
      </c>
      <c r="AY135" s="14"/>
      <c r="AZ135" s="14">
        <v>0.82412484420585996</v>
      </c>
      <c r="BA135" s="14">
        <v>0.79224584464771997</v>
      </c>
    </row>
    <row r="136" spans="2:53" x14ac:dyDescent="0.35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</row>
    <row r="137" spans="2:53" x14ac:dyDescent="0.35">
      <c r="B137" s="6" t="s">
        <v>104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</row>
    <row r="138" spans="2:53" x14ac:dyDescent="0.35">
      <c r="B138" s="24" t="s">
        <v>101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</row>
    <row r="139" spans="2:53" x14ac:dyDescent="0.35">
      <c r="B139" t="s">
        <v>76</v>
      </c>
      <c r="C139" s="14">
        <v>0.32478850607368998</v>
      </c>
      <c r="D139" s="14">
        <v>0.36003375603207599</v>
      </c>
      <c r="E139" s="14">
        <v>0.29037826468279798</v>
      </c>
      <c r="F139" s="14"/>
      <c r="G139" s="14">
        <v>0</v>
      </c>
      <c r="H139" s="14">
        <v>0.373275786436089</v>
      </c>
      <c r="I139" s="14">
        <v>0.42096298572413399</v>
      </c>
      <c r="J139" s="14">
        <v>0.25380311453478499</v>
      </c>
      <c r="K139" s="14">
        <v>0.235126435772713</v>
      </c>
      <c r="L139" s="14">
        <v>0.21811083105297599</v>
      </c>
      <c r="M139" s="14"/>
      <c r="N139" s="14">
        <v>0.38863214802190199</v>
      </c>
      <c r="O139" s="14">
        <v>0.29598720594098998</v>
      </c>
      <c r="P139" s="14">
        <v>0.29486710077212203</v>
      </c>
      <c r="Q139" s="14">
        <v>0.305683412350786</v>
      </c>
      <c r="R139" s="14"/>
      <c r="S139" s="14">
        <v>0.44630749038696499</v>
      </c>
      <c r="T139" s="14">
        <v>0.30527444789224001</v>
      </c>
      <c r="U139" s="14">
        <v>0.30588165876094903</v>
      </c>
      <c r="V139" s="14">
        <v>0.21401877975752301</v>
      </c>
      <c r="W139" s="14">
        <v>0.29557919456974102</v>
      </c>
      <c r="X139" s="14">
        <v>0.33444581249644101</v>
      </c>
      <c r="Y139" s="14">
        <v>0.33768745971092401</v>
      </c>
      <c r="Z139" s="14">
        <v>0.383818207383125</v>
      </c>
      <c r="AA139" s="14">
        <v>0.29489209807081201</v>
      </c>
      <c r="AB139" s="14"/>
      <c r="AC139" s="14">
        <v>0.27251798225457202</v>
      </c>
      <c r="AD139" s="14">
        <v>0.246842478411822</v>
      </c>
      <c r="AE139" s="14">
        <v>0.35874493593345602</v>
      </c>
      <c r="AF139" s="14">
        <v>0.49054506267458498</v>
      </c>
      <c r="AG139" s="14">
        <v>0.56461183041528995</v>
      </c>
      <c r="AH139" s="14"/>
      <c r="AI139" s="14">
        <v>0.38250546351012299</v>
      </c>
      <c r="AJ139" s="14">
        <v>0.37565666453313301</v>
      </c>
      <c r="AK139" s="14">
        <v>0.26087146090885199</v>
      </c>
      <c r="AL139" s="14">
        <v>0.24954410060374899</v>
      </c>
      <c r="AM139" s="14">
        <v>0.30169758497113602</v>
      </c>
      <c r="AN139" s="14">
        <v>0.28875911709107499</v>
      </c>
      <c r="AO139" s="14"/>
      <c r="AP139" s="14">
        <v>0.32554113648108801</v>
      </c>
      <c r="AQ139" s="14">
        <v>0.324527721913281</v>
      </c>
      <c r="AR139" s="14"/>
      <c r="AS139" s="14" t="s">
        <v>88</v>
      </c>
      <c r="AT139" s="14" t="s">
        <v>88</v>
      </c>
      <c r="AU139" s="14">
        <v>0.32478850607368998</v>
      </c>
      <c r="AV139" s="14"/>
      <c r="AW139" s="14">
        <v>0.30665753172903898</v>
      </c>
      <c r="AX139" s="14">
        <v>0.51576046626266803</v>
      </c>
      <c r="AY139" s="14"/>
      <c r="AZ139" s="14">
        <v>0.34877265078610598</v>
      </c>
      <c r="BA139" s="14">
        <v>0.233971765386669</v>
      </c>
    </row>
    <row r="140" spans="2:53" x14ac:dyDescent="0.35">
      <c r="B140" t="s">
        <v>77</v>
      </c>
      <c r="C140" s="14">
        <v>0.42337628004641598</v>
      </c>
      <c r="D140" s="14">
        <v>0.42124419141180097</v>
      </c>
      <c r="E140" s="14">
        <v>0.42612660775352801</v>
      </c>
      <c r="F140" s="14"/>
      <c r="G140" s="14">
        <v>0.37788578674971901</v>
      </c>
      <c r="H140" s="14">
        <v>0.40116908795300998</v>
      </c>
      <c r="I140" s="14">
        <v>0.37742663631458301</v>
      </c>
      <c r="J140" s="14">
        <v>0.46925289574394602</v>
      </c>
      <c r="K140" s="14">
        <v>0.420837818961114</v>
      </c>
      <c r="L140" s="14">
        <v>0.54023959696065305</v>
      </c>
      <c r="M140" s="14"/>
      <c r="N140" s="14">
        <v>0.43220848443663901</v>
      </c>
      <c r="O140" s="14">
        <v>0.48792301728806098</v>
      </c>
      <c r="P140" s="14">
        <v>0.39360620025240101</v>
      </c>
      <c r="Q140" s="14">
        <v>0.38286902595133498</v>
      </c>
      <c r="R140" s="14"/>
      <c r="S140" s="14">
        <v>0.34950188474895</v>
      </c>
      <c r="T140" s="14">
        <v>0.359718662239848</v>
      </c>
      <c r="U140" s="14">
        <v>0.39557449045601301</v>
      </c>
      <c r="V140" s="14">
        <v>0.507263076828814</v>
      </c>
      <c r="W140" s="14">
        <v>0.47522908715808498</v>
      </c>
      <c r="X140" s="14">
        <v>0.38611662240456601</v>
      </c>
      <c r="Y140" s="14">
        <v>0.43594996742543501</v>
      </c>
      <c r="Z140" s="14">
        <v>0.38462833789625001</v>
      </c>
      <c r="AA140" s="14">
        <v>0.53067057307598398</v>
      </c>
      <c r="AB140" s="14"/>
      <c r="AC140" s="14">
        <v>0.442278737265761</v>
      </c>
      <c r="AD140" s="14">
        <v>0.44209381792546698</v>
      </c>
      <c r="AE140" s="14">
        <v>0.41627416045789101</v>
      </c>
      <c r="AF140" s="14">
        <v>0.35284293459291199</v>
      </c>
      <c r="AG140" s="14">
        <v>0.36639503548549601</v>
      </c>
      <c r="AH140" s="14"/>
      <c r="AI140" s="14">
        <v>0.37177315633435098</v>
      </c>
      <c r="AJ140" s="14">
        <v>0.41608079196917502</v>
      </c>
      <c r="AK140" s="14">
        <v>0.53703797928512698</v>
      </c>
      <c r="AL140" s="14">
        <v>0.43643740278347298</v>
      </c>
      <c r="AM140" s="14">
        <v>0.46511157835451</v>
      </c>
      <c r="AN140" s="14">
        <v>0.474085599487299</v>
      </c>
      <c r="AO140" s="14"/>
      <c r="AP140" s="14">
        <v>0.43203577305157198</v>
      </c>
      <c r="AQ140" s="14">
        <v>0.415624791251479</v>
      </c>
      <c r="AR140" s="14"/>
      <c r="AS140" s="14" t="s">
        <v>88</v>
      </c>
      <c r="AT140" s="14" t="s">
        <v>88</v>
      </c>
      <c r="AU140" s="14">
        <v>0.42337628004641598</v>
      </c>
      <c r="AV140" s="14"/>
      <c r="AW140" s="14">
        <v>0.447409999124744</v>
      </c>
      <c r="AX140" s="14">
        <v>0.35388393706944399</v>
      </c>
      <c r="AY140" s="14"/>
      <c r="AZ140" s="14">
        <v>0.42234575907691002</v>
      </c>
      <c r="BA140" s="14">
        <v>0.43179333210113102</v>
      </c>
    </row>
    <row r="141" spans="2:53" x14ac:dyDescent="0.35">
      <c r="B141" t="s">
        <v>78</v>
      </c>
      <c r="C141" s="14">
        <v>0.196327958232312</v>
      </c>
      <c r="D141" s="14">
        <v>0.17063546368705801</v>
      </c>
      <c r="E141" s="14">
        <v>0.22055599791292399</v>
      </c>
      <c r="F141" s="14"/>
      <c r="G141" s="14">
        <v>0.43925619550893402</v>
      </c>
      <c r="H141" s="14">
        <v>0.21985838481097</v>
      </c>
      <c r="I141" s="14">
        <v>0.159182284079803</v>
      </c>
      <c r="J141" s="14">
        <v>0.204865073242229</v>
      </c>
      <c r="K141" s="14">
        <v>0.26422324522273699</v>
      </c>
      <c r="L141" s="14">
        <v>0.21060143321786601</v>
      </c>
      <c r="M141" s="14"/>
      <c r="N141" s="14">
        <v>0.145513036354462</v>
      </c>
      <c r="O141" s="14">
        <v>0.175954136220527</v>
      </c>
      <c r="P141" s="14">
        <v>0.24851389647974301</v>
      </c>
      <c r="Q141" s="14">
        <v>0.225699044948312</v>
      </c>
      <c r="R141" s="14"/>
      <c r="S141" s="14">
        <v>0.13481353658418699</v>
      </c>
      <c r="T141" s="14">
        <v>0.251398303228003</v>
      </c>
      <c r="U141" s="14">
        <v>0.26151976891970002</v>
      </c>
      <c r="V141" s="14">
        <v>0.192735735575292</v>
      </c>
      <c r="W141" s="14">
        <v>0.20295246857365601</v>
      </c>
      <c r="X141" s="14">
        <v>0.231364122995983</v>
      </c>
      <c r="Y141" s="14">
        <v>0.19271311893151</v>
      </c>
      <c r="Z141" s="14">
        <v>0.139705131040671</v>
      </c>
      <c r="AA141" s="14">
        <v>0.15029559809305801</v>
      </c>
      <c r="AB141" s="14"/>
      <c r="AC141" s="14">
        <v>0.23822021717410899</v>
      </c>
      <c r="AD141" s="14">
        <v>0.27206363620464302</v>
      </c>
      <c r="AE141" s="14">
        <v>0.172790326105182</v>
      </c>
      <c r="AF141" s="14">
        <v>0.12403570886687899</v>
      </c>
      <c r="AG141" s="14">
        <v>6.2024248935219198E-2</v>
      </c>
      <c r="AH141" s="14"/>
      <c r="AI141" s="14">
        <v>0.20752003065357499</v>
      </c>
      <c r="AJ141" s="14">
        <v>0.13341155793562401</v>
      </c>
      <c r="AK141" s="14">
        <v>0.16164210421146699</v>
      </c>
      <c r="AL141" s="14">
        <v>0.24545051875030599</v>
      </c>
      <c r="AM141" s="14">
        <v>0.12882193393694699</v>
      </c>
      <c r="AN141" s="14">
        <v>0.19306330581974901</v>
      </c>
      <c r="AO141" s="14"/>
      <c r="AP141" s="14">
        <v>0.189678737018141</v>
      </c>
      <c r="AQ141" s="14">
        <v>0.204935283791052</v>
      </c>
      <c r="AR141" s="14"/>
      <c r="AS141" s="14" t="s">
        <v>88</v>
      </c>
      <c r="AT141" s="14" t="s">
        <v>88</v>
      </c>
      <c r="AU141" s="14">
        <v>0.196327958232312</v>
      </c>
      <c r="AV141" s="14"/>
      <c r="AW141" s="14">
        <v>0.199462905842935</v>
      </c>
      <c r="AX141" s="14">
        <v>0.10077030257523199</v>
      </c>
      <c r="AY141" s="14"/>
      <c r="AZ141" s="14">
        <v>0.180864108262558</v>
      </c>
      <c r="BA141" s="14">
        <v>0.254710281240977</v>
      </c>
    </row>
    <row r="142" spans="2:53" x14ac:dyDescent="0.35">
      <c r="B142" t="s">
        <v>79</v>
      </c>
      <c r="C142" s="14">
        <v>4.1236035344118599E-2</v>
      </c>
      <c r="D142" s="14">
        <v>3.9005486667077399E-2</v>
      </c>
      <c r="E142" s="14">
        <v>4.35070133735675E-2</v>
      </c>
      <c r="F142" s="14"/>
      <c r="G142" s="14">
        <v>0</v>
      </c>
      <c r="H142" s="14">
        <v>5.6967407999305598E-3</v>
      </c>
      <c r="I142" s="14">
        <v>2.1822427462909601E-2</v>
      </c>
      <c r="J142" s="14">
        <v>5.8464598092602099E-2</v>
      </c>
      <c r="K142" s="14">
        <v>7.9812500043435194E-2</v>
      </c>
      <c r="L142" s="14">
        <v>0</v>
      </c>
      <c r="M142" s="14"/>
      <c r="N142" s="14">
        <v>2.3649977481069898E-2</v>
      </c>
      <c r="O142" s="14">
        <v>3.27950849682907E-2</v>
      </c>
      <c r="P142" s="14">
        <v>5.31933739582027E-2</v>
      </c>
      <c r="Q142" s="14">
        <v>5.9132663729211603E-2</v>
      </c>
      <c r="R142" s="14"/>
      <c r="S142" s="14">
        <v>5.8390065879355198E-2</v>
      </c>
      <c r="T142" s="14">
        <v>7.1012402653633899E-2</v>
      </c>
      <c r="U142" s="14">
        <v>2.40449586342565E-2</v>
      </c>
      <c r="V142" s="14">
        <v>5.8451527437170303E-2</v>
      </c>
      <c r="W142" s="14">
        <v>2.6239249698517798E-2</v>
      </c>
      <c r="X142" s="14">
        <v>3.0931279956470999E-2</v>
      </c>
      <c r="Y142" s="14">
        <v>2.9638536211563801E-2</v>
      </c>
      <c r="Z142" s="14">
        <v>2.3917693564747201E-2</v>
      </c>
      <c r="AA142" s="14">
        <v>1.9360436797220701E-2</v>
      </c>
      <c r="AB142" s="14"/>
      <c r="AC142" s="14">
        <v>4.1385029346752797E-2</v>
      </c>
      <c r="AD142" s="14">
        <v>3.4725277310334701E-2</v>
      </c>
      <c r="AE142" s="14">
        <v>3.3981110750969899E-2</v>
      </c>
      <c r="AF142" s="14">
        <v>2.86647176929604E-2</v>
      </c>
      <c r="AG142" s="14">
        <v>6.9688851639947702E-3</v>
      </c>
      <c r="AH142" s="14"/>
      <c r="AI142" s="14">
        <v>3.1401722492796401E-2</v>
      </c>
      <c r="AJ142" s="14">
        <v>5.4273538621465202E-2</v>
      </c>
      <c r="AK142" s="14">
        <v>3.4705002686834997E-2</v>
      </c>
      <c r="AL142" s="14">
        <v>5.4370451466295197E-2</v>
      </c>
      <c r="AM142" s="14">
        <v>7.8093863917680501E-2</v>
      </c>
      <c r="AN142" s="14">
        <v>1.2141577804191899E-2</v>
      </c>
      <c r="AO142" s="14"/>
      <c r="AP142" s="14">
        <v>4.1647089120148799E-2</v>
      </c>
      <c r="AQ142" s="14">
        <v>3.8826523364102201E-2</v>
      </c>
      <c r="AR142" s="14"/>
      <c r="AS142" s="14" t="s">
        <v>88</v>
      </c>
      <c r="AT142" s="14" t="s">
        <v>88</v>
      </c>
      <c r="AU142" s="14">
        <v>4.1236035344118599E-2</v>
      </c>
      <c r="AV142" s="14"/>
      <c r="AW142" s="14">
        <v>3.4684445761768698E-2</v>
      </c>
      <c r="AX142" s="14">
        <v>2.3294035334442301E-2</v>
      </c>
      <c r="AY142" s="14"/>
      <c r="AZ142" s="14">
        <v>3.8185819348241001E-2</v>
      </c>
      <c r="BA142" s="14">
        <v>5.2779539808068002E-2</v>
      </c>
    </row>
    <row r="143" spans="2:53" x14ac:dyDescent="0.35">
      <c r="B143" t="s">
        <v>80</v>
      </c>
      <c r="C143" s="14">
        <v>1.42712203034637E-2</v>
      </c>
      <c r="D143" s="14">
        <v>9.0811022019872192E-3</v>
      </c>
      <c r="E143" s="14">
        <v>1.94321162771828E-2</v>
      </c>
      <c r="F143" s="14"/>
      <c r="G143" s="14">
        <v>0.182858017741347</v>
      </c>
      <c r="H143" s="14">
        <v>0</v>
      </c>
      <c r="I143" s="14">
        <v>2.0605666418570999E-2</v>
      </c>
      <c r="J143" s="14">
        <v>1.3614318386438199E-2</v>
      </c>
      <c r="K143" s="14">
        <v>0</v>
      </c>
      <c r="L143" s="14">
        <v>3.1048138768503899E-2</v>
      </c>
      <c r="M143" s="14"/>
      <c r="N143" s="14">
        <v>9.9963537059279701E-3</v>
      </c>
      <c r="O143" s="14">
        <v>7.3405555821312403E-3</v>
      </c>
      <c r="P143" s="14">
        <v>9.8194285375317897E-3</v>
      </c>
      <c r="Q143" s="14">
        <v>2.66158530203554E-2</v>
      </c>
      <c r="R143" s="14"/>
      <c r="S143" s="14">
        <v>1.09870224005426E-2</v>
      </c>
      <c r="T143" s="14">
        <v>1.25961839862751E-2</v>
      </c>
      <c r="U143" s="14">
        <v>1.29791232290806E-2</v>
      </c>
      <c r="V143" s="14">
        <v>2.75308804012004E-2</v>
      </c>
      <c r="W143" s="14">
        <v>0</v>
      </c>
      <c r="X143" s="14">
        <v>1.71421621465387E-2</v>
      </c>
      <c r="Y143" s="14">
        <v>4.0109177205673698E-3</v>
      </c>
      <c r="Z143" s="14">
        <v>6.7930630115205407E-2</v>
      </c>
      <c r="AA143" s="14">
        <v>4.7812939629247797E-3</v>
      </c>
      <c r="AB143" s="14"/>
      <c r="AC143" s="14">
        <v>5.5980339588046803E-3</v>
      </c>
      <c r="AD143" s="14">
        <v>4.2747901477337598E-3</v>
      </c>
      <c r="AE143" s="14">
        <v>1.8209466752500798E-2</v>
      </c>
      <c r="AF143" s="14">
        <v>3.9115761726628701E-3</v>
      </c>
      <c r="AG143" s="14">
        <v>0</v>
      </c>
      <c r="AH143" s="14"/>
      <c r="AI143" s="14">
        <v>6.7996270091539796E-3</v>
      </c>
      <c r="AJ143" s="14">
        <v>2.05774469406028E-2</v>
      </c>
      <c r="AK143" s="14">
        <v>5.7434529077191399E-3</v>
      </c>
      <c r="AL143" s="14">
        <v>1.41975263961762E-2</v>
      </c>
      <c r="AM143" s="14">
        <v>2.6275038819726301E-2</v>
      </c>
      <c r="AN143" s="14">
        <v>3.1950399797684798E-2</v>
      </c>
      <c r="AO143" s="14"/>
      <c r="AP143" s="14">
        <v>1.10972643290497E-2</v>
      </c>
      <c r="AQ143" s="14">
        <v>1.6085679680085001E-2</v>
      </c>
      <c r="AR143" s="14"/>
      <c r="AS143" s="14" t="s">
        <v>88</v>
      </c>
      <c r="AT143" s="14" t="s">
        <v>88</v>
      </c>
      <c r="AU143" s="14">
        <v>1.42712203034637E-2</v>
      </c>
      <c r="AV143" s="14"/>
      <c r="AW143" s="14">
        <v>1.17851175415135E-2</v>
      </c>
      <c r="AX143" s="14">
        <v>6.2912587582130202E-3</v>
      </c>
      <c r="AY143" s="14"/>
      <c r="AZ143" s="14">
        <v>9.8316625261839503E-3</v>
      </c>
      <c r="BA143" s="14">
        <v>2.6745081463155702E-2</v>
      </c>
    </row>
    <row r="144" spans="2:53" x14ac:dyDescent="0.35">
      <c r="B144" t="s">
        <v>81</v>
      </c>
      <c r="C144" s="14">
        <v>0.74816478612010595</v>
      </c>
      <c r="D144" s="14">
        <v>0.78127794744387702</v>
      </c>
      <c r="E144" s="14">
        <v>0.71650487243632599</v>
      </c>
      <c r="F144" s="14"/>
      <c r="G144" s="14">
        <v>0.37788578674971901</v>
      </c>
      <c r="H144" s="14">
        <v>0.77444487438909904</v>
      </c>
      <c r="I144" s="14">
        <v>0.798389622038716</v>
      </c>
      <c r="J144" s="14">
        <v>0.72305601027873101</v>
      </c>
      <c r="K144" s="14">
        <v>0.65596425473382802</v>
      </c>
      <c r="L144" s="14">
        <v>0.75835042801362995</v>
      </c>
      <c r="M144" s="14"/>
      <c r="N144" s="14">
        <v>0.82084063245854</v>
      </c>
      <c r="O144" s="14">
        <v>0.78391022322905102</v>
      </c>
      <c r="P144" s="14">
        <v>0.68847330102452298</v>
      </c>
      <c r="Q144" s="14">
        <v>0.68855243830212098</v>
      </c>
      <c r="R144" s="14"/>
      <c r="S144" s="14">
        <v>0.79580937513591499</v>
      </c>
      <c r="T144" s="14">
        <v>0.66499311013208795</v>
      </c>
      <c r="U144" s="14">
        <v>0.70145614921696198</v>
      </c>
      <c r="V144" s="14">
        <v>0.72128185658633703</v>
      </c>
      <c r="W144" s="14">
        <v>0.77080828172782601</v>
      </c>
      <c r="X144" s="14">
        <v>0.72056243490100702</v>
      </c>
      <c r="Y144" s="14">
        <v>0.77363742713635897</v>
      </c>
      <c r="Z144" s="14">
        <v>0.76844654527937595</v>
      </c>
      <c r="AA144" s="14">
        <v>0.82556267114679605</v>
      </c>
      <c r="AB144" s="14"/>
      <c r="AC144" s="14">
        <v>0.71479671952033297</v>
      </c>
      <c r="AD144" s="14">
        <v>0.68893629633728903</v>
      </c>
      <c r="AE144" s="14">
        <v>0.77501909639134703</v>
      </c>
      <c r="AF144" s="14">
        <v>0.84338799726749802</v>
      </c>
      <c r="AG144" s="14">
        <v>0.93100686590078596</v>
      </c>
      <c r="AH144" s="14"/>
      <c r="AI144" s="14">
        <v>0.75427861984447397</v>
      </c>
      <c r="AJ144" s="14">
        <v>0.79173745650230798</v>
      </c>
      <c r="AK144" s="14">
        <v>0.79790944019397803</v>
      </c>
      <c r="AL144" s="14">
        <v>0.68598150338722197</v>
      </c>
      <c r="AM144" s="14">
        <v>0.76680916332564597</v>
      </c>
      <c r="AN144" s="14">
        <v>0.76284471657837405</v>
      </c>
      <c r="AO144" s="14"/>
      <c r="AP144" s="14">
        <v>0.75757690953265999</v>
      </c>
      <c r="AQ144" s="14">
        <v>0.74015251316476005</v>
      </c>
      <c r="AR144" s="14"/>
      <c r="AS144" s="14" t="s">
        <v>88</v>
      </c>
      <c r="AT144" s="14" t="s">
        <v>88</v>
      </c>
      <c r="AU144" s="14">
        <v>0.74816478612010595</v>
      </c>
      <c r="AV144" s="14"/>
      <c r="AW144" s="14">
        <v>0.75406753085378297</v>
      </c>
      <c r="AX144" s="14">
        <v>0.86964440333211201</v>
      </c>
      <c r="AY144" s="14"/>
      <c r="AZ144" s="14">
        <v>0.77111840986301705</v>
      </c>
      <c r="BA144" s="14">
        <v>0.665765097487799</v>
      </c>
    </row>
    <row r="145" spans="2:53" x14ac:dyDescent="0.35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</row>
    <row r="146" spans="2:53" x14ac:dyDescent="0.35">
      <c r="B146" s="6" t="s">
        <v>93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</row>
    <row r="147" spans="2:53" x14ac:dyDescent="0.35">
      <c r="B147" s="24" t="s">
        <v>101</v>
      </c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</row>
    <row r="148" spans="2:53" x14ac:dyDescent="0.35">
      <c r="B148" t="s">
        <v>76</v>
      </c>
      <c r="C148" s="14">
        <v>0.32849688761708901</v>
      </c>
      <c r="D148" s="14">
        <v>0.35800612862689601</v>
      </c>
      <c r="E148" s="14">
        <v>0.29977214889587001</v>
      </c>
      <c r="F148" s="14"/>
      <c r="G148" s="14">
        <v>0.182858017741347</v>
      </c>
      <c r="H148" s="14">
        <v>0.32135341603753598</v>
      </c>
      <c r="I148" s="14">
        <v>0.372533153153771</v>
      </c>
      <c r="J148" s="14">
        <v>0.30009036327259397</v>
      </c>
      <c r="K148" s="14">
        <v>0.27340147018697403</v>
      </c>
      <c r="L148" s="14">
        <v>0.40018633255118302</v>
      </c>
      <c r="M148" s="14"/>
      <c r="N148" s="14">
        <v>0.36272842136790201</v>
      </c>
      <c r="O148" s="14">
        <v>0.29533971720213698</v>
      </c>
      <c r="P148" s="14">
        <v>0.30032299658741202</v>
      </c>
      <c r="Q148" s="14">
        <v>0.35257666051404601</v>
      </c>
      <c r="R148" s="14"/>
      <c r="S148" s="14">
        <v>0.37417130288982597</v>
      </c>
      <c r="T148" s="14">
        <v>0.31555257193221098</v>
      </c>
      <c r="U148" s="14">
        <v>0.241602667892651</v>
      </c>
      <c r="V148" s="14">
        <v>0.23732670193229299</v>
      </c>
      <c r="W148" s="14">
        <v>0.39801469170488502</v>
      </c>
      <c r="X148" s="14">
        <v>0.39301277730958201</v>
      </c>
      <c r="Y148" s="14">
        <v>0.31092465810375702</v>
      </c>
      <c r="Z148" s="14">
        <v>0.48103206734197002</v>
      </c>
      <c r="AA148" s="14">
        <v>0.28379332545311797</v>
      </c>
      <c r="AB148" s="14"/>
      <c r="AC148" s="14">
        <v>0.30138370113130802</v>
      </c>
      <c r="AD148" s="14">
        <v>0.26175856776630602</v>
      </c>
      <c r="AE148" s="14">
        <v>0.35819867862132498</v>
      </c>
      <c r="AF148" s="14">
        <v>0.428523632845069</v>
      </c>
      <c r="AG148" s="14">
        <v>0.36637178124069297</v>
      </c>
      <c r="AH148" s="14"/>
      <c r="AI148" s="14">
        <v>0.38268556411856403</v>
      </c>
      <c r="AJ148" s="14">
        <v>0.299411109968999</v>
      </c>
      <c r="AK148" s="14">
        <v>0.32492516876303201</v>
      </c>
      <c r="AL148" s="14">
        <v>0.31071511368405902</v>
      </c>
      <c r="AM148" s="14">
        <v>0.31285179352648501</v>
      </c>
      <c r="AN148" s="14">
        <v>0.24518384921897601</v>
      </c>
      <c r="AO148" s="14"/>
      <c r="AP148" s="14">
        <v>0.36207565823995502</v>
      </c>
      <c r="AQ148" s="14">
        <v>0.291751503637042</v>
      </c>
      <c r="AR148" s="14"/>
      <c r="AS148" s="14" t="s">
        <v>88</v>
      </c>
      <c r="AT148" s="14" t="s">
        <v>88</v>
      </c>
      <c r="AU148" s="14">
        <v>0.32849688761708901</v>
      </c>
      <c r="AV148" s="14"/>
      <c r="AW148" s="14">
        <v>0.31382020889045398</v>
      </c>
      <c r="AX148" s="14">
        <v>0.43972372016682998</v>
      </c>
      <c r="AY148" s="14"/>
      <c r="AZ148" s="14">
        <v>0.34673982710961199</v>
      </c>
      <c r="BA148" s="14">
        <v>0.26207570331448299</v>
      </c>
    </row>
    <row r="149" spans="2:53" x14ac:dyDescent="0.35">
      <c r="B149" t="s">
        <v>77</v>
      </c>
      <c r="C149" s="14">
        <v>0.38879997410054801</v>
      </c>
      <c r="D149" s="14">
        <v>0.39189251172495598</v>
      </c>
      <c r="E149" s="14">
        <v>0.38632458435762701</v>
      </c>
      <c r="F149" s="14"/>
      <c r="G149" s="14">
        <v>0.81714198225865298</v>
      </c>
      <c r="H149" s="14">
        <v>0.49877519209940402</v>
      </c>
      <c r="I149" s="14">
        <v>0.35166788266618698</v>
      </c>
      <c r="J149" s="14">
        <v>0.39206102471140702</v>
      </c>
      <c r="K149" s="14">
        <v>0.40789109056633099</v>
      </c>
      <c r="L149" s="14">
        <v>0.433420841946697</v>
      </c>
      <c r="M149" s="14"/>
      <c r="N149" s="14">
        <v>0.39439508296557302</v>
      </c>
      <c r="O149" s="14">
        <v>0.43440140339389599</v>
      </c>
      <c r="P149" s="14">
        <v>0.43204033705523198</v>
      </c>
      <c r="Q149" s="14">
        <v>0.298021815844004</v>
      </c>
      <c r="R149" s="14"/>
      <c r="S149" s="14">
        <v>0.406290449758542</v>
      </c>
      <c r="T149" s="14">
        <v>0.35731308345739099</v>
      </c>
      <c r="U149" s="14">
        <v>0.53020273003304197</v>
      </c>
      <c r="V149" s="14">
        <v>0.44479355832965001</v>
      </c>
      <c r="W149" s="14">
        <v>0.30331984081855001</v>
      </c>
      <c r="X149" s="14">
        <v>0.39803675258725602</v>
      </c>
      <c r="Y149" s="14">
        <v>0.40564700458344999</v>
      </c>
      <c r="Z149" s="14">
        <v>0.18811135557438</v>
      </c>
      <c r="AA149" s="14">
        <v>0.37510323324950601</v>
      </c>
      <c r="AB149" s="14"/>
      <c r="AC149" s="14">
        <v>0.35079919166253698</v>
      </c>
      <c r="AD149" s="14">
        <v>0.419766736919431</v>
      </c>
      <c r="AE149" s="14">
        <v>0.40019586844416499</v>
      </c>
      <c r="AF149" s="14">
        <v>0.34502733942671399</v>
      </c>
      <c r="AG149" s="14">
        <v>0.46795977157400098</v>
      </c>
      <c r="AH149" s="14"/>
      <c r="AI149" s="14">
        <v>0.34749817225916901</v>
      </c>
      <c r="AJ149" s="14">
        <v>0.42635383059396997</v>
      </c>
      <c r="AK149" s="14">
        <v>0.42168630970959198</v>
      </c>
      <c r="AL149" s="14">
        <v>0.40231144859947998</v>
      </c>
      <c r="AM149" s="14">
        <v>0.33033065336262402</v>
      </c>
      <c r="AN149" s="14">
        <v>0.51393114039320298</v>
      </c>
      <c r="AO149" s="14"/>
      <c r="AP149" s="14">
        <v>0.39096127795382102</v>
      </c>
      <c r="AQ149" s="14">
        <v>0.38830713478740603</v>
      </c>
      <c r="AR149" s="14"/>
      <c r="AS149" s="14" t="s">
        <v>88</v>
      </c>
      <c r="AT149" s="14" t="s">
        <v>88</v>
      </c>
      <c r="AU149" s="14">
        <v>0.38879997410054801</v>
      </c>
      <c r="AV149" s="14"/>
      <c r="AW149" s="14">
        <v>0.40545983259587098</v>
      </c>
      <c r="AX149" s="14">
        <v>0.34205742176232201</v>
      </c>
      <c r="AY149" s="14"/>
      <c r="AZ149" s="14">
        <v>0.394883965595558</v>
      </c>
      <c r="BA149" s="14">
        <v>0.370971880406476</v>
      </c>
    </row>
    <row r="150" spans="2:53" x14ac:dyDescent="0.35">
      <c r="B150" t="s">
        <v>78</v>
      </c>
      <c r="C150" s="14">
        <v>0.198995639808904</v>
      </c>
      <c r="D150" s="14">
        <v>0.18973994267938599</v>
      </c>
      <c r="E150" s="14">
        <v>0.20846119361684401</v>
      </c>
      <c r="F150" s="14"/>
      <c r="G150" s="14">
        <v>0</v>
      </c>
      <c r="H150" s="14">
        <v>0.16634121798927901</v>
      </c>
      <c r="I150" s="14">
        <v>0.19646064320509701</v>
      </c>
      <c r="J150" s="14">
        <v>0.203677467300898</v>
      </c>
      <c r="K150" s="14">
        <v>0.23973104581597199</v>
      </c>
      <c r="L150" s="14">
        <v>6.7647344578217597E-2</v>
      </c>
      <c r="M150" s="14"/>
      <c r="N150" s="14">
        <v>0.17717285709962399</v>
      </c>
      <c r="O150" s="14">
        <v>0.215482568742835</v>
      </c>
      <c r="P150" s="14">
        <v>0.18638189161836699</v>
      </c>
      <c r="Q150" s="14">
        <v>0.21605457123372199</v>
      </c>
      <c r="R150" s="14"/>
      <c r="S150" s="14">
        <v>0.147851632032441</v>
      </c>
      <c r="T150" s="14">
        <v>0.22829440792927999</v>
      </c>
      <c r="U150" s="14">
        <v>0.15693277185482199</v>
      </c>
      <c r="V150" s="14">
        <v>0.22361673720525499</v>
      </c>
      <c r="W150" s="14">
        <v>0.18043580911895499</v>
      </c>
      <c r="X150" s="14">
        <v>0.138884178282763</v>
      </c>
      <c r="Y150" s="14">
        <v>0.228058542507799</v>
      </c>
      <c r="Z150" s="14">
        <v>0.26904781964685398</v>
      </c>
      <c r="AA150" s="14">
        <v>0.244638271503437</v>
      </c>
      <c r="AB150" s="14"/>
      <c r="AC150" s="14">
        <v>0.238116913436</v>
      </c>
      <c r="AD150" s="14">
        <v>0.249089749731154</v>
      </c>
      <c r="AE150" s="14">
        <v>0.17858514819010099</v>
      </c>
      <c r="AF150" s="14">
        <v>0.175580960904203</v>
      </c>
      <c r="AG150" s="14">
        <v>0.16566844718530599</v>
      </c>
      <c r="AH150" s="14"/>
      <c r="AI150" s="14">
        <v>0.19375399004882499</v>
      </c>
      <c r="AJ150" s="14">
        <v>0.16385756077750999</v>
      </c>
      <c r="AK150" s="14">
        <v>0.148989304447016</v>
      </c>
      <c r="AL150" s="14">
        <v>0.222307668996024</v>
      </c>
      <c r="AM150" s="14">
        <v>0.31296598254616698</v>
      </c>
      <c r="AN150" s="14">
        <v>0.18519983493488301</v>
      </c>
      <c r="AO150" s="14"/>
      <c r="AP150" s="14">
        <v>0.174302444666314</v>
      </c>
      <c r="AQ150" s="14">
        <v>0.22720741608296599</v>
      </c>
      <c r="AR150" s="14"/>
      <c r="AS150" s="14" t="s">
        <v>88</v>
      </c>
      <c r="AT150" s="14" t="s">
        <v>88</v>
      </c>
      <c r="AU150" s="14">
        <v>0.198995639808904</v>
      </c>
      <c r="AV150" s="14"/>
      <c r="AW150" s="14">
        <v>0.20708554667499099</v>
      </c>
      <c r="AX150" s="14">
        <v>0.14154164645530101</v>
      </c>
      <c r="AY150" s="14"/>
      <c r="AZ150" s="14">
        <v>0.18553095436929401</v>
      </c>
      <c r="BA150" s="14">
        <v>0.25013974394959698</v>
      </c>
    </row>
    <row r="151" spans="2:53" x14ac:dyDescent="0.35">
      <c r="B151" t="s">
        <v>79</v>
      </c>
      <c r="C151" s="14">
        <v>7.2609028257810806E-2</v>
      </c>
      <c r="D151" s="14">
        <v>4.9277238119636801E-2</v>
      </c>
      <c r="E151" s="14">
        <v>9.4312698017492994E-2</v>
      </c>
      <c r="F151" s="14"/>
      <c r="G151" s="14">
        <v>0</v>
      </c>
      <c r="H151" s="14">
        <v>1.35301738737812E-2</v>
      </c>
      <c r="I151" s="14">
        <v>6.5614335820143505E-2</v>
      </c>
      <c r="J151" s="14">
        <v>8.9120541434945494E-2</v>
      </c>
      <c r="K151" s="14">
        <v>7.8976393430722894E-2</v>
      </c>
      <c r="L151" s="14">
        <v>9.8745480923902895E-2</v>
      </c>
      <c r="M151" s="14"/>
      <c r="N151" s="14">
        <v>5.8928341596771898E-2</v>
      </c>
      <c r="O151" s="14">
        <v>5.2621555910673301E-2</v>
      </c>
      <c r="P151" s="14">
        <v>7.5514647059203494E-2</v>
      </c>
      <c r="Q151" s="14">
        <v>0.106978294346397</v>
      </c>
      <c r="R151" s="14"/>
      <c r="S151" s="14">
        <v>5.90172522150526E-2</v>
      </c>
      <c r="T151" s="14">
        <v>8.5644470776594997E-2</v>
      </c>
      <c r="U151" s="14">
        <v>4.8066414628220699E-2</v>
      </c>
      <c r="V151" s="14">
        <v>8.6381695306637099E-2</v>
      </c>
      <c r="W151" s="14">
        <v>0.118229658357609</v>
      </c>
      <c r="X151" s="14">
        <v>5.6806499754914502E-2</v>
      </c>
      <c r="Y151" s="14">
        <v>5.5369794804993697E-2</v>
      </c>
      <c r="Z151" s="14">
        <v>1.1055113003468999E-2</v>
      </c>
      <c r="AA151" s="14">
        <v>9.6465169793939903E-2</v>
      </c>
      <c r="AB151" s="14"/>
      <c r="AC151" s="14">
        <v>0.104102159811351</v>
      </c>
      <c r="AD151" s="14">
        <v>6.4624629814663506E-2</v>
      </c>
      <c r="AE151" s="14">
        <v>5.9810691282467597E-2</v>
      </c>
      <c r="AF151" s="14">
        <v>4.69564906513509E-2</v>
      </c>
      <c r="AG151" s="14">
        <v>0</v>
      </c>
      <c r="AH151" s="14"/>
      <c r="AI151" s="14">
        <v>6.7391495080831296E-2</v>
      </c>
      <c r="AJ151" s="14">
        <v>0.104810378897663</v>
      </c>
      <c r="AK151" s="14">
        <v>9.8655764172640395E-2</v>
      </c>
      <c r="AL151" s="14">
        <v>5.0582178419570703E-2</v>
      </c>
      <c r="AM151" s="14">
        <v>1.75765317449974E-2</v>
      </c>
      <c r="AN151" s="14">
        <v>3.8716144979087E-2</v>
      </c>
      <c r="AO151" s="14"/>
      <c r="AP151" s="14">
        <v>6.7824036642193497E-2</v>
      </c>
      <c r="AQ151" s="14">
        <v>7.6304198796666903E-2</v>
      </c>
      <c r="AR151" s="14"/>
      <c r="AS151" s="14" t="s">
        <v>88</v>
      </c>
      <c r="AT151" s="14" t="s">
        <v>88</v>
      </c>
      <c r="AU151" s="14">
        <v>7.2609028257810806E-2</v>
      </c>
      <c r="AV151" s="14"/>
      <c r="AW151" s="14">
        <v>6.7280264636214199E-2</v>
      </c>
      <c r="AX151" s="14">
        <v>6.4608746683741697E-2</v>
      </c>
      <c r="AY151" s="14"/>
      <c r="AZ151" s="14">
        <v>6.59687861887433E-2</v>
      </c>
      <c r="BA151" s="14">
        <v>9.4066227776106501E-2</v>
      </c>
    </row>
    <row r="152" spans="2:53" x14ac:dyDescent="0.35">
      <c r="B152" t="s">
        <v>80</v>
      </c>
      <c r="C152" s="14">
        <v>1.10984702156473E-2</v>
      </c>
      <c r="D152" s="14">
        <v>1.1084178849124601E-2</v>
      </c>
      <c r="E152" s="14">
        <v>1.11293751121658E-2</v>
      </c>
      <c r="F152" s="14"/>
      <c r="G152" s="14">
        <v>0</v>
      </c>
      <c r="H152" s="14">
        <v>0</v>
      </c>
      <c r="I152" s="14">
        <v>1.37239851548011E-2</v>
      </c>
      <c r="J152" s="14">
        <v>1.5050603280155299E-2</v>
      </c>
      <c r="K152" s="14">
        <v>0</v>
      </c>
      <c r="L152" s="14">
        <v>0</v>
      </c>
      <c r="M152" s="14"/>
      <c r="N152" s="14">
        <v>6.7752969701286199E-3</v>
      </c>
      <c r="O152" s="14">
        <v>2.1547547504590101E-3</v>
      </c>
      <c r="P152" s="14">
        <v>5.7401276797851902E-3</v>
      </c>
      <c r="Q152" s="14">
        <v>2.6368658061830998E-2</v>
      </c>
      <c r="R152" s="14"/>
      <c r="S152" s="14">
        <v>1.26693631041383E-2</v>
      </c>
      <c r="T152" s="14">
        <v>1.3195465904522899E-2</v>
      </c>
      <c r="U152" s="14">
        <v>2.3195415591263899E-2</v>
      </c>
      <c r="V152" s="14">
        <v>7.8813072261648097E-3</v>
      </c>
      <c r="W152" s="14">
        <v>0</v>
      </c>
      <c r="X152" s="14">
        <v>1.32597920654843E-2</v>
      </c>
      <c r="Y152" s="14">
        <v>0</v>
      </c>
      <c r="Z152" s="14">
        <v>5.0753644433327E-2</v>
      </c>
      <c r="AA152" s="14">
        <v>0</v>
      </c>
      <c r="AB152" s="14"/>
      <c r="AC152" s="14">
        <v>5.5980339588046803E-3</v>
      </c>
      <c r="AD152" s="14">
        <v>4.7603157684456303E-3</v>
      </c>
      <c r="AE152" s="14">
        <v>3.2096134619413099E-3</v>
      </c>
      <c r="AF152" s="14">
        <v>3.9115761726628701E-3</v>
      </c>
      <c r="AG152" s="14">
        <v>0</v>
      </c>
      <c r="AH152" s="14"/>
      <c r="AI152" s="14">
        <v>8.6707784926103402E-3</v>
      </c>
      <c r="AJ152" s="14">
        <v>5.5671197618586497E-3</v>
      </c>
      <c r="AK152" s="14">
        <v>5.7434529077191399E-3</v>
      </c>
      <c r="AL152" s="14">
        <v>1.4083590300866301E-2</v>
      </c>
      <c r="AM152" s="14">
        <v>2.6275038819726301E-2</v>
      </c>
      <c r="AN152" s="14">
        <v>1.69690304738505E-2</v>
      </c>
      <c r="AO152" s="14"/>
      <c r="AP152" s="14">
        <v>4.8365824977165397E-3</v>
      </c>
      <c r="AQ152" s="14">
        <v>1.6429746695919501E-2</v>
      </c>
      <c r="AR152" s="14"/>
      <c r="AS152" s="14" t="s">
        <v>88</v>
      </c>
      <c r="AT152" s="14" t="s">
        <v>88</v>
      </c>
      <c r="AU152" s="14">
        <v>1.10984702156473E-2</v>
      </c>
      <c r="AV152" s="14"/>
      <c r="AW152" s="14">
        <v>6.3541472024697503E-3</v>
      </c>
      <c r="AX152" s="14">
        <v>1.2068464931805099E-2</v>
      </c>
      <c r="AY152" s="14"/>
      <c r="AZ152" s="14">
        <v>6.8764667367931199E-3</v>
      </c>
      <c r="BA152" s="14">
        <v>2.2746444553338699E-2</v>
      </c>
    </row>
    <row r="153" spans="2:53" x14ac:dyDescent="0.35">
      <c r="B153" t="s">
        <v>81</v>
      </c>
      <c r="C153" s="14">
        <v>0.71729686171763796</v>
      </c>
      <c r="D153" s="14">
        <v>0.74989864035185205</v>
      </c>
      <c r="E153" s="14">
        <v>0.68609673325349796</v>
      </c>
      <c r="F153" s="14"/>
      <c r="G153" s="14">
        <v>1</v>
      </c>
      <c r="H153" s="14">
        <v>0.82012860813694</v>
      </c>
      <c r="I153" s="14">
        <v>0.72420103581995798</v>
      </c>
      <c r="J153" s="14">
        <v>0.692151387984002</v>
      </c>
      <c r="K153" s="14">
        <v>0.68129256075330502</v>
      </c>
      <c r="L153" s="14">
        <v>0.83360717449787902</v>
      </c>
      <c r="M153" s="14"/>
      <c r="N153" s="14">
        <v>0.75712350433347597</v>
      </c>
      <c r="O153" s="14">
        <v>0.72974112059603302</v>
      </c>
      <c r="P153" s="14">
        <v>0.73236333364264405</v>
      </c>
      <c r="Q153" s="14">
        <v>0.65059847635805002</v>
      </c>
      <c r="R153" s="14"/>
      <c r="S153" s="14">
        <v>0.78046175264836803</v>
      </c>
      <c r="T153" s="14">
        <v>0.67286565538960197</v>
      </c>
      <c r="U153" s="14">
        <v>0.77180539792569303</v>
      </c>
      <c r="V153" s="14">
        <v>0.68212026026194295</v>
      </c>
      <c r="W153" s="14">
        <v>0.70133453252343503</v>
      </c>
      <c r="X153" s="14">
        <v>0.79104952989683797</v>
      </c>
      <c r="Y153" s="14">
        <v>0.71657166268720696</v>
      </c>
      <c r="Z153" s="14">
        <v>0.66914342291634998</v>
      </c>
      <c r="AA153" s="14">
        <v>0.65889655870262398</v>
      </c>
      <c r="AB153" s="14"/>
      <c r="AC153" s="14">
        <v>0.652182892793844</v>
      </c>
      <c r="AD153" s="14">
        <v>0.68152530468573702</v>
      </c>
      <c r="AE153" s="14">
        <v>0.75839454706549003</v>
      </c>
      <c r="AF153" s="14">
        <v>0.77355097227178304</v>
      </c>
      <c r="AG153" s="14">
        <v>0.83433155281469396</v>
      </c>
      <c r="AH153" s="14"/>
      <c r="AI153" s="14">
        <v>0.73018373637773304</v>
      </c>
      <c r="AJ153" s="14">
        <v>0.72576494056296903</v>
      </c>
      <c r="AK153" s="14">
        <v>0.74661147847262399</v>
      </c>
      <c r="AL153" s="14">
        <v>0.713026562283539</v>
      </c>
      <c r="AM153" s="14">
        <v>0.64318244688910997</v>
      </c>
      <c r="AN153" s="14">
        <v>0.75911498961217905</v>
      </c>
      <c r="AO153" s="14"/>
      <c r="AP153" s="14">
        <v>0.75303693619377599</v>
      </c>
      <c r="AQ153" s="14">
        <v>0.68005863842444803</v>
      </c>
      <c r="AR153" s="14"/>
      <c r="AS153" s="14" t="s">
        <v>88</v>
      </c>
      <c r="AT153" s="14" t="s">
        <v>88</v>
      </c>
      <c r="AU153" s="14">
        <v>0.71729686171763796</v>
      </c>
      <c r="AV153" s="14"/>
      <c r="AW153" s="14">
        <v>0.71928004148632496</v>
      </c>
      <c r="AX153" s="14">
        <v>0.78178114192915205</v>
      </c>
      <c r="AY153" s="14"/>
      <c r="AZ153" s="14">
        <v>0.74162379270516998</v>
      </c>
      <c r="BA153" s="14">
        <v>0.63304758372095804</v>
      </c>
    </row>
    <row r="154" spans="2:53" x14ac:dyDescent="0.35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</row>
    <row r="155" spans="2:53" x14ac:dyDescent="0.35">
      <c r="B155" s="6" t="s">
        <v>94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</row>
    <row r="156" spans="2:53" x14ac:dyDescent="0.35">
      <c r="B156" s="24" t="s">
        <v>101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</row>
    <row r="157" spans="2:53" x14ac:dyDescent="0.35">
      <c r="B157" t="s">
        <v>76</v>
      </c>
      <c r="C157" s="14">
        <v>0.31536205182667498</v>
      </c>
      <c r="D157" s="14">
        <v>0.32281482298959802</v>
      </c>
      <c r="E157" s="14">
        <v>0.308458220475686</v>
      </c>
      <c r="F157" s="14"/>
      <c r="G157" s="14">
        <v>0.37788578674971901</v>
      </c>
      <c r="H157" s="14">
        <v>0.39980134947645601</v>
      </c>
      <c r="I157" s="14">
        <v>0.35538478491196002</v>
      </c>
      <c r="J157" s="14">
        <v>0.27687653773624299</v>
      </c>
      <c r="K157" s="14">
        <v>0.239239828400542</v>
      </c>
      <c r="L157" s="14">
        <v>0.393605768891506</v>
      </c>
      <c r="M157" s="14"/>
      <c r="N157" s="14">
        <v>0.34817562344407998</v>
      </c>
      <c r="O157" s="14">
        <v>0.28985366178803501</v>
      </c>
      <c r="P157" s="14">
        <v>0.28966977204413402</v>
      </c>
      <c r="Q157" s="14">
        <v>0.32695345343448001</v>
      </c>
      <c r="R157" s="14"/>
      <c r="S157" s="14">
        <v>0.395810502293999</v>
      </c>
      <c r="T157" s="14">
        <v>0.34919196790312002</v>
      </c>
      <c r="U157" s="14">
        <v>0.246074321368318</v>
      </c>
      <c r="V157" s="14">
        <v>0.24536810082270899</v>
      </c>
      <c r="W157" s="14">
        <v>0.32673770645192302</v>
      </c>
      <c r="X157" s="14">
        <v>0.35432609226534101</v>
      </c>
      <c r="Y157" s="14">
        <v>0.25035541476859202</v>
      </c>
      <c r="Z157" s="14">
        <v>0.36645379193064398</v>
      </c>
      <c r="AA157" s="14">
        <v>0.285205176785222</v>
      </c>
      <c r="AB157" s="14"/>
      <c r="AC157" s="14">
        <v>0.29244070472363598</v>
      </c>
      <c r="AD157" s="14">
        <v>0.23541699652381801</v>
      </c>
      <c r="AE157" s="14">
        <v>0.327228597035993</v>
      </c>
      <c r="AF157" s="14">
        <v>0.44562726871470998</v>
      </c>
      <c r="AG157" s="14">
        <v>0.39700679143518303</v>
      </c>
      <c r="AH157" s="14"/>
      <c r="AI157" s="14">
        <v>0.36506492467290302</v>
      </c>
      <c r="AJ157" s="14">
        <v>0.29957526811267898</v>
      </c>
      <c r="AK157" s="14">
        <v>0.33537520434107398</v>
      </c>
      <c r="AL157" s="14">
        <v>0.27963082994556598</v>
      </c>
      <c r="AM157" s="14">
        <v>0.35159794426623397</v>
      </c>
      <c r="AN157" s="14">
        <v>0.34022345098052298</v>
      </c>
      <c r="AO157" s="14"/>
      <c r="AP157" s="14">
        <v>0.33459970671424899</v>
      </c>
      <c r="AQ157" s="14">
        <v>0.292808572063954</v>
      </c>
      <c r="AR157" s="14"/>
      <c r="AS157" s="14" t="s">
        <v>88</v>
      </c>
      <c r="AT157" s="14" t="s">
        <v>88</v>
      </c>
      <c r="AU157" s="14">
        <v>0.31536205182667498</v>
      </c>
      <c r="AV157" s="14"/>
      <c r="AW157" s="14">
        <v>0.30820122419041002</v>
      </c>
      <c r="AX157" s="14">
        <v>0.44239210254450601</v>
      </c>
      <c r="AY157" s="14"/>
      <c r="AZ157" s="14">
        <v>0.32724745260854499</v>
      </c>
      <c r="BA157" s="14">
        <v>0.27190779696552803</v>
      </c>
    </row>
    <row r="158" spans="2:53" x14ac:dyDescent="0.35">
      <c r="B158" t="s">
        <v>77</v>
      </c>
      <c r="C158" s="14">
        <v>0.45031227517526401</v>
      </c>
      <c r="D158" s="14">
        <v>0.45442429418395502</v>
      </c>
      <c r="E158" s="14">
        <v>0.44541071377212599</v>
      </c>
      <c r="F158" s="14"/>
      <c r="G158" s="14">
        <v>0.182858017741347</v>
      </c>
      <c r="H158" s="14">
        <v>0.39362216945206902</v>
      </c>
      <c r="I158" s="14">
        <v>0.431967355807854</v>
      </c>
      <c r="J158" s="14">
        <v>0.45400281243317198</v>
      </c>
      <c r="K158" s="14">
        <v>0.51408332364801401</v>
      </c>
      <c r="L158" s="14">
        <v>0.59195964506723198</v>
      </c>
      <c r="M158" s="14"/>
      <c r="N158" s="14">
        <v>0.46208617015328801</v>
      </c>
      <c r="O158" s="14">
        <v>0.50247495846175405</v>
      </c>
      <c r="P158" s="14">
        <v>0.42397540036078801</v>
      </c>
      <c r="Q158" s="14">
        <v>0.40934535945095102</v>
      </c>
      <c r="R158" s="14"/>
      <c r="S158" s="14">
        <v>0.387359783747598</v>
      </c>
      <c r="T158" s="14">
        <v>0.44406328877645301</v>
      </c>
      <c r="U158" s="14">
        <v>0.55262587450572398</v>
      </c>
      <c r="V158" s="14">
        <v>0.48855744047435801</v>
      </c>
      <c r="W158" s="14">
        <v>0.45105439849645501</v>
      </c>
      <c r="X158" s="14">
        <v>0.46177381668031398</v>
      </c>
      <c r="Y158" s="14">
        <v>0.433691492063632</v>
      </c>
      <c r="Z158" s="14">
        <v>0.40437453034945298</v>
      </c>
      <c r="AA158" s="14">
        <v>0.44407143891120299</v>
      </c>
      <c r="AB158" s="14"/>
      <c r="AC158" s="14">
        <v>0.46095207645166397</v>
      </c>
      <c r="AD158" s="14">
        <v>0.48746607513002899</v>
      </c>
      <c r="AE158" s="14">
        <v>0.44948968524160898</v>
      </c>
      <c r="AF158" s="14">
        <v>0.382166245384502</v>
      </c>
      <c r="AG158" s="14">
        <v>0.44906866915791499</v>
      </c>
      <c r="AH158" s="14"/>
      <c r="AI158" s="14">
        <v>0.40563372126252101</v>
      </c>
      <c r="AJ158" s="14">
        <v>0.456792204723453</v>
      </c>
      <c r="AK158" s="14">
        <v>0.41079769998035298</v>
      </c>
      <c r="AL158" s="14">
        <v>0.50795978306062095</v>
      </c>
      <c r="AM158" s="14">
        <v>0.50636910559021198</v>
      </c>
      <c r="AN158" s="14">
        <v>0.43321571704983203</v>
      </c>
      <c r="AO158" s="14"/>
      <c r="AP158" s="14">
        <v>0.44952514307761399</v>
      </c>
      <c r="AQ158" s="14">
        <v>0.45245239706032198</v>
      </c>
      <c r="AR158" s="14"/>
      <c r="AS158" s="14" t="s">
        <v>88</v>
      </c>
      <c r="AT158" s="14" t="s">
        <v>88</v>
      </c>
      <c r="AU158" s="14">
        <v>0.45031227517526401</v>
      </c>
      <c r="AV158" s="14"/>
      <c r="AW158" s="14">
        <v>0.46507512662445899</v>
      </c>
      <c r="AX158" s="14">
        <v>0.37501414004770101</v>
      </c>
      <c r="AY158" s="14"/>
      <c r="AZ158" s="14">
        <v>0.44864942283716402</v>
      </c>
      <c r="BA158" s="14">
        <v>0.45784183731976102</v>
      </c>
    </row>
    <row r="159" spans="2:53" x14ac:dyDescent="0.35">
      <c r="B159" t="s">
        <v>78</v>
      </c>
      <c r="C159" s="14">
        <v>0.170744257762422</v>
      </c>
      <c r="D159" s="14">
        <v>0.163893305516012</v>
      </c>
      <c r="E159" s="14">
        <v>0.177785941692396</v>
      </c>
      <c r="F159" s="14"/>
      <c r="G159" s="14">
        <v>0.43925619550893402</v>
      </c>
      <c r="H159" s="14">
        <v>0.19087689620932</v>
      </c>
      <c r="I159" s="14">
        <v>0.148316415366814</v>
      </c>
      <c r="J159" s="14">
        <v>0.18945540801227101</v>
      </c>
      <c r="K159" s="14">
        <v>0.19188232080995801</v>
      </c>
      <c r="L159" s="14">
        <v>1.44345860412623E-2</v>
      </c>
      <c r="M159" s="14"/>
      <c r="N159" s="14">
        <v>0.15225320326607999</v>
      </c>
      <c r="O159" s="14">
        <v>0.15652706396618901</v>
      </c>
      <c r="P159" s="14">
        <v>0.22097510370873899</v>
      </c>
      <c r="Q159" s="14">
        <v>0.158283213886102</v>
      </c>
      <c r="R159" s="14"/>
      <c r="S159" s="14">
        <v>0.161774795287421</v>
      </c>
      <c r="T159" s="14">
        <v>0.13118162670299399</v>
      </c>
      <c r="U159" s="14">
        <v>0.148495153290817</v>
      </c>
      <c r="V159" s="14">
        <v>0.17875451692983399</v>
      </c>
      <c r="W159" s="14">
        <v>0.15530599606468701</v>
      </c>
      <c r="X159" s="14">
        <v>0.13119999919775399</v>
      </c>
      <c r="Y159" s="14">
        <v>0.27105185504781698</v>
      </c>
      <c r="Z159" s="14">
        <v>0.17841803328657599</v>
      </c>
      <c r="AA159" s="14">
        <v>0.197487538899871</v>
      </c>
      <c r="AB159" s="14"/>
      <c r="AC159" s="14">
        <v>0.18038334492128799</v>
      </c>
      <c r="AD159" s="14">
        <v>0.21576531603184099</v>
      </c>
      <c r="AE159" s="14">
        <v>0.16271921565803699</v>
      </c>
      <c r="AF159" s="14">
        <v>0.149774926908809</v>
      </c>
      <c r="AG159" s="14">
        <v>9.3457260717301899E-2</v>
      </c>
      <c r="AH159" s="14"/>
      <c r="AI159" s="14">
        <v>0.16751593868214401</v>
      </c>
      <c r="AJ159" s="14">
        <v>0.176224786004964</v>
      </c>
      <c r="AK159" s="14">
        <v>0.17011868509523201</v>
      </c>
      <c r="AL159" s="14">
        <v>0.135565860498402</v>
      </c>
      <c r="AM159" s="14">
        <v>0.115757911323828</v>
      </c>
      <c r="AN159" s="14">
        <v>0.179951922415482</v>
      </c>
      <c r="AO159" s="14"/>
      <c r="AP159" s="14">
        <v>0.15999570390912701</v>
      </c>
      <c r="AQ159" s="14">
        <v>0.18391144017806199</v>
      </c>
      <c r="AR159" s="14"/>
      <c r="AS159" s="14" t="s">
        <v>88</v>
      </c>
      <c r="AT159" s="14" t="s">
        <v>88</v>
      </c>
      <c r="AU159" s="14">
        <v>0.170744257762422</v>
      </c>
      <c r="AV159" s="14"/>
      <c r="AW159" s="14">
        <v>0.17324672851928799</v>
      </c>
      <c r="AX159" s="14">
        <v>0.11712632012537499</v>
      </c>
      <c r="AY159" s="14"/>
      <c r="AZ159" s="14">
        <v>0.16269635048257899</v>
      </c>
      <c r="BA159" s="14">
        <v>0.20188484056400799</v>
      </c>
    </row>
    <row r="160" spans="2:53" x14ac:dyDescent="0.35">
      <c r="B160" t="s">
        <v>79</v>
      </c>
      <c r="C160" s="14">
        <v>4.8997209431926002E-2</v>
      </c>
      <c r="D160" s="14">
        <v>4.8722404861940002E-2</v>
      </c>
      <c r="E160" s="14">
        <v>4.9343288181389798E-2</v>
      </c>
      <c r="F160" s="14"/>
      <c r="G160" s="14">
        <v>0</v>
      </c>
      <c r="H160" s="14">
        <v>5.0481757546139098E-3</v>
      </c>
      <c r="I160" s="14">
        <v>4.4039468200684703E-2</v>
      </c>
      <c r="J160" s="14">
        <v>6.8400746583942906E-2</v>
      </c>
      <c r="K160" s="14">
        <v>4.2505721489329303E-2</v>
      </c>
      <c r="L160" s="14">
        <v>0</v>
      </c>
      <c r="M160" s="14"/>
      <c r="N160" s="14">
        <v>3.2365823230452201E-2</v>
      </c>
      <c r="O160" s="14">
        <v>4.3158382674950702E-2</v>
      </c>
      <c r="P160" s="14">
        <v>5.9639596206554499E-2</v>
      </c>
      <c r="Q160" s="14">
        <v>6.4538469707466906E-2</v>
      </c>
      <c r="R160" s="14"/>
      <c r="S160" s="14">
        <v>4.2385555566842897E-2</v>
      </c>
      <c r="T160" s="14">
        <v>5.8933516874068503E-2</v>
      </c>
      <c r="U160" s="14">
        <v>3.1472162856953798E-2</v>
      </c>
      <c r="V160" s="14">
        <v>6.4607505737893894E-2</v>
      </c>
      <c r="W160" s="14">
        <v>6.6901898986934605E-2</v>
      </c>
      <c r="X160" s="14">
        <v>3.9440299791106297E-2</v>
      </c>
      <c r="Y160" s="14">
        <v>3.6566589793013797E-2</v>
      </c>
      <c r="Z160" s="14">
        <v>0</v>
      </c>
      <c r="AA160" s="14">
        <v>6.8454551440778999E-2</v>
      </c>
      <c r="AB160" s="14"/>
      <c r="AC160" s="14">
        <v>5.0420810839406902E-2</v>
      </c>
      <c r="AD160" s="14">
        <v>6.1351612314311299E-2</v>
      </c>
      <c r="AE160" s="14">
        <v>5.0159269838794603E-2</v>
      </c>
      <c r="AF160" s="14">
        <v>1.85199828193158E-2</v>
      </c>
      <c r="AG160" s="14">
        <v>6.0467278689599703E-2</v>
      </c>
      <c r="AH160" s="14"/>
      <c r="AI160" s="14">
        <v>5.3114636889822403E-2</v>
      </c>
      <c r="AJ160" s="14">
        <v>6.4394781999646003E-2</v>
      </c>
      <c r="AK160" s="14">
        <v>5.2622849510459903E-2</v>
      </c>
      <c r="AL160" s="14">
        <v>6.5040604101906097E-2</v>
      </c>
      <c r="AM160" s="14">
        <v>0</v>
      </c>
      <c r="AN160" s="14">
        <v>1.4658509756478399E-2</v>
      </c>
      <c r="AO160" s="14"/>
      <c r="AP160" s="14">
        <v>4.5548678065256802E-2</v>
      </c>
      <c r="AQ160" s="14">
        <v>5.3192271725767203E-2</v>
      </c>
      <c r="AR160" s="14"/>
      <c r="AS160" s="14" t="s">
        <v>88</v>
      </c>
      <c r="AT160" s="14" t="s">
        <v>88</v>
      </c>
      <c r="AU160" s="14">
        <v>4.8997209431926002E-2</v>
      </c>
      <c r="AV160" s="14"/>
      <c r="AW160" s="14">
        <v>4.2566460357375699E-2</v>
      </c>
      <c r="AX160" s="14">
        <v>5.9690231108825403E-2</v>
      </c>
      <c r="AY160" s="14"/>
      <c r="AZ160" s="14">
        <v>5.2608399044518597E-2</v>
      </c>
      <c r="BA160" s="14">
        <v>3.6409840904089698E-2</v>
      </c>
    </row>
    <row r="161" spans="2:53" x14ac:dyDescent="0.35">
      <c r="B161" t="s">
        <v>80</v>
      </c>
      <c r="C161" s="14">
        <v>1.4584205803713E-2</v>
      </c>
      <c r="D161" s="14">
        <v>1.01451724484948E-2</v>
      </c>
      <c r="E161" s="14">
        <v>1.9001835878402699E-2</v>
      </c>
      <c r="F161" s="14"/>
      <c r="G161" s="14">
        <v>0</v>
      </c>
      <c r="H161" s="14">
        <v>1.06514091075408E-2</v>
      </c>
      <c r="I161" s="14">
        <v>2.0291975712687201E-2</v>
      </c>
      <c r="J161" s="14">
        <v>1.1264495234370999E-2</v>
      </c>
      <c r="K161" s="14">
        <v>1.2288805652156599E-2</v>
      </c>
      <c r="L161" s="14">
        <v>0</v>
      </c>
      <c r="M161" s="14"/>
      <c r="N161" s="14">
        <v>5.1191799060988103E-3</v>
      </c>
      <c r="O161" s="14">
        <v>7.9859331090715007E-3</v>
      </c>
      <c r="P161" s="14">
        <v>5.7401276797851902E-3</v>
      </c>
      <c r="Q161" s="14">
        <v>4.0879503520999498E-2</v>
      </c>
      <c r="R161" s="14"/>
      <c r="S161" s="14">
        <v>1.26693631041383E-2</v>
      </c>
      <c r="T161" s="14">
        <v>1.6629599743365399E-2</v>
      </c>
      <c r="U161" s="14">
        <v>2.13324879781875E-2</v>
      </c>
      <c r="V161" s="14">
        <v>2.2712436035205501E-2</v>
      </c>
      <c r="W161" s="14">
        <v>0</v>
      </c>
      <c r="X161" s="14">
        <v>1.32597920654843E-2</v>
      </c>
      <c r="Y161" s="14">
        <v>8.3346483269452105E-3</v>
      </c>
      <c r="Z161" s="14">
        <v>5.0753644433327E-2</v>
      </c>
      <c r="AA161" s="14">
        <v>4.7812939629247797E-3</v>
      </c>
      <c r="AB161" s="14"/>
      <c r="AC161" s="14">
        <v>1.58030630640047E-2</v>
      </c>
      <c r="AD161" s="14">
        <v>0</v>
      </c>
      <c r="AE161" s="14">
        <v>1.0403232225566401E-2</v>
      </c>
      <c r="AF161" s="14">
        <v>3.9115761726628701E-3</v>
      </c>
      <c r="AG161" s="14">
        <v>0</v>
      </c>
      <c r="AH161" s="14"/>
      <c r="AI161" s="14">
        <v>8.6707784926103402E-3</v>
      </c>
      <c r="AJ161" s="14">
        <v>3.01295915925696E-3</v>
      </c>
      <c r="AK161" s="14">
        <v>3.1085561072879901E-2</v>
      </c>
      <c r="AL161" s="14">
        <v>1.1802922393505499E-2</v>
      </c>
      <c r="AM161" s="14">
        <v>2.6275038819726301E-2</v>
      </c>
      <c r="AN161" s="14">
        <v>3.1950399797684798E-2</v>
      </c>
      <c r="AO161" s="14"/>
      <c r="AP161" s="14">
        <v>1.0330768233753901E-2</v>
      </c>
      <c r="AQ161" s="14">
        <v>1.7635318971895401E-2</v>
      </c>
      <c r="AR161" s="14"/>
      <c r="AS161" s="14" t="s">
        <v>88</v>
      </c>
      <c r="AT161" s="14" t="s">
        <v>88</v>
      </c>
      <c r="AU161" s="14">
        <v>1.4584205803713E-2</v>
      </c>
      <c r="AV161" s="14"/>
      <c r="AW161" s="14">
        <v>1.0910460308467001E-2</v>
      </c>
      <c r="AX161" s="14">
        <v>5.77720617359206E-3</v>
      </c>
      <c r="AY161" s="14"/>
      <c r="AZ161" s="14">
        <v>8.7983750271940601E-3</v>
      </c>
      <c r="BA161" s="14">
        <v>3.1955684246613797E-2</v>
      </c>
    </row>
    <row r="162" spans="2:53" x14ac:dyDescent="0.35">
      <c r="B162" t="s">
        <v>81</v>
      </c>
      <c r="C162" s="14">
        <v>0.76567432700193905</v>
      </c>
      <c r="D162" s="14">
        <v>0.77723911717355298</v>
      </c>
      <c r="E162" s="14">
        <v>0.75386893424781198</v>
      </c>
      <c r="F162" s="14"/>
      <c r="G162" s="14">
        <v>0.56074380449106598</v>
      </c>
      <c r="H162" s="14">
        <v>0.79342351892852503</v>
      </c>
      <c r="I162" s="14">
        <v>0.78735214071981396</v>
      </c>
      <c r="J162" s="14">
        <v>0.73087935016941497</v>
      </c>
      <c r="K162" s="14">
        <v>0.75332315204855604</v>
      </c>
      <c r="L162" s="14">
        <v>0.98556541395873798</v>
      </c>
      <c r="M162" s="14"/>
      <c r="N162" s="14">
        <v>0.81026179359736905</v>
      </c>
      <c r="O162" s="14">
        <v>0.79232862024978901</v>
      </c>
      <c r="P162" s="14">
        <v>0.71364517240492198</v>
      </c>
      <c r="Q162" s="14">
        <v>0.73629881288543197</v>
      </c>
      <c r="R162" s="14"/>
      <c r="S162" s="14">
        <v>0.783170286041598</v>
      </c>
      <c r="T162" s="14">
        <v>0.79325525667957197</v>
      </c>
      <c r="U162" s="14">
        <v>0.79870019587404195</v>
      </c>
      <c r="V162" s="14">
        <v>0.733925541297067</v>
      </c>
      <c r="W162" s="14">
        <v>0.77779210494837803</v>
      </c>
      <c r="X162" s="14">
        <v>0.81609990894565498</v>
      </c>
      <c r="Y162" s="14">
        <v>0.68404690683222402</v>
      </c>
      <c r="Z162" s="14">
        <v>0.77082832228009701</v>
      </c>
      <c r="AA162" s="14">
        <v>0.72927661569642499</v>
      </c>
      <c r="AB162" s="14"/>
      <c r="AC162" s="14">
        <v>0.75339278117530095</v>
      </c>
      <c r="AD162" s="14">
        <v>0.72288307165384802</v>
      </c>
      <c r="AE162" s="14">
        <v>0.77671828227760198</v>
      </c>
      <c r="AF162" s="14">
        <v>0.82779351409921198</v>
      </c>
      <c r="AG162" s="14">
        <v>0.84607546059309802</v>
      </c>
      <c r="AH162" s="14"/>
      <c r="AI162" s="14">
        <v>0.77069864593542303</v>
      </c>
      <c r="AJ162" s="14">
        <v>0.75636747283613304</v>
      </c>
      <c r="AK162" s="14">
        <v>0.74617290432142802</v>
      </c>
      <c r="AL162" s="14">
        <v>0.78759061300618605</v>
      </c>
      <c r="AM162" s="14">
        <v>0.85796704985644601</v>
      </c>
      <c r="AN162" s="14">
        <v>0.77343916803035495</v>
      </c>
      <c r="AO162" s="14"/>
      <c r="AP162" s="14">
        <v>0.78412484979186303</v>
      </c>
      <c r="AQ162" s="14">
        <v>0.74526096912427597</v>
      </c>
      <c r="AR162" s="14"/>
      <c r="AS162" s="14" t="s">
        <v>88</v>
      </c>
      <c r="AT162" s="14" t="s">
        <v>88</v>
      </c>
      <c r="AU162" s="14">
        <v>0.76567432700193905</v>
      </c>
      <c r="AV162" s="14"/>
      <c r="AW162" s="14">
        <v>0.77327635081486901</v>
      </c>
      <c r="AX162" s="14">
        <v>0.81740624259220696</v>
      </c>
      <c r="AY162" s="14"/>
      <c r="AZ162" s="14">
        <v>0.77589687544570796</v>
      </c>
      <c r="BA162" s="14">
        <v>0.72974963428528805</v>
      </c>
    </row>
    <row r="163" spans="2:53" x14ac:dyDescent="0.35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</row>
    <row r="164" spans="2:53" x14ac:dyDescent="0.35">
      <c r="B164" s="6" t="s">
        <v>95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</row>
    <row r="165" spans="2:53" x14ac:dyDescent="0.35">
      <c r="B165" s="24" t="s">
        <v>101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</row>
    <row r="166" spans="2:53" x14ac:dyDescent="0.35">
      <c r="B166" t="s">
        <v>76</v>
      </c>
      <c r="C166" s="14">
        <v>0.28112935423907298</v>
      </c>
      <c r="D166" s="14">
        <v>0.31222348664535898</v>
      </c>
      <c r="E166" s="14">
        <v>0.25076372397639901</v>
      </c>
      <c r="F166" s="14"/>
      <c r="G166" s="14">
        <v>0</v>
      </c>
      <c r="H166" s="14">
        <v>0.35841890294746498</v>
      </c>
      <c r="I166" s="14">
        <v>0.34232899500499198</v>
      </c>
      <c r="J166" s="14">
        <v>0.22688541941809201</v>
      </c>
      <c r="K166" s="14">
        <v>0.222572552068178</v>
      </c>
      <c r="L166" s="14">
        <v>0.215825563511472</v>
      </c>
      <c r="M166" s="14"/>
      <c r="N166" s="14">
        <v>0.31239061358493903</v>
      </c>
      <c r="O166" s="14">
        <v>0.21245373477327201</v>
      </c>
      <c r="P166" s="14">
        <v>0.30624661424342198</v>
      </c>
      <c r="Q166" s="14">
        <v>0.28633279097946801</v>
      </c>
      <c r="R166" s="14"/>
      <c r="S166" s="14">
        <v>0.38470263323368198</v>
      </c>
      <c r="T166" s="14">
        <v>0.282917127569982</v>
      </c>
      <c r="U166" s="14">
        <v>0.237395598863954</v>
      </c>
      <c r="V166" s="14">
        <v>0.19086074884565399</v>
      </c>
      <c r="W166" s="14">
        <v>0.32030287624001402</v>
      </c>
      <c r="X166" s="14">
        <v>0.327547544178659</v>
      </c>
      <c r="Y166" s="14">
        <v>0.22728274798447001</v>
      </c>
      <c r="Z166" s="14">
        <v>0.36106864437484099</v>
      </c>
      <c r="AA166" s="14">
        <v>0.212786818596361</v>
      </c>
      <c r="AB166" s="14"/>
      <c r="AC166" s="14">
        <v>0.26545193981087101</v>
      </c>
      <c r="AD166" s="14">
        <v>0.22841895340287999</v>
      </c>
      <c r="AE166" s="14">
        <v>0.29764731612585599</v>
      </c>
      <c r="AF166" s="14">
        <v>0.379512245470562</v>
      </c>
      <c r="AG166" s="14">
        <v>0.39201318102927102</v>
      </c>
      <c r="AH166" s="14"/>
      <c r="AI166" s="14">
        <v>0.30642202820782</v>
      </c>
      <c r="AJ166" s="14">
        <v>0.28909306260635598</v>
      </c>
      <c r="AK166" s="14">
        <v>0.26962543224614799</v>
      </c>
      <c r="AL166" s="14">
        <v>0.264251979911303</v>
      </c>
      <c r="AM166" s="14">
        <v>0.31507544475978499</v>
      </c>
      <c r="AN166" s="14">
        <v>0.32154639333889901</v>
      </c>
      <c r="AO166" s="14"/>
      <c r="AP166" s="14">
        <v>0.305411656428415</v>
      </c>
      <c r="AQ166" s="14">
        <v>0.253725393514669</v>
      </c>
      <c r="AR166" s="14"/>
      <c r="AS166" s="14" t="s">
        <v>88</v>
      </c>
      <c r="AT166" s="14" t="s">
        <v>88</v>
      </c>
      <c r="AU166" s="14">
        <v>0.28112935423907298</v>
      </c>
      <c r="AV166" s="14"/>
      <c r="AW166" s="14">
        <v>0.261127566083242</v>
      </c>
      <c r="AX166" s="14">
        <v>0.47406640048960302</v>
      </c>
      <c r="AY166" s="14"/>
      <c r="AZ166" s="14">
        <v>0.30336136809342101</v>
      </c>
      <c r="BA166" s="14">
        <v>0.199683949442646</v>
      </c>
    </row>
    <row r="167" spans="2:53" x14ac:dyDescent="0.35">
      <c r="B167" t="s">
        <v>77</v>
      </c>
      <c r="C167" s="14">
        <v>0.47091997594313101</v>
      </c>
      <c r="D167" s="14">
        <v>0.457517440537762</v>
      </c>
      <c r="E167" s="14">
        <v>0.48490228167155103</v>
      </c>
      <c r="F167" s="14"/>
      <c r="G167" s="14">
        <v>0.43925619550893402</v>
      </c>
      <c r="H167" s="14">
        <v>0.41177974190191702</v>
      </c>
      <c r="I167" s="14">
        <v>0.444276041582853</v>
      </c>
      <c r="J167" s="14">
        <v>0.491488876561889</v>
      </c>
      <c r="K167" s="14">
        <v>0.50325201083456095</v>
      </c>
      <c r="L167" s="14">
        <v>0.62838135257582795</v>
      </c>
      <c r="M167" s="14"/>
      <c r="N167" s="14">
        <v>0.45576618870411401</v>
      </c>
      <c r="O167" s="14">
        <v>0.57464152447875705</v>
      </c>
      <c r="P167" s="14">
        <v>0.43377917875528499</v>
      </c>
      <c r="Q167" s="14">
        <v>0.41924439947412601</v>
      </c>
      <c r="R167" s="14"/>
      <c r="S167" s="14">
        <v>0.42401686229261298</v>
      </c>
      <c r="T167" s="14">
        <v>0.46332634009837897</v>
      </c>
      <c r="U167" s="14">
        <v>0.44760933221120502</v>
      </c>
      <c r="V167" s="14">
        <v>0.55609043214962905</v>
      </c>
      <c r="W167" s="14">
        <v>0.46366153411015798</v>
      </c>
      <c r="X167" s="14">
        <v>0.40965752571858899</v>
      </c>
      <c r="Y167" s="14">
        <v>0.54165532749753698</v>
      </c>
      <c r="Z167" s="14">
        <v>0.40345503229140001</v>
      </c>
      <c r="AA167" s="14">
        <v>0.50347874834694994</v>
      </c>
      <c r="AB167" s="14"/>
      <c r="AC167" s="14">
        <v>0.49626479077743202</v>
      </c>
      <c r="AD167" s="14">
        <v>0.46326899452903603</v>
      </c>
      <c r="AE167" s="14">
        <v>0.48300429499868203</v>
      </c>
      <c r="AF167" s="14">
        <v>0.43018001234546599</v>
      </c>
      <c r="AG167" s="14">
        <v>0.35427694596529902</v>
      </c>
      <c r="AH167" s="14"/>
      <c r="AI167" s="14">
        <v>0.42300094366643098</v>
      </c>
      <c r="AJ167" s="14">
        <v>0.50965405349520199</v>
      </c>
      <c r="AK167" s="14">
        <v>0.48717696821291601</v>
      </c>
      <c r="AL167" s="14">
        <v>0.468212997223381</v>
      </c>
      <c r="AM167" s="14">
        <v>0.44129397790293301</v>
      </c>
      <c r="AN167" s="14">
        <v>0.439885245253399</v>
      </c>
      <c r="AO167" s="14"/>
      <c r="AP167" s="14">
        <v>0.45692272866050299</v>
      </c>
      <c r="AQ167" s="14">
        <v>0.48933270454134897</v>
      </c>
      <c r="AR167" s="14"/>
      <c r="AS167" s="14" t="s">
        <v>88</v>
      </c>
      <c r="AT167" s="14" t="s">
        <v>88</v>
      </c>
      <c r="AU167" s="14">
        <v>0.47091997594313101</v>
      </c>
      <c r="AV167" s="14"/>
      <c r="AW167" s="14">
        <v>0.50042985277478502</v>
      </c>
      <c r="AX167" s="14">
        <v>0.35665766053387998</v>
      </c>
      <c r="AY167" s="14"/>
      <c r="AZ167" s="14">
        <v>0.46820489764485401</v>
      </c>
      <c r="BA167" s="14">
        <v>0.48598548164648703</v>
      </c>
    </row>
    <row r="168" spans="2:53" x14ac:dyDescent="0.35">
      <c r="B168" t="s">
        <v>78</v>
      </c>
      <c r="C168" s="14">
        <v>0.184159479244974</v>
      </c>
      <c r="D168" s="14">
        <v>0.17111757514204201</v>
      </c>
      <c r="E168" s="14">
        <v>0.19584229591799701</v>
      </c>
      <c r="F168" s="14"/>
      <c r="G168" s="14">
        <v>0.56074380449106598</v>
      </c>
      <c r="H168" s="14">
        <v>0.194275963534634</v>
      </c>
      <c r="I168" s="14">
        <v>0.15093891565606099</v>
      </c>
      <c r="J168" s="14">
        <v>0.201773414014113</v>
      </c>
      <c r="K168" s="14">
        <v>0.22538684010520399</v>
      </c>
      <c r="L168" s="14">
        <v>0.1557930839127</v>
      </c>
      <c r="M168" s="14"/>
      <c r="N168" s="14">
        <v>0.18730591427985099</v>
      </c>
      <c r="O168" s="14">
        <v>0.175678215021388</v>
      </c>
      <c r="P168" s="14">
        <v>0.19951686961751799</v>
      </c>
      <c r="Q168" s="14">
        <v>0.177321892476454</v>
      </c>
      <c r="R168" s="14"/>
      <c r="S168" s="14">
        <v>0.14862285990424701</v>
      </c>
      <c r="T168" s="14">
        <v>0.185485767562245</v>
      </c>
      <c r="U168" s="14">
        <v>0.258923973702263</v>
      </c>
      <c r="V168" s="14">
        <v>0.156049871669874</v>
      </c>
      <c r="W168" s="14">
        <v>0.12809911686451</v>
      </c>
      <c r="X168" s="14">
        <v>0.192952675790209</v>
      </c>
      <c r="Y168" s="14">
        <v>0.21038171014353499</v>
      </c>
      <c r="Z168" s="14">
        <v>0.156490580215085</v>
      </c>
      <c r="AA168" s="14">
        <v>0.21765362551966899</v>
      </c>
      <c r="AB168" s="14"/>
      <c r="AC168" s="14">
        <v>0.15723990363815399</v>
      </c>
      <c r="AD168" s="14">
        <v>0.26177480148751803</v>
      </c>
      <c r="AE168" s="14">
        <v>0.17207239194781901</v>
      </c>
      <c r="AF168" s="14">
        <v>0.16375817590137901</v>
      </c>
      <c r="AG168" s="14">
        <v>0.22397368637585599</v>
      </c>
      <c r="AH168" s="14"/>
      <c r="AI168" s="14">
        <v>0.200606451021659</v>
      </c>
      <c r="AJ168" s="14">
        <v>0.14708419720643501</v>
      </c>
      <c r="AK168" s="14">
        <v>0.164275111738936</v>
      </c>
      <c r="AL168" s="14">
        <v>0.20000468372076599</v>
      </c>
      <c r="AM168" s="14">
        <v>0.21735553851755501</v>
      </c>
      <c r="AN168" s="14">
        <v>0.181771911206769</v>
      </c>
      <c r="AO168" s="14"/>
      <c r="AP168" s="14">
        <v>0.18015454328599401</v>
      </c>
      <c r="AQ168" s="14">
        <v>0.18967944893331801</v>
      </c>
      <c r="AR168" s="14"/>
      <c r="AS168" s="14" t="s">
        <v>88</v>
      </c>
      <c r="AT168" s="14" t="s">
        <v>88</v>
      </c>
      <c r="AU168" s="14">
        <v>0.184159479244974</v>
      </c>
      <c r="AV168" s="14"/>
      <c r="AW168" s="14">
        <v>0.18709992652896301</v>
      </c>
      <c r="AX168" s="14">
        <v>0.107022390936067</v>
      </c>
      <c r="AY168" s="14"/>
      <c r="AZ168" s="14">
        <v>0.170811503093521</v>
      </c>
      <c r="BA168" s="14">
        <v>0.23123223654021</v>
      </c>
    </row>
    <row r="169" spans="2:53" x14ac:dyDescent="0.35">
      <c r="B169" t="s">
        <v>79</v>
      </c>
      <c r="C169" s="14">
        <v>5.0862826808700697E-2</v>
      </c>
      <c r="D169" s="14">
        <v>5.0445212252230899E-2</v>
      </c>
      <c r="E169" s="14">
        <v>5.1353134892931203E-2</v>
      </c>
      <c r="F169" s="14"/>
      <c r="G169" s="14">
        <v>0</v>
      </c>
      <c r="H169" s="14">
        <v>2.48739825084443E-2</v>
      </c>
      <c r="I169" s="14">
        <v>4.3189132988528903E-2</v>
      </c>
      <c r="J169" s="14">
        <v>6.7898256546242597E-2</v>
      </c>
      <c r="K169" s="14">
        <v>4.87885969920566E-2</v>
      </c>
      <c r="L169" s="14">
        <v>0</v>
      </c>
      <c r="M169" s="14"/>
      <c r="N169" s="14">
        <v>3.6958678116029098E-2</v>
      </c>
      <c r="O169" s="14">
        <v>3.2553964826844903E-2</v>
      </c>
      <c r="P169" s="14">
        <v>5.4717209703990299E-2</v>
      </c>
      <c r="Q169" s="14">
        <v>8.2524831748159597E-2</v>
      </c>
      <c r="R169" s="14"/>
      <c r="S169" s="14">
        <v>2.47265140269637E-2</v>
      </c>
      <c r="T169" s="14">
        <v>6.15226992139968E-2</v>
      </c>
      <c r="U169" s="14">
        <v>4.3091971993497298E-2</v>
      </c>
      <c r="V169" s="14">
        <v>7.9104955594011497E-2</v>
      </c>
      <c r="W169" s="14">
        <v>8.7936472785317896E-2</v>
      </c>
      <c r="X169" s="14">
        <v>5.6582462247059401E-2</v>
      </c>
      <c r="Y169" s="14">
        <v>8.3346483269452105E-3</v>
      </c>
      <c r="Z169" s="14">
        <v>2.82320986853473E-2</v>
      </c>
      <c r="AA169" s="14">
        <v>6.1299513574094598E-2</v>
      </c>
      <c r="AB169" s="14"/>
      <c r="AC169" s="14">
        <v>7.1747456381049499E-2</v>
      </c>
      <c r="AD169" s="14">
        <v>4.65372505805665E-2</v>
      </c>
      <c r="AE169" s="14">
        <v>4.0287885071042598E-2</v>
      </c>
      <c r="AF169" s="14">
        <v>1.67145960801828E-2</v>
      </c>
      <c r="AG169" s="14">
        <v>2.97361866295749E-2</v>
      </c>
      <c r="AH169" s="14"/>
      <c r="AI169" s="14">
        <v>6.0084588239259003E-2</v>
      </c>
      <c r="AJ169" s="14">
        <v>4.9673942331990899E-2</v>
      </c>
      <c r="AK169" s="14">
        <v>7.3179034894281597E-2</v>
      </c>
      <c r="AL169" s="14">
        <v>5.5727416751044298E-2</v>
      </c>
      <c r="AM169" s="14">
        <v>0</v>
      </c>
      <c r="AN169" s="14">
        <v>2.48460504032481E-2</v>
      </c>
      <c r="AO169" s="14"/>
      <c r="AP169" s="14">
        <v>4.8761187694536801E-2</v>
      </c>
      <c r="AQ169" s="14">
        <v>5.1377169315017499E-2</v>
      </c>
      <c r="AR169" s="14"/>
      <c r="AS169" s="14" t="s">
        <v>88</v>
      </c>
      <c r="AT169" s="14" t="s">
        <v>88</v>
      </c>
      <c r="AU169" s="14">
        <v>5.0862826808700697E-2</v>
      </c>
      <c r="AV169" s="14"/>
      <c r="AW169" s="14">
        <v>4.3763043160003498E-2</v>
      </c>
      <c r="AX169" s="14">
        <v>5.6476341866858001E-2</v>
      </c>
      <c r="AY169" s="14"/>
      <c r="AZ169" s="14">
        <v>5.0940207537348403E-2</v>
      </c>
      <c r="BA169" s="14">
        <v>5.1142648124043497E-2</v>
      </c>
    </row>
    <row r="170" spans="2:53" x14ac:dyDescent="0.35">
      <c r="B170" t="s">
        <v>80</v>
      </c>
      <c r="C170" s="14">
        <v>1.29283637641214E-2</v>
      </c>
      <c r="D170" s="14">
        <v>8.6962854226059899E-3</v>
      </c>
      <c r="E170" s="14">
        <v>1.7138563541122299E-2</v>
      </c>
      <c r="F170" s="14"/>
      <c r="G170" s="14">
        <v>0</v>
      </c>
      <c r="H170" s="14">
        <v>1.06514091075408E-2</v>
      </c>
      <c r="I170" s="14">
        <v>1.9266914767566E-2</v>
      </c>
      <c r="J170" s="14">
        <v>1.1954033459662901E-2</v>
      </c>
      <c r="K170" s="14">
        <v>0</v>
      </c>
      <c r="L170" s="14">
        <v>0</v>
      </c>
      <c r="M170" s="14"/>
      <c r="N170" s="14">
        <v>7.5786053150668099E-3</v>
      </c>
      <c r="O170" s="14">
        <v>4.6725608997380602E-3</v>
      </c>
      <c r="P170" s="14">
        <v>5.7401276797851902E-3</v>
      </c>
      <c r="Q170" s="14">
        <v>3.4576085321792203E-2</v>
      </c>
      <c r="R170" s="14"/>
      <c r="S170" s="14">
        <v>1.7931130542494698E-2</v>
      </c>
      <c r="T170" s="14">
        <v>6.7480655553974703E-3</v>
      </c>
      <c r="U170" s="14">
        <v>1.29791232290806E-2</v>
      </c>
      <c r="V170" s="14">
        <v>1.7893991740831498E-2</v>
      </c>
      <c r="W170" s="14">
        <v>0</v>
      </c>
      <c r="X170" s="14">
        <v>1.32597920654843E-2</v>
      </c>
      <c r="Y170" s="14">
        <v>1.23455660475126E-2</v>
      </c>
      <c r="Z170" s="14">
        <v>5.0753644433327E-2</v>
      </c>
      <c r="AA170" s="14">
        <v>4.7812939629247797E-3</v>
      </c>
      <c r="AB170" s="14"/>
      <c r="AC170" s="14">
        <v>9.2959093924934594E-3</v>
      </c>
      <c r="AD170" s="14">
        <v>0</v>
      </c>
      <c r="AE170" s="14">
        <v>6.9881118565998501E-3</v>
      </c>
      <c r="AF170" s="14">
        <v>9.8349702024095997E-3</v>
      </c>
      <c r="AG170" s="14">
        <v>0</v>
      </c>
      <c r="AH170" s="14"/>
      <c r="AI170" s="14">
        <v>9.8859888648318798E-3</v>
      </c>
      <c r="AJ170" s="14">
        <v>4.4947443600157301E-3</v>
      </c>
      <c r="AK170" s="14">
        <v>5.7434529077191399E-3</v>
      </c>
      <c r="AL170" s="14">
        <v>1.1802922393505499E-2</v>
      </c>
      <c r="AM170" s="14">
        <v>2.6275038819726301E-2</v>
      </c>
      <c r="AN170" s="14">
        <v>3.1950399797684798E-2</v>
      </c>
      <c r="AO170" s="14"/>
      <c r="AP170" s="14">
        <v>8.7498839305515993E-3</v>
      </c>
      <c r="AQ170" s="14">
        <v>1.5885283695646402E-2</v>
      </c>
      <c r="AR170" s="14"/>
      <c r="AS170" s="14" t="s">
        <v>88</v>
      </c>
      <c r="AT170" s="14" t="s">
        <v>88</v>
      </c>
      <c r="AU170" s="14">
        <v>1.29283637641214E-2</v>
      </c>
      <c r="AV170" s="14"/>
      <c r="AW170" s="14">
        <v>7.5796114530052297E-3</v>
      </c>
      <c r="AX170" s="14">
        <v>5.77720617359206E-3</v>
      </c>
      <c r="AY170" s="14"/>
      <c r="AZ170" s="14">
        <v>6.6820236308558403E-3</v>
      </c>
      <c r="BA170" s="14">
        <v>3.1955684246613797E-2</v>
      </c>
    </row>
    <row r="171" spans="2:53" x14ac:dyDescent="0.35">
      <c r="B171" t="s">
        <v>81</v>
      </c>
      <c r="C171" s="14">
        <v>0.75204933018220399</v>
      </c>
      <c r="D171" s="14">
        <v>0.76974092718312104</v>
      </c>
      <c r="E171" s="14">
        <v>0.73566600564795004</v>
      </c>
      <c r="F171" s="14"/>
      <c r="G171" s="14">
        <v>0.43925619550893402</v>
      </c>
      <c r="H171" s="14">
        <v>0.77019864484938105</v>
      </c>
      <c r="I171" s="14">
        <v>0.78660503658784497</v>
      </c>
      <c r="J171" s="14">
        <v>0.71837429597998104</v>
      </c>
      <c r="K171" s="14">
        <v>0.725824562902739</v>
      </c>
      <c r="L171" s="14">
        <v>0.84420691608730003</v>
      </c>
      <c r="M171" s="14"/>
      <c r="N171" s="14">
        <v>0.76815680228905303</v>
      </c>
      <c r="O171" s="14">
        <v>0.78709525925202894</v>
      </c>
      <c r="P171" s="14">
        <v>0.74002579299870697</v>
      </c>
      <c r="Q171" s="14">
        <v>0.70557719045359402</v>
      </c>
      <c r="R171" s="14"/>
      <c r="S171" s="14">
        <v>0.80871949552629496</v>
      </c>
      <c r="T171" s="14">
        <v>0.74624346766836103</v>
      </c>
      <c r="U171" s="14">
        <v>0.68500493107515903</v>
      </c>
      <c r="V171" s="14">
        <v>0.74695118099528302</v>
      </c>
      <c r="W171" s="14">
        <v>0.78396441035017195</v>
      </c>
      <c r="X171" s="14">
        <v>0.73720506989724799</v>
      </c>
      <c r="Y171" s="14">
        <v>0.76893807548200699</v>
      </c>
      <c r="Z171" s="14">
        <v>0.76452367666623999</v>
      </c>
      <c r="AA171" s="14">
        <v>0.71626556694331101</v>
      </c>
      <c r="AB171" s="14"/>
      <c r="AC171" s="14">
        <v>0.76171673058830303</v>
      </c>
      <c r="AD171" s="14">
        <v>0.69168794793191601</v>
      </c>
      <c r="AE171" s="14">
        <v>0.78065161112453796</v>
      </c>
      <c r="AF171" s="14">
        <v>0.80969225781602805</v>
      </c>
      <c r="AG171" s="14">
        <v>0.74629012699456998</v>
      </c>
      <c r="AH171" s="14"/>
      <c r="AI171" s="14">
        <v>0.72942297187424998</v>
      </c>
      <c r="AJ171" s="14">
        <v>0.79874711610155902</v>
      </c>
      <c r="AK171" s="14">
        <v>0.756802400459064</v>
      </c>
      <c r="AL171" s="14">
        <v>0.73246497713468395</v>
      </c>
      <c r="AM171" s="14">
        <v>0.756369422662719</v>
      </c>
      <c r="AN171" s="14">
        <v>0.76143163859229801</v>
      </c>
      <c r="AO171" s="14"/>
      <c r="AP171" s="14">
        <v>0.76233438508891704</v>
      </c>
      <c r="AQ171" s="14">
        <v>0.74305809805601797</v>
      </c>
      <c r="AR171" s="14"/>
      <c r="AS171" s="14" t="s">
        <v>88</v>
      </c>
      <c r="AT171" s="14" t="s">
        <v>88</v>
      </c>
      <c r="AU171" s="14">
        <v>0.75204933018220399</v>
      </c>
      <c r="AV171" s="14"/>
      <c r="AW171" s="14">
        <v>0.76155741885802797</v>
      </c>
      <c r="AX171" s="14">
        <v>0.83072406102348295</v>
      </c>
      <c r="AY171" s="14"/>
      <c r="AZ171" s="14">
        <v>0.77156626573827503</v>
      </c>
      <c r="BA171" s="14">
        <v>0.68566943108913203</v>
      </c>
    </row>
    <row r="172" spans="2:53" x14ac:dyDescent="0.35"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</row>
    <row r="173" spans="2:53" x14ac:dyDescent="0.35">
      <c r="B173" s="6" t="s">
        <v>96</v>
      </c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</row>
    <row r="174" spans="2:53" x14ac:dyDescent="0.35">
      <c r="B174" s="24" t="s">
        <v>101</v>
      </c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</row>
    <row r="175" spans="2:53" x14ac:dyDescent="0.35">
      <c r="B175" t="s">
        <v>76</v>
      </c>
      <c r="C175" s="14">
        <v>0.19774352649830301</v>
      </c>
      <c r="D175" s="14">
        <v>0.210566396116319</v>
      </c>
      <c r="E175" s="14">
        <v>0.18383505919520601</v>
      </c>
      <c r="F175" s="14"/>
      <c r="G175" s="14">
        <v>0</v>
      </c>
      <c r="H175" s="14">
        <v>0.206871593689884</v>
      </c>
      <c r="I175" s="14">
        <v>0.26578872255015401</v>
      </c>
      <c r="J175" s="14">
        <v>0.13971143706743799</v>
      </c>
      <c r="K175" s="14">
        <v>0.14613142668594201</v>
      </c>
      <c r="L175" s="14">
        <v>0.288207123441308</v>
      </c>
      <c r="M175" s="14"/>
      <c r="N175" s="14">
        <v>0.185950394826876</v>
      </c>
      <c r="O175" s="14">
        <v>0.15511772835497001</v>
      </c>
      <c r="P175" s="14">
        <v>0.232616073498949</v>
      </c>
      <c r="Q175" s="14">
        <v>0.22422372512396399</v>
      </c>
      <c r="R175" s="14"/>
      <c r="S175" s="14">
        <v>0.28267437174377402</v>
      </c>
      <c r="T175" s="14">
        <v>0.176739254595148</v>
      </c>
      <c r="U175" s="14">
        <v>0.20430404691510001</v>
      </c>
      <c r="V175" s="14">
        <v>0.228729028977877</v>
      </c>
      <c r="W175" s="14">
        <v>0.164410067290331</v>
      </c>
      <c r="X175" s="14">
        <v>0.181045034215705</v>
      </c>
      <c r="Y175" s="14">
        <v>0.148592029156426</v>
      </c>
      <c r="Z175" s="14">
        <v>0.222898666455214</v>
      </c>
      <c r="AA175" s="14">
        <v>0.15859133576912399</v>
      </c>
      <c r="AB175" s="14"/>
      <c r="AC175" s="14">
        <v>0.21880722222434701</v>
      </c>
      <c r="AD175" s="14">
        <v>0.12378698918682</v>
      </c>
      <c r="AE175" s="14">
        <v>0.200159282868584</v>
      </c>
      <c r="AF175" s="14">
        <v>0.30628220696584402</v>
      </c>
      <c r="AG175" s="14">
        <v>0.35027535332430099</v>
      </c>
      <c r="AH175" s="14"/>
      <c r="AI175" s="14">
        <v>0.21415404467876301</v>
      </c>
      <c r="AJ175" s="14">
        <v>0.24220024912358901</v>
      </c>
      <c r="AK175" s="14">
        <v>0.23324936457628201</v>
      </c>
      <c r="AL175" s="14">
        <v>0.18048611562578201</v>
      </c>
      <c r="AM175" s="14">
        <v>0.106264456262587</v>
      </c>
      <c r="AN175" s="14">
        <v>0.169949999030587</v>
      </c>
      <c r="AO175" s="14"/>
      <c r="AP175" s="14">
        <v>0.18240611391789499</v>
      </c>
      <c r="AQ175" s="14">
        <v>0.21414921219463501</v>
      </c>
      <c r="AR175" s="14"/>
      <c r="AS175" s="14" t="s">
        <v>88</v>
      </c>
      <c r="AT175" s="14" t="s">
        <v>88</v>
      </c>
      <c r="AU175" s="14">
        <v>0.19774352649830301</v>
      </c>
      <c r="AV175" s="14"/>
      <c r="AW175" s="14">
        <v>0.18276258134435</v>
      </c>
      <c r="AX175" s="14">
        <v>0.27903122052622098</v>
      </c>
      <c r="AY175" s="14"/>
      <c r="AZ175" s="14">
        <v>0.21345886682773299</v>
      </c>
      <c r="BA175" s="14">
        <v>0.14279440921434</v>
      </c>
    </row>
    <row r="176" spans="2:53" x14ac:dyDescent="0.35">
      <c r="B176" t="s">
        <v>77</v>
      </c>
      <c r="C176" s="14">
        <v>0.37394892884620401</v>
      </c>
      <c r="D176" s="14">
        <v>0.36619731296239399</v>
      </c>
      <c r="E176" s="14">
        <v>0.38218920761594299</v>
      </c>
      <c r="F176" s="14"/>
      <c r="G176" s="14">
        <v>0.56074380449106598</v>
      </c>
      <c r="H176" s="14">
        <v>0.45864915369644799</v>
      </c>
      <c r="I176" s="14">
        <v>0.37156028741636699</v>
      </c>
      <c r="J176" s="14">
        <v>0.37216897057816201</v>
      </c>
      <c r="K176" s="14">
        <v>0.33679194792836598</v>
      </c>
      <c r="L176" s="14">
        <v>0.32323850661625098</v>
      </c>
      <c r="M176" s="14"/>
      <c r="N176" s="14">
        <v>0.38348217920575201</v>
      </c>
      <c r="O176" s="14">
        <v>0.39645507591622198</v>
      </c>
      <c r="P176" s="14">
        <v>0.33275174628529097</v>
      </c>
      <c r="Q176" s="14">
        <v>0.37648832494585899</v>
      </c>
      <c r="R176" s="14"/>
      <c r="S176" s="14">
        <v>0.351253747312326</v>
      </c>
      <c r="T176" s="14">
        <v>0.33418866282078602</v>
      </c>
      <c r="U176" s="14">
        <v>0.37188702642559801</v>
      </c>
      <c r="V176" s="14">
        <v>0.33788919280684399</v>
      </c>
      <c r="W176" s="14">
        <v>0.41292888840368802</v>
      </c>
      <c r="X176" s="14">
        <v>0.41482480495975999</v>
      </c>
      <c r="Y176" s="14">
        <v>0.36075940001007301</v>
      </c>
      <c r="Z176" s="14">
        <v>0.37963665791708101</v>
      </c>
      <c r="AA176" s="14">
        <v>0.42742052993296498</v>
      </c>
      <c r="AB176" s="14"/>
      <c r="AC176" s="14">
        <v>0.33036285218628703</v>
      </c>
      <c r="AD176" s="14">
        <v>0.370430320942503</v>
      </c>
      <c r="AE176" s="14">
        <v>0.40846137471899002</v>
      </c>
      <c r="AF176" s="14">
        <v>0.37331278942246598</v>
      </c>
      <c r="AG176" s="14">
        <v>0.230314774769632</v>
      </c>
      <c r="AH176" s="14"/>
      <c r="AI176" s="14">
        <v>0.398778148928988</v>
      </c>
      <c r="AJ176" s="14">
        <v>0.38752417045263099</v>
      </c>
      <c r="AK176" s="14">
        <v>0.36940117862904998</v>
      </c>
      <c r="AL176" s="14">
        <v>0.30849690837565802</v>
      </c>
      <c r="AM176" s="14">
        <v>0.426764928570186</v>
      </c>
      <c r="AN176" s="14">
        <v>0.33130907850000701</v>
      </c>
      <c r="AO176" s="14"/>
      <c r="AP176" s="14">
        <v>0.37814074975365097</v>
      </c>
      <c r="AQ176" s="14">
        <v>0.370003635887584</v>
      </c>
      <c r="AR176" s="14"/>
      <c r="AS176" s="14" t="s">
        <v>88</v>
      </c>
      <c r="AT176" s="14" t="s">
        <v>88</v>
      </c>
      <c r="AU176" s="14">
        <v>0.37394892884620401</v>
      </c>
      <c r="AV176" s="14"/>
      <c r="AW176" s="14">
        <v>0.37727259491641302</v>
      </c>
      <c r="AX176" s="14">
        <v>0.40571018450912</v>
      </c>
      <c r="AY176" s="14"/>
      <c r="AZ176" s="14">
        <v>0.37221845937568399</v>
      </c>
      <c r="BA176" s="14">
        <v>0.38063937493279998</v>
      </c>
    </row>
    <row r="177" spans="2:53" x14ac:dyDescent="0.35">
      <c r="B177" t="s">
        <v>78</v>
      </c>
      <c r="C177" s="14">
        <v>0.31602983257911599</v>
      </c>
      <c r="D177" s="14">
        <v>0.32190220401436598</v>
      </c>
      <c r="E177" s="14">
        <v>0.31069195102671698</v>
      </c>
      <c r="F177" s="14"/>
      <c r="G177" s="14">
        <v>0</v>
      </c>
      <c r="H177" s="14">
        <v>0.264130057395146</v>
      </c>
      <c r="I177" s="14">
        <v>0.254777279402776</v>
      </c>
      <c r="J177" s="14">
        <v>0.366852241471676</v>
      </c>
      <c r="K177" s="14">
        <v>0.393058953525527</v>
      </c>
      <c r="L177" s="14">
        <v>0.29965544337058397</v>
      </c>
      <c r="M177" s="14"/>
      <c r="N177" s="14">
        <v>0.34013384751372999</v>
      </c>
      <c r="O177" s="14">
        <v>0.33962468455358502</v>
      </c>
      <c r="P177" s="14">
        <v>0.30649865271862797</v>
      </c>
      <c r="Q177" s="14">
        <v>0.27191546969254499</v>
      </c>
      <c r="R177" s="14"/>
      <c r="S177" s="14">
        <v>0.28046871454843603</v>
      </c>
      <c r="T177" s="14">
        <v>0.37281702585072601</v>
      </c>
      <c r="U177" s="14">
        <v>0.28860139486493203</v>
      </c>
      <c r="V177" s="14">
        <v>0.29407203049785302</v>
      </c>
      <c r="W177" s="14">
        <v>0.29478487856390201</v>
      </c>
      <c r="X177" s="14">
        <v>0.265170197856956</v>
      </c>
      <c r="Y177" s="14">
        <v>0.41979518099969299</v>
      </c>
      <c r="Z177" s="14">
        <v>0.26262631256532099</v>
      </c>
      <c r="AA177" s="14">
        <v>0.32421161253709702</v>
      </c>
      <c r="AB177" s="14"/>
      <c r="AC177" s="14">
        <v>0.31858527269391801</v>
      </c>
      <c r="AD177" s="14">
        <v>0.377987210094548</v>
      </c>
      <c r="AE177" s="14">
        <v>0.29568485922221699</v>
      </c>
      <c r="AF177" s="14">
        <v>0.248703157430264</v>
      </c>
      <c r="AG177" s="14">
        <v>0.36751797885873799</v>
      </c>
      <c r="AH177" s="14"/>
      <c r="AI177" s="14">
        <v>0.28226086898175801</v>
      </c>
      <c r="AJ177" s="14">
        <v>0.261656363353023</v>
      </c>
      <c r="AK177" s="14">
        <v>0.25355252262701899</v>
      </c>
      <c r="AL177" s="14">
        <v>0.37066654344389699</v>
      </c>
      <c r="AM177" s="14">
        <v>0.39977372929294203</v>
      </c>
      <c r="AN177" s="14">
        <v>0.39162325670209303</v>
      </c>
      <c r="AO177" s="14"/>
      <c r="AP177" s="14">
        <v>0.33288704053195101</v>
      </c>
      <c r="AQ177" s="14">
        <v>0.29835248777012902</v>
      </c>
      <c r="AR177" s="14"/>
      <c r="AS177" s="14" t="s">
        <v>88</v>
      </c>
      <c r="AT177" s="14" t="s">
        <v>88</v>
      </c>
      <c r="AU177" s="14">
        <v>0.31602983257911599</v>
      </c>
      <c r="AV177" s="14"/>
      <c r="AW177" s="14">
        <v>0.32859381932696902</v>
      </c>
      <c r="AX177" s="14">
        <v>0.25537609685368001</v>
      </c>
      <c r="AY177" s="14"/>
      <c r="AZ177" s="14">
        <v>0.30240169237604098</v>
      </c>
      <c r="BA177" s="14">
        <v>0.36905929076730298</v>
      </c>
    </row>
    <row r="178" spans="2:53" x14ac:dyDescent="0.35">
      <c r="B178" t="s">
        <v>79</v>
      </c>
      <c r="C178" s="14">
        <v>9.4429138617526401E-2</v>
      </c>
      <c r="D178" s="14">
        <v>8.5282729718988398E-2</v>
      </c>
      <c r="E178" s="14">
        <v>0.103628628377552</v>
      </c>
      <c r="F178" s="14"/>
      <c r="G178" s="14">
        <v>0.43925619550893402</v>
      </c>
      <c r="H178" s="14">
        <v>7.0349195218521898E-2</v>
      </c>
      <c r="I178" s="14">
        <v>8.3483595224317197E-2</v>
      </c>
      <c r="J178" s="14">
        <v>0.10338203145946</v>
      </c>
      <c r="K178" s="14">
        <v>0.111728866208009</v>
      </c>
      <c r="L178" s="14">
        <v>8.8898926571856302E-2</v>
      </c>
      <c r="M178" s="14"/>
      <c r="N178" s="14">
        <v>8.3136800229642802E-2</v>
      </c>
      <c r="O178" s="14">
        <v>0.10356229857441</v>
      </c>
      <c r="P178" s="14">
        <v>0.122393399817347</v>
      </c>
      <c r="Q178" s="14">
        <v>7.2676855979791705E-2</v>
      </c>
      <c r="R178" s="14"/>
      <c r="S178" s="14">
        <v>7.2933803291325594E-2</v>
      </c>
      <c r="T178" s="14">
        <v>9.5282401706934305E-2</v>
      </c>
      <c r="U178" s="14">
        <v>0.10733743661687099</v>
      </c>
      <c r="V178" s="14">
        <v>0.116597311610599</v>
      </c>
      <c r="W178" s="14">
        <v>0.112161903258404</v>
      </c>
      <c r="X178" s="14">
        <v>0.13089243344736901</v>
      </c>
      <c r="Y178" s="14">
        <v>6.6842472113241305E-2</v>
      </c>
      <c r="Z178" s="14">
        <v>8.4084718629056407E-2</v>
      </c>
      <c r="AA178" s="14">
        <v>7.41165897182752E-2</v>
      </c>
      <c r="AB178" s="14"/>
      <c r="AC178" s="14">
        <v>0.10819702691118301</v>
      </c>
      <c r="AD178" s="14">
        <v>0.121065944999696</v>
      </c>
      <c r="AE178" s="14">
        <v>8.6063761216743695E-2</v>
      </c>
      <c r="AF178" s="14">
        <v>7.1701846181425694E-2</v>
      </c>
      <c r="AG178" s="14">
        <v>5.1891893047329302E-2</v>
      </c>
      <c r="AH178" s="14"/>
      <c r="AI178" s="14">
        <v>8.8505942796987702E-2</v>
      </c>
      <c r="AJ178" s="14">
        <v>0.105606257866716</v>
      </c>
      <c r="AK178" s="14">
        <v>0.12728654907723599</v>
      </c>
      <c r="AL178" s="14">
        <v>0.118906161355865</v>
      </c>
      <c r="AM178" s="14">
        <v>4.09218470545595E-2</v>
      </c>
      <c r="AN178" s="14">
        <v>5.8198235495777302E-2</v>
      </c>
      <c r="AO178" s="14"/>
      <c r="AP178" s="14">
        <v>9.0223531585705105E-2</v>
      </c>
      <c r="AQ178" s="14">
        <v>9.9721750205106305E-2</v>
      </c>
      <c r="AR178" s="14"/>
      <c r="AS178" s="14" t="s">
        <v>88</v>
      </c>
      <c r="AT178" s="14" t="s">
        <v>88</v>
      </c>
      <c r="AU178" s="14">
        <v>9.4429138617526401E-2</v>
      </c>
      <c r="AV178" s="14"/>
      <c r="AW178" s="14">
        <v>9.6943209001559894E-2</v>
      </c>
      <c r="AX178" s="14">
        <v>5.4105291937387098E-2</v>
      </c>
      <c r="AY178" s="14"/>
      <c r="AZ178" s="14">
        <v>9.7167947639311303E-2</v>
      </c>
      <c r="BA178" s="14">
        <v>8.2030991579676402E-2</v>
      </c>
    </row>
    <row r="179" spans="2:53" x14ac:dyDescent="0.35">
      <c r="B179" t="s">
        <v>80</v>
      </c>
      <c r="C179" s="14">
        <v>1.7848573458850402E-2</v>
      </c>
      <c r="D179" s="14">
        <v>1.6051357187932599E-2</v>
      </c>
      <c r="E179" s="14">
        <v>1.9655153784581401E-2</v>
      </c>
      <c r="F179" s="14"/>
      <c r="G179" s="14">
        <v>0</v>
      </c>
      <c r="H179" s="14">
        <v>0</v>
      </c>
      <c r="I179" s="14">
        <v>2.4390115406385901E-2</v>
      </c>
      <c r="J179" s="14">
        <v>1.7885319423265201E-2</v>
      </c>
      <c r="K179" s="14">
        <v>1.2288805652156599E-2</v>
      </c>
      <c r="L179" s="14">
        <v>0</v>
      </c>
      <c r="M179" s="14"/>
      <c r="N179" s="14">
        <v>7.2967782239993801E-3</v>
      </c>
      <c r="O179" s="14">
        <v>5.2402126008125197E-3</v>
      </c>
      <c r="P179" s="14">
        <v>5.7401276797851902E-3</v>
      </c>
      <c r="Q179" s="14">
        <v>5.4695624257840601E-2</v>
      </c>
      <c r="R179" s="14"/>
      <c r="S179" s="14">
        <v>1.26693631041383E-2</v>
      </c>
      <c r="T179" s="14">
        <v>2.0972655026404701E-2</v>
      </c>
      <c r="U179" s="14">
        <v>2.7870095177498399E-2</v>
      </c>
      <c r="V179" s="14">
        <v>2.2712436106826401E-2</v>
      </c>
      <c r="W179" s="14">
        <v>1.5714262483675301E-2</v>
      </c>
      <c r="X179" s="14">
        <v>8.0675295202096292E-3</v>
      </c>
      <c r="Y179" s="14">
        <v>4.0109177205673698E-3</v>
      </c>
      <c r="Z179" s="14">
        <v>5.0753644433327E-2</v>
      </c>
      <c r="AA179" s="14">
        <v>1.5659932042539099E-2</v>
      </c>
      <c r="AB179" s="14"/>
      <c r="AC179" s="14">
        <v>2.4047625984264302E-2</v>
      </c>
      <c r="AD179" s="14">
        <v>6.7295347764326097E-3</v>
      </c>
      <c r="AE179" s="14">
        <v>9.6307219734651107E-3</v>
      </c>
      <c r="AF179" s="14">
        <v>0</v>
      </c>
      <c r="AG179" s="14">
        <v>0</v>
      </c>
      <c r="AH179" s="14"/>
      <c r="AI179" s="14">
        <v>1.6300994613503799E-2</v>
      </c>
      <c r="AJ179" s="14">
        <v>3.0129592040413402E-3</v>
      </c>
      <c r="AK179" s="14">
        <v>1.65103850904126E-2</v>
      </c>
      <c r="AL179" s="14">
        <v>2.14442711987975E-2</v>
      </c>
      <c r="AM179" s="14">
        <v>2.6275038819726301E-2</v>
      </c>
      <c r="AN179" s="14">
        <v>4.8919430271535301E-2</v>
      </c>
      <c r="AO179" s="14"/>
      <c r="AP179" s="14">
        <v>1.6342564210798102E-2</v>
      </c>
      <c r="AQ179" s="14">
        <v>1.7772913942545401E-2</v>
      </c>
      <c r="AR179" s="14"/>
      <c r="AS179" s="14" t="s">
        <v>88</v>
      </c>
      <c r="AT179" s="14" t="s">
        <v>88</v>
      </c>
      <c r="AU179" s="14">
        <v>1.7848573458850402E-2</v>
      </c>
      <c r="AV179" s="14"/>
      <c r="AW179" s="14">
        <v>1.44277954107084E-2</v>
      </c>
      <c r="AX179" s="14">
        <v>5.77720617359206E-3</v>
      </c>
      <c r="AY179" s="14"/>
      <c r="AZ179" s="14">
        <v>1.47530337812312E-2</v>
      </c>
      <c r="BA179" s="14">
        <v>2.547593350588E-2</v>
      </c>
    </row>
    <row r="180" spans="2:53" x14ac:dyDescent="0.35">
      <c r="B180" t="s">
        <v>81</v>
      </c>
      <c r="C180" s="14">
        <v>0.57169245534450697</v>
      </c>
      <c r="D180" s="14">
        <v>0.57676370907871299</v>
      </c>
      <c r="E180" s="14">
        <v>0.56602426681114903</v>
      </c>
      <c r="F180" s="14"/>
      <c r="G180" s="14">
        <v>0.56074380449106598</v>
      </c>
      <c r="H180" s="14">
        <v>0.66552074738633205</v>
      </c>
      <c r="I180" s="14">
        <v>0.637349009966521</v>
      </c>
      <c r="J180" s="14">
        <v>0.51188040764559894</v>
      </c>
      <c r="K180" s="14">
        <v>0.48292337461430801</v>
      </c>
      <c r="L180" s="14">
        <v>0.61144563005755903</v>
      </c>
      <c r="M180" s="14"/>
      <c r="N180" s="14">
        <v>0.56943257403262804</v>
      </c>
      <c r="O180" s="14">
        <v>0.55157280427119204</v>
      </c>
      <c r="P180" s="14">
        <v>0.56536781978424</v>
      </c>
      <c r="Q180" s="14">
        <v>0.60071205006982298</v>
      </c>
      <c r="R180" s="14"/>
      <c r="S180" s="14">
        <v>0.63392811905610003</v>
      </c>
      <c r="T180" s="14">
        <v>0.51092791741593502</v>
      </c>
      <c r="U180" s="14">
        <v>0.57619107334069797</v>
      </c>
      <c r="V180" s="14">
        <v>0.56661822178472199</v>
      </c>
      <c r="W180" s="14">
        <v>0.57733895569401905</v>
      </c>
      <c r="X180" s="14">
        <v>0.59586983917546499</v>
      </c>
      <c r="Y180" s="14">
        <v>0.509351429166499</v>
      </c>
      <c r="Z180" s="14">
        <v>0.60253532437229496</v>
      </c>
      <c r="AA180" s="14">
        <v>0.58601186570208896</v>
      </c>
      <c r="AB180" s="14"/>
      <c r="AC180" s="14">
        <v>0.54917007441063403</v>
      </c>
      <c r="AD180" s="14">
        <v>0.49421731012932302</v>
      </c>
      <c r="AE180" s="14">
        <v>0.608620657587574</v>
      </c>
      <c r="AF180" s="14">
        <v>0.67959499638831</v>
      </c>
      <c r="AG180" s="14">
        <v>0.58059012809393296</v>
      </c>
      <c r="AH180" s="14"/>
      <c r="AI180" s="14">
        <v>0.61293219360775097</v>
      </c>
      <c r="AJ180" s="14">
        <v>0.62972441957622005</v>
      </c>
      <c r="AK180" s="14">
        <v>0.60265054320533196</v>
      </c>
      <c r="AL180" s="14">
        <v>0.48898302400144</v>
      </c>
      <c r="AM180" s="14">
        <v>0.53302938483277196</v>
      </c>
      <c r="AN180" s="14">
        <v>0.50125907753059395</v>
      </c>
      <c r="AO180" s="14"/>
      <c r="AP180" s="14">
        <v>0.56054686367154605</v>
      </c>
      <c r="AQ180" s="14">
        <v>0.58415284808221901</v>
      </c>
      <c r="AR180" s="14"/>
      <c r="AS180" s="14" t="s">
        <v>88</v>
      </c>
      <c r="AT180" s="14" t="s">
        <v>88</v>
      </c>
      <c r="AU180" s="14">
        <v>0.57169245534450697</v>
      </c>
      <c r="AV180" s="14"/>
      <c r="AW180" s="14">
        <v>0.56003517626076305</v>
      </c>
      <c r="AX180" s="14">
        <v>0.68474140503534098</v>
      </c>
      <c r="AY180" s="14"/>
      <c r="AZ180" s="14">
        <v>0.58567732620341695</v>
      </c>
      <c r="BA180" s="14">
        <v>0.52343378414714103</v>
      </c>
    </row>
    <row r="181" spans="2:53" x14ac:dyDescent="0.35"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</row>
    <row r="182" spans="2:53" x14ac:dyDescent="0.35">
      <c r="B182" s="6" t="s">
        <v>97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</row>
    <row r="183" spans="2:53" x14ac:dyDescent="0.35">
      <c r="B183" s="24" t="s">
        <v>101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</row>
    <row r="184" spans="2:53" x14ac:dyDescent="0.35">
      <c r="B184" t="s">
        <v>76</v>
      </c>
      <c r="C184" s="14">
        <v>0.25347463051191399</v>
      </c>
      <c r="D184" s="14">
        <v>0.27723755167198799</v>
      </c>
      <c r="E184" s="14">
        <v>0.23032675937930999</v>
      </c>
      <c r="F184" s="14"/>
      <c r="G184" s="14">
        <v>0.56074380449106598</v>
      </c>
      <c r="H184" s="14">
        <v>0.21916790984168</v>
      </c>
      <c r="I184" s="14">
        <v>0.30467507394532201</v>
      </c>
      <c r="J184" s="14">
        <v>0.226107326127863</v>
      </c>
      <c r="K184" s="14">
        <v>0.19476701374181801</v>
      </c>
      <c r="L184" s="14">
        <v>0.25379789562614602</v>
      </c>
      <c r="M184" s="14"/>
      <c r="N184" s="14">
        <v>0.27982609080543902</v>
      </c>
      <c r="O184" s="14">
        <v>0.23966576867881201</v>
      </c>
      <c r="P184" s="14">
        <v>0.23059593467846901</v>
      </c>
      <c r="Q184" s="14">
        <v>0.26099743733594899</v>
      </c>
      <c r="R184" s="14"/>
      <c r="S184" s="14">
        <v>0.368317265977472</v>
      </c>
      <c r="T184" s="14">
        <v>0.25362683263890001</v>
      </c>
      <c r="U184" s="14">
        <v>0.134876517741402</v>
      </c>
      <c r="V184" s="14">
        <v>0.218499684308257</v>
      </c>
      <c r="W184" s="14">
        <v>0.30712695508875698</v>
      </c>
      <c r="X184" s="14">
        <v>0.26472993992850102</v>
      </c>
      <c r="Y184" s="14">
        <v>0.168973207414572</v>
      </c>
      <c r="Z184" s="14">
        <v>0.28469797671062602</v>
      </c>
      <c r="AA184" s="14">
        <v>0.24354609381387499</v>
      </c>
      <c r="AB184" s="14"/>
      <c r="AC184" s="14">
        <v>0.17790022529477101</v>
      </c>
      <c r="AD184" s="14">
        <v>0.20958404568618999</v>
      </c>
      <c r="AE184" s="14">
        <v>0.290062033038959</v>
      </c>
      <c r="AF184" s="14">
        <v>0.39809334780678102</v>
      </c>
      <c r="AG184" s="14">
        <v>0.44451463347548398</v>
      </c>
      <c r="AH184" s="14"/>
      <c r="AI184" s="14">
        <v>0.282490431161602</v>
      </c>
      <c r="AJ184" s="14">
        <v>0.25585208426883399</v>
      </c>
      <c r="AK184" s="14">
        <v>0.29091114320338701</v>
      </c>
      <c r="AL184" s="14">
        <v>0.194403459032534</v>
      </c>
      <c r="AM184" s="14">
        <v>0.34876566849663998</v>
      </c>
      <c r="AN184" s="14">
        <v>0.222570007379045</v>
      </c>
      <c r="AO184" s="14"/>
      <c r="AP184" s="14">
        <v>0.23796769812983201</v>
      </c>
      <c r="AQ184" s="14">
        <v>0.27061767417093602</v>
      </c>
      <c r="AR184" s="14"/>
      <c r="AS184" s="14" t="s">
        <v>88</v>
      </c>
      <c r="AT184" s="14" t="s">
        <v>88</v>
      </c>
      <c r="AU184" s="14">
        <v>0.25347463051191399</v>
      </c>
      <c r="AV184" s="14"/>
      <c r="AW184" s="14">
        <v>0.237337840738991</v>
      </c>
      <c r="AX184" s="14">
        <v>0.39863342618393299</v>
      </c>
      <c r="AY184" s="14"/>
      <c r="AZ184" s="14">
        <v>0.26303283698652702</v>
      </c>
      <c r="BA184" s="14">
        <v>0.221523642276821</v>
      </c>
    </row>
    <row r="185" spans="2:53" x14ac:dyDescent="0.35">
      <c r="B185" t="s">
        <v>77</v>
      </c>
      <c r="C185" s="14">
        <v>0.44239364701072598</v>
      </c>
      <c r="D185" s="14">
        <v>0.45167586232928503</v>
      </c>
      <c r="E185" s="14">
        <v>0.43387002155292398</v>
      </c>
      <c r="F185" s="14"/>
      <c r="G185" s="14">
        <v>0</v>
      </c>
      <c r="H185" s="14">
        <v>0.45539895648071799</v>
      </c>
      <c r="I185" s="14">
        <v>0.40981997510935197</v>
      </c>
      <c r="J185" s="14">
        <v>0.47286675706703202</v>
      </c>
      <c r="K185" s="14">
        <v>0.448146054959145</v>
      </c>
      <c r="L185" s="14">
        <v>0.44963112612026801</v>
      </c>
      <c r="M185" s="14"/>
      <c r="N185" s="14">
        <v>0.49312738631330499</v>
      </c>
      <c r="O185" s="14">
        <v>0.49466748213822398</v>
      </c>
      <c r="P185" s="14">
        <v>0.38458819980396902</v>
      </c>
      <c r="Q185" s="14">
        <v>0.38268518680792402</v>
      </c>
      <c r="R185" s="14"/>
      <c r="S185" s="14">
        <v>0.41820810141665099</v>
      </c>
      <c r="T185" s="14">
        <v>0.38361215513548302</v>
      </c>
      <c r="U185" s="14">
        <v>0.48849654468915299</v>
      </c>
      <c r="V185" s="14">
        <v>0.50890483203442605</v>
      </c>
      <c r="W185" s="14">
        <v>0.39135476837215799</v>
      </c>
      <c r="X185" s="14">
        <v>0.47133331818706398</v>
      </c>
      <c r="Y185" s="14">
        <v>0.41934696726555898</v>
      </c>
      <c r="Z185" s="14">
        <v>0.32226911903620897</v>
      </c>
      <c r="AA185" s="14">
        <v>0.53115247553067002</v>
      </c>
      <c r="AB185" s="14"/>
      <c r="AC185" s="14">
        <v>0.44451531544688</v>
      </c>
      <c r="AD185" s="14">
        <v>0.367259218516993</v>
      </c>
      <c r="AE185" s="14">
        <v>0.468667162742818</v>
      </c>
      <c r="AF185" s="14">
        <v>0.44999358925792998</v>
      </c>
      <c r="AG185" s="14">
        <v>0.27871085872010098</v>
      </c>
      <c r="AH185" s="14"/>
      <c r="AI185" s="14">
        <v>0.46318765569796799</v>
      </c>
      <c r="AJ185" s="14">
        <v>0.45035219588639103</v>
      </c>
      <c r="AK185" s="14">
        <v>0.43671362239387201</v>
      </c>
      <c r="AL185" s="14">
        <v>0.41524500636711498</v>
      </c>
      <c r="AM185" s="14">
        <v>0.43988230071048101</v>
      </c>
      <c r="AN185" s="14">
        <v>0.46194557245399798</v>
      </c>
      <c r="AO185" s="14"/>
      <c r="AP185" s="14">
        <v>0.45924977946198098</v>
      </c>
      <c r="AQ185" s="14">
        <v>0.42430737542723101</v>
      </c>
      <c r="AR185" s="14"/>
      <c r="AS185" s="14" t="s">
        <v>88</v>
      </c>
      <c r="AT185" s="14" t="s">
        <v>88</v>
      </c>
      <c r="AU185" s="14">
        <v>0.44239364701072598</v>
      </c>
      <c r="AV185" s="14"/>
      <c r="AW185" s="14">
        <v>0.45013528022111299</v>
      </c>
      <c r="AX185" s="14">
        <v>0.43589886778182202</v>
      </c>
      <c r="AY185" s="14"/>
      <c r="AZ185" s="14">
        <v>0.45368797247341502</v>
      </c>
      <c r="BA185" s="14">
        <v>0.402489586609865</v>
      </c>
    </row>
    <row r="186" spans="2:53" x14ac:dyDescent="0.35">
      <c r="B186" t="s">
        <v>78</v>
      </c>
      <c r="C186" s="14">
        <v>0.22707750211621699</v>
      </c>
      <c r="D186" s="14">
        <v>0.213900387680311</v>
      </c>
      <c r="E186" s="14">
        <v>0.23895899205142301</v>
      </c>
      <c r="F186" s="14"/>
      <c r="G186" s="14">
        <v>0</v>
      </c>
      <c r="H186" s="14">
        <v>0.302528316711135</v>
      </c>
      <c r="I186" s="14">
        <v>0.20846570507189199</v>
      </c>
      <c r="J186" s="14">
        <v>0.21025733601449301</v>
      </c>
      <c r="K186" s="14">
        <v>0.29769299015883699</v>
      </c>
      <c r="L186" s="14">
        <v>0.193521792202305</v>
      </c>
      <c r="M186" s="14"/>
      <c r="N186" s="14">
        <v>0.187410471353604</v>
      </c>
      <c r="O186" s="14">
        <v>0.19922533526909</v>
      </c>
      <c r="P186" s="14">
        <v>0.28825985113125202</v>
      </c>
      <c r="Q186" s="14">
        <v>0.243117968097744</v>
      </c>
      <c r="R186" s="14"/>
      <c r="S186" s="14">
        <v>0.185918929922752</v>
      </c>
      <c r="T186" s="14">
        <v>0.275483360603341</v>
      </c>
      <c r="U186" s="14">
        <v>0.299155354319045</v>
      </c>
      <c r="V186" s="14">
        <v>0.14702449995583999</v>
      </c>
      <c r="W186" s="14">
        <v>0.22483404877194399</v>
      </c>
      <c r="X186" s="14">
        <v>0.187194850582244</v>
      </c>
      <c r="Y186" s="14">
        <v>0.32792840157346198</v>
      </c>
      <c r="Z186" s="14">
        <v>0.28553304626828901</v>
      </c>
      <c r="AA186" s="14">
        <v>0.16135862803492901</v>
      </c>
      <c r="AB186" s="14"/>
      <c r="AC186" s="14">
        <v>0.26869556292375002</v>
      </c>
      <c r="AD186" s="14">
        <v>0.34078079504811598</v>
      </c>
      <c r="AE186" s="14">
        <v>0.18560359831451101</v>
      </c>
      <c r="AF186" s="14">
        <v>0.124719248207575</v>
      </c>
      <c r="AG186" s="14">
        <v>0.24703832117484001</v>
      </c>
      <c r="AH186" s="14"/>
      <c r="AI186" s="14">
        <v>0.21228497371475999</v>
      </c>
      <c r="AJ186" s="14">
        <v>0.196302527322813</v>
      </c>
      <c r="AK186" s="14">
        <v>0.20016829621693499</v>
      </c>
      <c r="AL186" s="14">
        <v>0.286084357287891</v>
      </c>
      <c r="AM186" s="14">
        <v>0.185076991973153</v>
      </c>
      <c r="AN186" s="14">
        <v>0.20449491346021001</v>
      </c>
      <c r="AO186" s="14"/>
      <c r="AP186" s="14">
        <v>0.226438509124534</v>
      </c>
      <c r="AQ186" s="14">
        <v>0.2289649778708</v>
      </c>
      <c r="AR186" s="14"/>
      <c r="AS186" s="14" t="s">
        <v>88</v>
      </c>
      <c r="AT186" s="14" t="s">
        <v>88</v>
      </c>
      <c r="AU186" s="14">
        <v>0.22707750211621699</v>
      </c>
      <c r="AV186" s="14"/>
      <c r="AW186" s="14">
        <v>0.24387493342151501</v>
      </c>
      <c r="AX186" s="14">
        <v>0.12594694564060799</v>
      </c>
      <c r="AY186" s="14"/>
      <c r="AZ186" s="14">
        <v>0.21584745271923</v>
      </c>
      <c r="BA186" s="14">
        <v>0.26692434728706599</v>
      </c>
    </row>
    <row r="187" spans="2:53" x14ac:dyDescent="0.35">
      <c r="B187" t="s">
        <v>79</v>
      </c>
      <c r="C187" s="14">
        <v>6.60570135253256E-2</v>
      </c>
      <c r="D187" s="14">
        <v>5.1871276448041903E-2</v>
      </c>
      <c r="E187" s="14">
        <v>8.0203713421684794E-2</v>
      </c>
      <c r="F187" s="14"/>
      <c r="G187" s="14">
        <v>0.43925619550893402</v>
      </c>
      <c r="H187" s="14">
        <v>1.22534078589253E-2</v>
      </c>
      <c r="I187" s="14">
        <v>5.7052491280517197E-2</v>
      </c>
      <c r="J187" s="14">
        <v>8.4580636803913506E-2</v>
      </c>
      <c r="K187" s="14">
        <v>5.9393941140200197E-2</v>
      </c>
      <c r="L187" s="14">
        <v>0.10304918605128099</v>
      </c>
      <c r="M187" s="14"/>
      <c r="N187" s="14">
        <v>3.9636051527652302E-2</v>
      </c>
      <c r="O187" s="14">
        <v>6.6441413913873704E-2</v>
      </c>
      <c r="P187" s="14">
        <v>9.0815886706524601E-2</v>
      </c>
      <c r="Q187" s="14">
        <v>7.3179987088249604E-2</v>
      </c>
      <c r="R187" s="14"/>
      <c r="S187" s="14">
        <v>2.0870972753887398E-2</v>
      </c>
      <c r="T187" s="14">
        <v>8.0529586066879003E-2</v>
      </c>
      <c r="U187" s="14">
        <v>5.1513336792239198E-2</v>
      </c>
      <c r="V187" s="14">
        <v>0.11555829918681</v>
      </c>
      <c r="W187" s="14">
        <v>7.66842277671414E-2</v>
      </c>
      <c r="X187" s="14">
        <v>6.8674361781980497E-2</v>
      </c>
      <c r="Y187" s="14">
        <v>7.5416775419462803E-2</v>
      </c>
      <c r="Z187" s="14">
        <v>5.6746213551548401E-2</v>
      </c>
      <c r="AA187" s="14">
        <v>5.6513822152562697E-2</v>
      </c>
      <c r="AB187" s="14"/>
      <c r="AC187" s="14">
        <v>9.0074909075383805E-2</v>
      </c>
      <c r="AD187" s="14">
        <v>8.2375940748701096E-2</v>
      </c>
      <c r="AE187" s="14">
        <v>5.5667205903710902E-2</v>
      </c>
      <c r="AF187" s="14">
        <v>2.7193814727714101E-2</v>
      </c>
      <c r="AG187" s="14">
        <v>2.97361866295749E-2</v>
      </c>
      <c r="AH187" s="14"/>
      <c r="AI187" s="14">
        <v>3.6028567401312099E-2</v>
      </c>
      <c r="AJ187" s="14">
        <v>9.7493192521961994E-2</v>
      </c>
      <c r="AK187" s="14">
        <v>7.2206938185805494E-2</v>
      </c>
      <c r="AL187" s="14">
        <v>9.6206376210689906E-2</v>
      </c>
      <c r="AM187" s="14">
        <v>0</v>
      </c>
      <c r="AN187" s="14">
        <v>6.2070076435212798E-2</v>
      </c>
      <c r="AO187" s="14"/>
      <c r="AP187" s="14">
        <v>6.5699877405854604E-2</v>
      </c>
      <c r="AQ187" s="14">
        <v>6.4652805902776903E-2</v>
      </c>
      <c r="AR187" s="14"/>
      <c r="AS187" s="14" t="s">
        <v>88</v>
      </c>
      <c r="AT187" s="14" t="s">
        <v>88</v>
      </c>
      <c r="AU187" s="14">
        <v>6.60570135253256E-2</v>
      </c>
      <c r="AV187" s="14"/>
      <c r="AW187" s="14">
        <v>6.2669658211993801E-2</v>
      </c>
      <c r="AX187" s="14">
        <v>3.9520760393636799E-2</v>
      </c>
      <c r="AY187" s="14"/>
      <c r="AZ187" s="14">
        <v>6.1480483991208403E-2</v>
      </c>
      <c r="BA187" s="14">
        <v>8.3423020504857906E-2</v>
      </c>
    </row>
    <row r="188" spans="2:53" x14ac:dyDescent="0.35">
      <c r="B188" t="s">
        <v>80</v>
      </c>
      <c r="C188" s="14">
        <v>1.0997206835817E-2</v>
      </c>
      <c r="D188" s="14">
        <v>5.3149218703742902E-3</v>
      </c>
      <c r="E188" s="14">
        <v>1.66405135946582E-2</v>
      </c>
      <c r="F188" s="14"/>
      <c r="G188" s="14">
        <v>0</v>
      </c>
      <c r="H188" s="14">
        <v>1.06514091075408E-2</v>
      </c>
      <c r="I188" s="14">
        <v>1.9986754592916298E-2</v>
      </c>
      <c r="J188" s="14">
        <v>6.18794398669894E-3</v>
      </c>
      <c r="K188" s="14">
        <v>0</v>
      </c>
      <c r="L188" s="14">
        <v>0</v>
      </c>
      <c r="M188" s="14"/>
      <c r="N188" s="14">
        <v>0</v>
      </c>
      <c r="O188" s="14">
        <v>0</v>
      </c>
      <c r="P188" s="14">
        <v>5.7401276797851902E-3</v>
      </c>
      <c r="Q188" s="14">
        <v>4.0019420670133997E-2</v>
      </c>
      <c r="R188" s="14"/>
      <c r="S188" s="14">
        <v>6.6847299292369699E-3</v>
      </c>
      <c r="T188" s="14">
        <v>6.7480655553974703E-3</v>
      </c>
      <c r="U188" s="14">
        <v>2.5958246458161301E-2</v>
      </c>
      <c r="V188" s="14">
        <v>1.0012684514666701E-2</v>
      </c>
      <c r="W188" s="14">
        <v>0</v>
      </c>
      <c r="X188" s="14">
        <v>8.0675295202096292E-3</v>
      </c>
      <c r="Y188" s="14">
        <v>8.3346483269452105E-3</v>
      </c>
      <c r="Z188" s="14">
        <v>5.0753644433327E-2</v>
      </c>
      <c r="AA188" s="14">
        <v>7.4289804679632601E-3</v>
      </c>
      <c r="AB188" s="14"/>
      <c r="AC188" s="14">
        <v>1.88139872592149E-2</v>
      </c>
      <c r="AD188" s="14">
        <v>0</v>
      </c>
      <c r="AE188" s="14">
        <v>0</v>
      </c>
      <c r="AF188" s="14">
        <v>0</v>
      </c>
      <c r="AG188" s="14">
        <v>0</v>
      </c>
      <c r="AH188" s="14"/>
      <c r="AI188" s="14">
        <v>6.0083720243580899E-3</v>
      </c>
      <c r="AJ188" s="14">
        <v>0</v>
      </c>
      <c r="AK188" s="14">
        <v>0</v>
      </c>
      <c r="AL188" s="14">
        <v>8.0608011017700293E-3</v>
      </c>
      <c r="AM188" s="14">
        <v>2.6275038819726301E-2</v>
      </c>
      <c r="AN188" s="14">
        <v>4.8919430271535301E-2</v>
      </c>
      <c r="AO188" s="14"/>
      <c r="AP188" s="14">
        <v>1.0644135877798401E-2</v>
      </c>
      <c r="AQ188" s="14">
        <v>1.14571666282554E-2</v>
      </c>
      <c r="AR188" s="14"/>
      <c r="AS188" s="14" t="s">
        <v>88</v>
      </c>
      <c r="AT188" s="14" t="s">
        <v>88</v>
      </c>
      <c r="AU188" s="14">
        <v>1.0997206835817E-2</v>
      </c>
      <c r="AV188" s="14"/>
      <c r="AW188" s="14">
        <v>5.98228740638724E-3</v>
      </c>
      <c r="AX188" s="14">
        <v>0</v>
      </c>
      <c r="AY188" s="14"/>
      <c r="AZ188" s="14">
        <v>5.9512538296194297E-3</v>
      </c>
      <c r="BA188" s="14">
        <v>2.5639403321390902E-2</v>
      </c>
    </row>
    <row r="189" spans="2:53" x14ac:dyDescent="0.35">
      <c r="B189" t="s">
        <v>81</v>
      </c>
      <c r="C189" s="14">
        <v>0.69586827752264102</v>
      </c>
      <c r="D189" s="14">
        <v>0.72891341400127296</v>
      </c>
      <c r="E189" s="14">
        <v>0.664196780932234</v>
      </c>
      <c r="F189" s="14"/>
      <c r="G189" s="14">
        <v>0.56074380449106598</v>
      </c>
      <c r="H189" s="14">
        <v>0.67456686632239804</v>
      </c>
      <c r="I189" s="14">
        <v>0.71449504905467398</v>
      </c>
      <c r="J189" s="14">
        <v>0.69897408319489396</v>
      </c>
      <c r="K189" s="14">
        <v>0.64291306870096299</v>
      </c>
      <c r="L189" s="14">
        <v>0.70342902174641397</v>
      </c>
      <c r="M189" s="14"/>
      <c r="N189" s="14">
        <v>0.77295347711874396</v>
      </c>
      <c r="O189" s="14">
        <v>0.73433325081703604</v>
      </c>
      <c r="P189" s="14">
        <v>0.61518413448243803</v>
      </c>
      <c r="Q189" s="14">
        <v>0.64368262414387301</v>
      </c>
      <c r="R189" s="14"/>
      <c r="S189" s="14">
        <v>0.78652536739412304</v>
      </c>
      <c r="T189" s="14">
        <v>0.63723898777438304</v>
      </c>
      <c r="U189" s="14">
        <v>0.62337306243055501</v>
      </c>
      <c r="V189" s="14">
        <v>0.72740451634268299</v>
      </c>
      <c r="W189" s="14">
        <v>0.69848172346091497</v>
      </c>
      <c r="X189" s="14">
        <v>0.73606325811556605</v>
      </c>
      <c r="Y189" s="14">
        <v>0.58832017468012998</v>
      </c>
      <c r="Z189" s="14">
        <v>0.60696709574683505</v>
      </c>
      <c r="AA189" s="14">
        <v>0.77469856934454595</v>
      </c>
      <c r="AB189" s="14"/>
      <c r="AC189" s="14">
        <v>0.62241554074165095</v>
      </c>
      <c r="AD189" s="14">
        <v>0.57684326420318299</v>
      </c>
      <c r="AE189" s="14">
        <v>0.758729195781778</v>
      </c>
      <c r="AF189" s="14">
        <v>0.84808693706471106</v>
      </c>
      <c r="AG189" s="14">
        <v>0.72322549219558496</v>
      </c>
      <c r="AH189" s="14"/>
      <c r="AI189" s="14">
        <v>0.74567808685957004</v>
      </c>
      <c r="AJ189" s="14">
        <v>0.70620428015522496</v>
      </c>
      <c r="AK189" s="14">
        <v>0.72762476559725897</v>
      </c>
      <c r="AL189" s="14">
        <v>0.60964846539964901</v>
      </c>
      <c r="AM189" s="14">
        <v>0.78864796920712099</v>
      </c>
      <c r="AN189" s="14">
        <v>0.68451557983304201</v>
      </c>
      <c r="AO189" s="14"/>
      <c r="AP189" s="14">
        <v>0.69721747759181296</v>
      </c>
      <c r="AQ189" s="14">
        <v>0.69492504959816703</v>
      </c>
      <c r="AR189" s="14"/>
      <c r="AS189" s="14" t="s">
        <v>88</v>
      </c>
      <c r="AT189" s="14" t="s">
        <v>88</v>
      </c>
      <c r="AU189" s="14">
        <v>0.69586827752264102</v>
      </c>
      <c r="AV189" s="14"/>
      <c r="AW189" s="14">
        <v>0.68747312096010404</v>
      </c>
      <c r="AX189" s="14">
        <v>0.83453229396575501</v>
      </c>
      <c r="AY189" s="14"/>
      <c r="AZ189" s="14">
        <v>0.71672080945994199</v>
      </c>
      <c r="BA189" s="14">
        <v>0.62401322888668498</v>
      </c>
    </row>
    <row r="190" spans="2:53" x14ac:dyDescent="0.35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</row>
    <row r="191" spans="2:53" x14ac:dyDescent="0.35">
      <c r="B191" s="6" t="s">
        <v>117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</row>
    <row r="192" spans="2:53" x14ac:dyDescent="0.35">
      <c r="B192" s="24" t="s">
        <v>118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</row>
    <row r="193" spans="2:53" x14ac:dyDescent="0.35">
      <c r="B193" t="s">
        <v>105</v>
      </c>
      <c r="C193" s="14">
        <v>0.75453706832815604</v>
      </c>
      <c r="D193" s="14">
        <v>0.74071058137324797</v>
      </c>
      <c r="E193" s="14">
        <v>0.76910614547197897</v>
      </c>
      <c r="F193" s="14"/>
      <c r="G193" s="14">
        <v>0.88945332183035497</v>
      </c>
      <c r="H193" s="14">
        <v>0.71969898956446698</v>
      </c>
      <c r="I193" s="14">
        <v>0.73287396591360698</v>
      </c>
      <c r="J193" s="14">
        <v>0.785840513149062</v>
      </c>
      <c r="K193" s="14">
        <v>0.846321377947167</v>
      </c>
      <c r="L193" s="14">
        <v>0.49472187017448199</v>
      </c>
      <c r="M193" s="14"/>
      <c r="N193" s="14">
        <v>0.74326347630019296</v>
      </c>
      <c r="O193" s="14">
        <v>0.77889742664189499</v>
      </c>
      <c r="P193" s="14">
        <v>0.74697728936969998</v>
      </c>
      <c r="Q193" s="14">
        <v>0.74708538222662901</v>
      </c>
      <c r="R193" s="14"/>
      <c r="S193" s="14">
        <v>0.70496189643457896</v>
      </c>
      <c r="T193" s="14">
        <v>0.79839110600634799</v>
      </c>
      <c r="U193" s="14">
        <v>0.75753108393707802</v>
      </c>
      <c r="V193" s="14">
        <v>0.73161601161355605</v>
      </c>
      <c r="W193" s="14">
        <v>0.78162632155759804</v>
      </c>
      <c r="X193" s="14">
        <v>0.74957202151841396</v>
      </c>
      <c r="Y193" s="14">
        <v>0.77694883520227198</v>
      </c>
      <c r="Z193" s="14">
        <v>0.71918075571035101</v>
      </c>
      <c r="AA193" s="14">
        <v>0.75998157086493601</v>
      </c>
      <c r="AB193" s="14"/>
      <c r="AC193" s="14">
        <v>0.79955866462352199</v>
      </c>
      <c r="AD193" s="14">
        <v>0.79071962353141001</v>
      </c>
      <c r="AE193" s="14">
        <v>0.74705151361898703</v>
      </c>
      <c r="AF193" s="14">
        <v>0.68324121439083696</v>
      </c>
      <c r="AG193" s="14">
        <v>0.65177962774244402</v>
      </c>
      <c r="AH193" s="14"/>
      <c r="AI193" s="14">
        <v>0.74383383572327499</v>
      </c>
      <c r="AJ193" s="14">
        <v>0.77945105103819801</v>
      </c>
      <c r="AK193" s="14">
        <v>0.71793763448317305</v>
      </c>
      <c r="AL193" s="14">
        <v>0.79075449301475897</v>
      </c>
      <c r="AM193" s="14">
        <v>0.65621441816866499</v>
      </c>
      <c r="AN193" s="14">
        <v>0.75356354226660505</v>
      </c>
      <c r="AO193" s="14"/>
      <c r="AP193" s="14">
        <v>0.74569284322686002</v>
      </c>
      <c r="AQ193" s="14">
        <v>0.76691975562063697</v>
      </c>
      <c r="AR193" s="14"/>
      <c r="AS193" s="14">
        <v>0.76676899690154598</v>
      </c>
      <c r="AT193" s="14">
        <v>0.77877631728121799</v>
      </c>
      <c r="AU193" s="14">
        <v>0.74407760006894197</v>
      </c>
      <c r="AV193" s="14"/>
      <c r="AW193" s="14">
        <v>0.776950476600755</v>
      </c>
      <c r="AX193" s="14">
        <v>0.70956019809732396</v>
      </c>
      <c r="AY193" s="14"/>
      <c r="AZ193" s="14">
        <v>0.75961950408957002</v>
      </c>
      <c r="BA193" s="14">
        <v>0.74917528865800398</v>
      </c>
    </row>
    <row r="194" spans="2:53" x14ac:dyDescent="0.35">
      <c r="B194" t="s">
        <v>106</v>
      </c>
      <c r="C194" s="14">
        <v>0.66941220057369499</v>
      </c>
      <c r="D194" s="14">
        <v>0.610726016984385</v>
      </c>
      <c r="E194" s="14">
        <v>0.72879431418447005</v>
      </c>
      <c r="F194" s="14"/>
      <c r="G194" s="14">
        <v>0.37387483228903301</v>
      </c>
      <c r="H194" s="14">
        <v>0.65149815010642398</v>
      </c>
      <c r="I194" s="14">
        <v>0.632389196509892</v>
      </c>
      <c r="J194" s="14">
        <v>0.71713665578186703</v>
      </c>
      <c r="K194" s="14">
        <v>0.752985900223753</v>
      </c>
      <c r="L194" s="14">
        <v>0.56137212890037302</v>
      </c>
      <c r="M194" s="14"/>
      <c r="N194" s="14">
        <v>0.61565648235190895</v>
      </c>
      <c r="O194" s="14">
        <v>0.65837619139542403</v>
      </c>
      <c r="P194" s="14">
        <v>0.68658042675730202</v>
      </c>
      <c r="Q194" s="14">
        <v>0.72185291030959498</v>
      </c>
      <c r="R194" s="14"/>
      <c r="S194" s="14">
        <v>0.55588498983964596</v>
      </c>
      <c r="T194" s="14">
        <v>0.67288960873196801</v>
      </c>
      <c r="U194" s="14">
        <v>0.73313387924052098</v>
      </c>
      <c r="V194" s="14">
        <v>0.67916678108095396</v>
      </c>
      <c r="W194" s="14">
        <v>0.70853996473471303</v>
      </c>
      <c r="X194" s="14">
        <v>0.66728056800944202</v>
      </c>
      <c r="Y194" s="14">
        <v>0.69360681584814499</v>
      </c>
      <c r="Z194" s="14">
        <v>0.66261482623630297</v>
      </c>
      <c r="AA194" s="14">
        <v>0.70581684023031199</v>
      </c>
      <c r="AB194" s="14"/>
      <c r="AC194" s="14">
        <v>0.77231197070111501</v>
      </c>
      <c r="AD194" s="14">
        <v>0.74500349333416005</v>
      </c>
      <c r="AE194" s="14">
        <v>0.63361371092306795</v>
      </c>
      <c r="AF194" s="14">
        <v>0.52215238621620397</v>
      </c>
      <c r="AG194" s="14">
        <v>0.51778284733594104</v>
      </c>
      <c r="AH194" s="14"/>
      <c r="AI194" s="14">
        <v>0.64474649456999</v>
      </c>
      <c r="AJ194" s="14">
        <v>0.65527905215072102</v>
      </c>
      <c r="AK194" s="14">
        <v>0.593155862693028</v>
      </c>
      <c r="AL194" s="14">
        <v>0.68079433030800496</v>
      </c>
      <c r="AM194" s="14">
        <v>0.70428561134540901</v>
      </c>
      <c r="AN194" s="14">
        <v>0.72782648843811104</v>
      </c>
      <c r="AO194" s="14"/>
      <c r="AP194" s="14">
        <v>0.644248924798414</v>
      </c>
      <c r="AQ194" s="14">
        <v>0.69868593490875497</v>
      </c>
      <c r="AR194" s="14"/>
      <c r="AS194" s="14">
        <v>0.68745521534935505</v>
      </c>
      <c r="AT194" s="14">
        <v>0.63201289696845397</v>
      </c>
      <c r="AU194" s="14">
        <v>0.67561499114647605</v>
      </c>
      <c r="AV194" s="14"/>
      <c r="AW194" s="14">
        <v>0.68954206673776197</v>
      </c>
      <c r="AX194" s="14">
        <v>0.56403041765730699</v>
      </c>
      <c r="AY194" s="14"/>
      <c r="AZ194" s="14">
        <v>0.65896998956378805</v>
      </c>
      <c r="BA194" s="14">
        <v>0.72014662872529001</v>
      </c>
    </row>
    <row r="195" spans="2:53" x14ac:dyDescent="0.35">
      <c r="B195" t="s">
        <v>107</v>
      </c>
      <c r="C195" s="14">
        <v>0.54048382063630795</v>
      </c>
      <c r="D195" s="14">
        <v>0.57520755561979797</v>
      </c>
      <c r="E195" s="14">
        <v>0.50625632757557204</v>
      </c>
      <c r="F195" s="14"/>
      <c r="G195" s="14">
        <v>0.64007816009905805</v>
      </c>
      <c r="H195" s="14">
        <v>0.52505295707565103</v>
      </c>
      <c r="I195" s="14">
        <v>0.54194122875734796</v>
      </c>
      <c r="J195" s="14">
        <v>0.54669902859641195</v>
      </c>
      <c r="K195" s="14">
        <v>0.49929936083839599</v>
      </c>
      <c r="L195" s="14">
        <v>0.74216814073153503</v>
      </c>
      <c r="M195" s="14"/>
      <c r="N195" s="14">
        <v>0.54827439874491901</v>
      </c>
      <c r="O195" s="14">
        <v>0.56226736779779396</v>
      </c>
      <c r="P195" s="14">
        <v>0.52008247948103803</v>
      </c>
      <c r="Q195" s="14">
        <v>0.52560075824454</v>
      </c>
      <c r="R195" s="14"/>
      <c r="S195" s="14">
        <v>0.57484453713291805</v>
      </c>
      <c r="T195" s="14">
        <v>0.54677617866443895</v>
      </c>
      <c r="U195" s="14">
        <v>0.52614663328812195</v>
      </c>
      <c r="V195" s="14">
        <v>0.48467370894296202</v>
      </c>
      <c r="W195" s="14">
        <v>0.59156552868247902</v>
      </c>
      <c r="X195" s="14">
        <v>0.50604475121097303</v>
      </c>
      <c r="Y195" s="14">
        <v>0.53790511529611496</v>
      </c>
      <c r="Z195" s="14">
        <v>0.38739947075397202</v>
      </c>
      <c r="AA195" s="14">
        <v>0.60077750112289796</v>
      </c>
      <c r="AB195" s="14"/>
      <c r="AC195" s="14">
        <v>0.50349782424260403</v>
      </c>
      <c r="AD195" s="14">
        <v>0.58627883401902503</v>
      </c>
      <c r="AE195" s="14">
        <v>0.541736288822254</v>
      </c>
      <c r="AF195" s="14">
        <v>0.55398423278519704</v>
      </c>
      <c r="AG195" s="14">
        <v>0.46823517501434497</v>
      </c>
      <c r="AH195" s="14"/>
      <c r="AI195" s="14">
        <v>0.57395242493090703</v>
      </c>
      <c r="AJ195" s="14">
        <v>0.50275840749561795</v>
      </c>
      <c r="AK195" s="14">
        <v>0.52906466143101605</v>
      </c>
      <c r="AL195" s="14">
        <v>0.54688843464071701</v>
      </c>
      <c r="AM195" s="14">
        <v>0.54223664785418701</v>
      </c>
      <c r="AN195" s="14">
        <v>0.54615034458939204</v>
      </c>
      <c r="AO195" s="14"/>
      <c r="AP195" s="14">
        <v>0.56483608915775796</v>
      </c>
      <c r="AQ195" s="14">
        <v>0.51363012041664102</v>
      </c>
      <c r="AR195" s="14"/>
      <c r="AS195" s="14">
        <v>0.57104709107336404</v>
      </c>
      <c r="AT195" s="14">
        <v>0.59031077542233001</v>
      </c>
      <c r="AU195" s="14">
        <v>0.51752458710170102</v>
      </c>
      <c r="AV195" s="14"/>
      <c r="AW195" s="14">
        <v>0.55490705691979403</v>
      </c>
      <c r="AX195" s="14">
        <v>0.50689965902586798</v>
      </c>
      <c r="AY195" s="14"/>
      <c r="AZ195" s="14">
        <v>0.54681869833024699</v>
      </c>
      <c r="BA195" s="14">
        <v>0.52304489275777799</v>
      </c>
    </row>
    <row r="196" spans="2:53" x14ac:dyDescent="0.35">
      <c r="B196" t="s">
        <v>108</v>
      </c>
      <c r="C196" s="14">
        <v>0.15923130718526901</v>
      </c>
      <c r="D196" s="14">
        <v>0.160489145345241</v>
      </c>
      <c r="E196" s="14">
        <v>0.15812684031611801</v>
      </c>
      <c r="F196" s="14"/>
      <c r="G196" s="14">
        <v>9.7443202273495205E-2</v>
      </c>
      <c r="H196" s="14">
        <v>0.152958072859705</v>
      </c>
      <c r="I196" s="14">
        <v>0.14923408850136399</v>
      </c>
      <c r="J196" s="14">
        <v>0.186407191334411</v>
      </c>
      <c r="K196" s="14">
        <v>0.122784929742682</v>
      </c>
      <c r="L196" s="14">
        <v>0.212777799154338</v>
      </c>
      <c r="M196" s="14"/>
      <c r="N196" s="14">
        <v>0.18680603878520499</v>
      </c>
      <c r="O196" s="14">
        <v>0.163693867751142</v>
      </c>
      <c r="P196" s="14">
        <v>0.13259976153411601</v>
      </c>
      <c r="Q196" s="14">
        <v>0.15010598110787399</v>
      </c>
      <c r="R196" s="14"/>
      <c r="S196" s="14">
        <v>0.192109011276239</v>
      </c>
      <c r="T196" s="14">
        <v>0.16491365184641901</v>
      </c>
      <c r="U196" s="14">
        <v>0.178482979149305</v>
      </c>
      <c r="V196" s="14">
        <v>0.161094450518317</v>
      </c>
      <c r="W196" s="14">
        <v>0.126417889075193</v>
      </c>
      <c r="X196" s="14">
        <v>0.12276978098289699</v>
      </c>
      <c r="Y196" s="14">
        <v>0.15415000180220401</v>
      </c>
      <c r="Z196" s="14">
        <v>0.12711681255396901</v>
      </c>
      <c r="AA196" s="14">
        <v>0.162520416484527</v>
      </c>
      <c r="AB196" s="14"/>
      <c r="AC196" s="14">
        <v>0.12883175330824501</v>
      </c>
      <c r="AD196" s="14">
        <v>0.125354643895673</v>
      </c>
      <c r="AE196" s="14">
        <v>0.179405640732131</v>
      </c>
      <c r="AF196" s="14">
        <v>0.209231736294829</v>
      </c>
      <c r="AG196" s="14">
        <v>0.212600546796578</v>
      </c>
      <c r="AH196" s="14"/>
      <c r="AI196" s="14">
        <v>0.139732233328727</v>
      </c>
      <c r="AJ196" s="14">
        <v>0.16340239484713501</v>
      </c>
      <c r="AK196" s="14">
        <v>0.22921645252081599</v>
      </c>
      <c r="AL196" s="14">
        <v>0.151164013757284</v>
      </c>
      <c r="AM196" s="14">
        <v>0.17428449398149901</v>
      </c>
      <c r="AN196" s="14">
        <v>0.154177631268159</v>
      </c>
      <c r="AO196" s="14"/>
      <c r="AP196" s="14">
        <v>0.13821935309715</v>
      </c>
      <c r="AQ196" s="14">
        <v>0.18219003051853999</v>
      </c>
      <c r="AR196" s="14"/>
      <c r="AS196" s="14">
        <v>0.154589250390157</v>
      </c>
      <c r="AT196" s="14">
        <v>0.168769311834158</v>
      </c>
      <c r="AU196" s="14">
        <v>0.157660304230304</v>
      </c>
      <c r="AV196" s="14"/>
      <c r="AW196" s="14">
        <v>0.15731022892161101</v>
      </c>
      <c r="AX196" s="14">
        <v>0.17937959987718499</v>
      </c>
      <c r="AY196" s="14"/>
      <c r="AZ196" s="14">
        <v>0.158321365950919</v>
      </c>
      <c r="BA196" s="14">
        <v>0.160789818812307</v>
      </c>
    </row>
    <row r="197" spans="2:53" x14ac:dyDescent="0.35">
      <c r="B197" t="s">
        <v>109</v>
      </c>
      <c r="C197" s="14">
        <v>0.121955786590832</v>
      </c>
      <c r="D197" s="14">
        <v>0.16295853901578</v>
      </c>
      <c r="E197" s="14">
        <v>8.1038486437370494E-2</v>
      </c>
      <c r="F197" s="14"/>
      <c r="G197" s="14">
        <v>8.1088258398355997E-2</v>
      </c>
      <c r="H197" s="14">
        <v>0.119156615027508</v>
      </c>
      <c r="I197" s="14">
        <v>0.14686133578537899</v>
      </c>
      <c r="J197" s="14">
        <v>9.2655429038038598E-2</v>
      </c>
      <c r="K197" s="14">
        <v>0.114787103859714</v>
      </c>
      <c r="L197" s="14">
        <v>7.2005563754787005E-2</v>
      </c>
      <c r="M197" s="14"/>
      <c r="N197" s="14">
        <v>0.17996012305864301</v>
      </c>
      <c r="O197" s="14">
        <v>9.55344463244307E-2</v>
      </c>
      <c r="P197" s="14">
        <v>0.112763143299987</v>
      </c>
      <c r="Q197" s="14">
        <v>9.6287840402723701E-2</v>
      </c>
      <c r="R197" s="14"/>
      <c r="S197" s="14">
        <v>0.14097073932825499</v>
      </c>
      <c r="T197" s="14">
        <v>0.118236541930061</v>
      </c>
      <c r="U197" s="14">
        <v>0.116271353641392</v>
      </c>
      <c r="V197" s="14">
        <v>0.107995651186939</v>
      </c>
      <c r="W197" s="14">
        <v>0.141330538219157</v>
      </c>
      <c r="X197" s="14">
        <v>0.137476783843936</v>
      </c>
      <c r="Y197" s="14">
        <v>0.137684691189422</v>
      </c>
      <c r="Z197" s="14">
        <v>0.13324893759921</v>
      </c>
      <c r="AA197" s="14">
        <v>7.7415960528730704E-2</v>
      </c>
      <c r="AB197" s="14"/>
      <c r="AC197" s="14">
        <v>9.7080526001554604E-2</v>
      </c>
      <c r="AD197" s="14">
        <v>8.2319803186291104E-2</v>
      </c>
      <c r="AE197" s="14">
        <v>0.14257986801500599</v>
      </c>
      <c r="AF197" s="14">
        <v>0.18722720306332899</v>
      </c>
      <c r="AG197" s="14">
        <v>0.227160546605433</v>
      </c>
      <c r="AH197" s="14"/>
      <c r="AI197" s="14">
        <v>0.14073753834453001</v>
      </c>
      <c r="AJ197" s="14">
        <v>0.12876448521278799</v>
      </c>
      <c r="AK197" s="14">
        <v>0.12458166404165601</v>
      </c>
      <c r="AL197" s="14">
        <v>0.146220960550005</v>
      </c>
      <c r="AM197" s="14">
        <v>0.103871910981919</v>
      </c>
      <c r="AN197" s="14">
        <v>4.2048009036009699E-2</v>
      </c>
      <c r="AO197" s="14"/>
      <c r="AP197" s="14">
        <v>0.15080257698879199</v>
      </c>
      <c r="AQ197" s="14">
        <v>8.9225330646548903E-2</v>
      </c>
      <c r="AR197" s="14"/>
      <c r="AS197" s="14">
        <v>0.10524419726513599</v>
      </c>
      <c r="AT197" s="14">
        <v>9.2121181335740293E-2</v>
      </c>
      <c r="AU197" s="14">
        <v>0.13527540780063399</v>
      </c>
      <c r="AV197" s="14"/>
      <c r="AW197" s="14">
        <v>0.109030478810919</v>
      </c>
      <c r="AX197" s="14">
        <v>0.194810656922279</v>
      </c>
      <c r="AY197" s="14"/>
      <c r="AZ197" s="14">
        <v>0.13413908872795299</v>
      </c>
      <c r="BA197" s="14">
        <v>7.9092668311918995E-2</v>
      </c>
    </row>
    <row r="198" spans="2:53" x14ac:dyDescent="0.35">
      <c r="B198" t="s">
        <v>110</v>
      </c>
      <c r="C198" s="14">
        <v>9.6568824377478796E-2</v>
      </c>
      <c r="D198" s="14">
        <v>0.106275632211401</v>
      </c>
      <c r="E198" s="14">
        <v>8.6947879891927801E-2</v>
      </c>
      <c r="F198" s="14"/>
      <c r="G198" s="14">
        <v>0.22843212335393001</v>
      </c>
      <c r="H198" s="14">
        <v>0.15498182268914401</v>
      </c>
      <c r="I198" s="14">
        <v>9.7463301473141806E-2</v>
      </c>
      <c r="J198" s="14">
        <v>6.52714845748604E-2</v>
      </c>
      <c r="K198" s="14">
        <v>7.9409001530218598E-2</v>
      </c>
      <c r="L198" s="14">
        <v>0.17423818809393599</v>
      </c>
      <c r="M198" s="14"/>
      <c r="N198" s="14">
        <v>0.110470686792627</v>
      </c>
      <c r="O198" s="14">
        <v>7.8908994907864793E-2</v>
      </c>
      <c r="P198" s="14">
        <v>8.5917967963416497E-2</v>
      </c>
      <c r="Q198" s="14">
        <v>0.110399550886499</v>
      </c>
      <c r="R198" s="14"/>
      <c r="S198" s="14">
        <v>0.115633552164135</v>
      </c>
      <c r="T198" s="14">
        <v>0.101738458867799</v>
      </c>
      <c r="U198" s="14">
        <v>8.7789144432906793E-2</v>
      </c>
      <c r="V198" s="14">
        <v>8.8865579012034498E-2</v>
      </c>
      <c r="W198" s="14">
        <v>9.5319296361760106E-2</v>
      </c>
      <c r="X198" s="14">
        <v>0.10642784939236299</v>
      </c>
      <c r="Y198" s="14">
        <v>8.1945064025654504E-2</v>
      </c>
      <c r="Z198" s="14">
        <v>6.4676912420647506E-2</v>
      </c>
      <c r="AA198" s="14">
        <v>9.6847536001521004E-2</v>
      </c>
      <c r="AB198" s="14"/>
      <c r="AC198" s="14">
        <v>6.5241663095393101E-2</v>
      </c>
      <c r="AD198" s="14">
        <v>8.9994523160901604E-2</v>
      </c>
      <c r="AE198" s="14">
        <v>8.9239128301909096E-2</v>
      </c>
      <c r="AF198" s="14">
        <v>0.118213897034226</v>
      </c>
      <c r="AG198" s="14">
        <v>0.102075619680078</v>
      </c>
      <c r="AH198" s="14"/>
      <c r="AI198" s="14">
        <v>0.107260739656482</v>
      </c>
      <c r="AJ198" s="14">
        <v>0.11117200100996601</v>
      </c>
      <c r="AK198" s="14">
        <v>9.9779669231773796E-2</v>
      </c>
      <c r="AL198" s="14">
        <v>8.1956432134315499E-2</v>
      </c>
      <c r="AM198" s="14">
        <v>0.12502890975587899</v>
      </c>
      <c r="AN198" s="14">
        <v>7.9304515983800103E-2</v>
      </c>
      <c r="AO198" s="14"/>
      <c r="AP198" s="14">
        <v>0.107435253207624</v>
      </c>
      <c r="AQ198" s="14">
        <v>8.46537870130952E-2</v>
      </c>
      <c r="AR198" s="14"/>
      <c r="AS198" s="14">
        <v>0.11420804058365</v>
      </c>
      <c r="AT198" s="14">
        <v>0.12192294996321699</v>
      </c>
      <c r="AU198" s="14">
        <v>8.4324402808115595E-2</v>
      </c>
      <c r="AV198" s="14"/>
      <c r="AW198" s="14">
        <v>9.3129099958452102E-2</v>
      </c>
      <c r="AX198" s="14">
        <v>0.111479142519784</v>
      </c>
      <c r="AY198" s="14"/>
      <c r="AZ198" s="14">
        <v>0.101180053461743</v>
      </c>
      <c r="BA198" s="14">
        <v>7.0871284345423696E-2</v>
      </c>
    </row>
    <row r="199" spans="2:53" x14ac:dyDescent="0.35">
      <c r="B199" t="s">
        <v>111</v>
      </c>
      <c r="C199" s="14">
        <v>8.8946941116306702E-2</v>
      </c>
      <c r="D199" s="14">
        <v>9.8637352340003301E-2</v>
      </c>
      <c r="E199" s="14">
        <v>7.9335016825700905E-2</v>
      </c>
      <c r="F199" s="14"/>
      <c r="G199" s="14">
        <v>5.9574462528436699E-2</v>
      </c>
      <c r="H199" s="14">
        <v>7.0865921272520005E-2</v>
      </c>
      <c r="I199" s="14">
        <v>0.112047659153013</v>
      </c>
      <c r="J199" s="14">
        <v>7.2304050945933201E-2</v>
      </c>
      <c r="K199" s="14">
        <v>6.2752327483554901E-2</v>
      </c>
      <c r="L199" s="14">
        <v>0.101800839353867</v>
      </c>
      <c r="M199" s="14"/>
      <c r="N199" s="14">
        <v>9.4397355031030195E-2</v>
      </c>
      <c r="O199" s="14">
        <v>9.5638241159031606E-2</v>
      </c>
      <c r="P199" s="14">
        <v>9.0331377852626404E-2</v>
      </c>
      <c r="Q199" s="14">
        <v>7.5929962487485694E-2</v>
      </c>
      <c r="R199" s="14"/>
      <c r="S199" s="14">
        <v>0.105814334332428</v>
      </c>
      <c r="T199" s="14">
        <v>7.6481878838865702E-2</v>
      </c>
      <c r="U199" s="14">
        <v>4.89200898835538E-2</v>
      </c>
      <c r="V199" s="14">
        <v>6.4194966134064294E-2</v>
      </c>
      <c r="W199" s="14">
        <v>9.3946575523290596E-2</v>
      </c>
      <c r="X199" s="14">
        <v>0.113033372036715</v>
      </c>
      <c r="Y199" s="14">
        <v>8.6359360954684897E-2</v>
      </c>
      <c r="Z199" s="14">
        <v>0.12532138479399299</v>
      </c>
      <c r="AA199" s="14">
        <v>0.10135949532194299</v>
      </c>
      <c r="AB199" s="14"/>
      <c r="AC199" s="14">
        <v>9.5393376411890607E-2</v>
      </c>
      <c r="AD199" s="14">
        <v>6.8593437483006198E-2</v>
      </c>
      <c r="AE199" s="14">
        <v>8.2371745320956494E-2</v>
      </c>
      <c r="AF199" s="14">
        <v>0.119488429360432</v>
      </c>
      <c r="AG199" s="14">
        <v>0.17641404615821199</v>
      </c>
      <c r="AH199" s="14"/>
      <c r="AI199" s="14">
        <v>9.7617532489673198E-2</v>
      </c>
      <c r="AJ199" s="14">
        <v>0.112347439355823</v>
      </c>
      <c r="AK199" s="14">
        <v>0.10729253315932399</v>
      </c>
      <c r="AL199" s="14">
        <v>8.0278744802997806E-2</v>
      </c>
      <c r="AM199" s="14">
        <v>8.1941562089358794E-2</v>
      </c>
      <c r="AN199" s="14">
        <v>4.2130159406298301E-2</v>
      </c>
      <c r="AO199" s="14"/>
      <c r="AP199" s="14">
        <v>8.4948321868367593E-2</v>
      </c>
      <c r="AQ199" s="14">
        <v>9.3065795946769198E-2</v>
      </c>
      <c r="AR199" s="14"/>
      <c r="AS199" s="14">
        <v>7.3399135153894901E-2</v>
      </c>
      <c r="AT199" s="14">
        <v>9.6214776170368901E-2</v>
      </c>
      <c r="AU199" s="14">
        <v>9.0982333772454405E-2</v>
      </c>
      <c r="AV199" s="14"/>
      <c r="AW199" s="14">
        <v>8.06364028881561E-2</v>
      </c>
      <c r="AX199" s="14">
        <v>0.14003383084569901</v>
      </c>
      <c r="AY199" s="14"/>
      <c r="AZ199" s="14">
        <v>9.5277096666724806E-2</v>
      </c>
      <c r="BA199" s="14">
        <v>6.7214140540060197E-2</v>
      </c>
    </row>
    <row r="200" spans="2:53" x14ac:dyDescent="0.35">
      <c r="B200" t="s">
        <v>112</v>
      </c>
      <c r="C200" s="14">
        <v>8.4083137988448006E-2</v>
      </c>
      <c r="D200" s="14">
        <v>9.8453445770059794E-2</v>
      </c>
      <c r="E200" s="14">
        <v>6.9782859587238594E-2</v>
      </c>
      <c r="F200" s="14"/>
      <c r="G200" s="14">
        <v>0</v>
      </c>
      <c r="H200" s="14">
        <v>0.115675811957416</v>
      </c>
      <c r="I200" s="14">
        <v>9.0522489182591107E-2</v>
      </c>
      <c r="J200" s="14">
        <v>6.9135443001960006E-2</v>
      </c>
      <c r="K200" s="14">
        <v>6.4352836208386402E-2</v>
      </c>
      <c r="L200" s="14">
        <v>3.3782074343312797E-2</v>
      </c>
      <c r="M200" s="14"/>
      <c r="N200" s="14">
        <v>9.5000235282267503E-2</v>
      </c>
      <c r="O200" s="14">
        <v>9.4595712190365694E-2</v>
      </c>
      <c r="P200" s="14">
        <v>9.2772897095532297E-2</v>
      </c>
      <c r="Q200" s="14">
        <v>5.4712078611493901E-2</v>
      </c>
      <c r="R200" s="14"/>
      <c r="S200" s="14">
        <v>0.11166048720013901</v>
      </c>
      <c r="T200" s="14">
        <v>8.1944366814551695E-2</v>
      </c>
      <c r="U200" s="14">
        <v>9.1220882070504605E-2</v>
      </c>
      <c r="V200" s="14">
        <v>4.00018270431396E-2</v>
      </c>
      <c r="W200" s="14">
        <v>4.7236868835811199E-2</v>
      </c>
      <c r="X200" s="14">
        <v>0.10326138008727299</v>
      </c>
      <c r="Y200" s="14">
        <v>6.5072489028158098E-2</v>
      </c>
      <c r="Z200" s="14">
        <v>0.12821842551370599</v>
      </c>
      <c r="AA200" s="14">
        <v>9.3075181556040706E-2</v>
      </c>
      <c r="AB200" s="14"/>
      <c r="AC200" s="14">
        <v>3.7733825661297703E-2</v>
      </c>
      <c r="AD200" s="14">
        <v>6.9399470644346206E-2</v>
      </c>
      <c r="AE200" s="14">
        <v>8.0141660415559798E-2</v>
      </c>
      <c r="AF200" s="14">
        <v>0.14768056189339299</v>
      </c>
      <c r="AG200" s="14">
        <v>0.17371778264917101</v>
      </c>
      <c r="AH200" s="14"/>
      <c r="AI200" s="14">
        <v>0.10228905824606099</v>
      </c>
      <c r="AJ200" s="14">
        <v>0.102291701771934</v>
      </c>
      <c r="AK200" s="14">
        <v>8.7811710940664006E-2</v>
      </c>
      <c r="AL200" s="14">
        <v>7.8515659721224207E-2</v>
      </c>
      <c r="AM200" s="14">
        <v>1.8102382029873201E-2</v>
      </c>
      <c r="AN200" s="14">
        <v>5.6296654638082103E-2</v>
      </c>
      <c r="AO200" s="14"/>
      <c r="AP200" s="14">
        <v>9.2199042355278704E-2</v>
      </c>
      <c r="AQ200" s="14">
        <v>7.4555780527682303E-2</v>
      </c>
      <c r="AR200" s="14"/>
      <c r="AS200" s="14">
        <v>8.85281098115797E-2</v>
      </c>
      <c r="AT200" s="14">
        <v>7.8942591597598005E-2</v>
      </c>
      <c r="AU200" s="14">
        <v>8.4406876038268602E-2</v>
      </c>
      <c r="AV200" s="14"/>
      <c r="AW200" s="14">
        <v>7.8401466481705998E-2</v>
      </c>
      <c r="AX200" s="14">
        <v>0.127269759013211</v>
      </c>
      <c r="AY200" s="14"/>
      <c r="AZ200" s="14">
        <v>8.8148554502789703E-2</v>
      </c>
      <c r="BA200" s="14">
        <v>6.5788000721597406E-2</v>
      </c>
    </row>
    <row r="201" spans="2:53" x14ac:dyDescent="0.35">
      <c r="B201" t="s">
        <v>113</v>
      </c>
      <c r="C201" s="14">
        <v>7.9791902115676105E-2</v>
      </c>
      <c r="D201" s="14">
        <v>7.4180838346614902E-2</v>
      </c>
      <c r="E201" s="14">
        <v>8.4515297421590196E-2</v>
      </c>
      <c r="F201" s="14"/>
      <c r="G201" s="14">
        <v>4.7152529771917098E-2</v>
      </c>
      <c r="H201" s="14">
        <v>0.104697639553557</v>
      </c>
      <c r="I201" s="14">
        <v>8.3854311377227805E-2</v>
      </c>
      <c r="J201" s="14">
        <v>6.8305986681278297E-2</v>
      </c>
      <c r="K201" s="14">
        <v>6.0049122794676002E-2</v>
      </c>
      <c r="L201" s="14">
        <v>7.6967898204425594E-2</v>
      </c>
      <c r="M201" s="14"/>
      <c r="N201" s="14">
        <v>7.6041904741246599E-2</v>
      </c>
      <c r="O201" s="14">
        <v>7.4915904273695405E-2</v>
      </c>
      <c r="P201" s="14">
        <v>6.3226976104483704E-2</v>
      </c>
      <c r="Q201" s="14">
        <v>0.104406116422643</v>
      </c>
      <c r="R201" s="14"/>
      <c r="S201" s="14">
        <v>9.6620014520808803E-2</v>
      </c>
      <c r="T201" s="14">
        <v>7.8286906560323999E-2</v>
      </c>
      <c r="U201" s="14">
        <v>7.9526351339822998E-2</v>
      </c>
      <c r="V201" s="14">
        <v>0.100046852882229</v>
      </c>
      <c r="W201" s="14">
        <v>4.6179864260232399E-2</v>
      </c>
      <c r="X201" s="14">
        <v>6.1472166961083201E-2</v>
      </c>
      <c r="Y201" s="14">
        <v>4.7001253860599702E-2</v>
      </c>
      <c r="Z201" s="14">
        <v>0.111488754644119</v>
      </c>
      <c r="AA201" s="14">
        <v>9.4600978437737293E-2</v>
      </c>
      <c r="AB201" s="14"/>
      <c r="AC201" s="14">
        <v>7.1739049352436302E-2</v>
      </c>
      <c r="AD201" s="14">
        <v>7.4630788826054506E-2</v>
      </c>
      <c r="AE201" s="14">
        <v>8.1971086913758207E-2</v>
      </c>
      <c r="AF201" s="14">
        <v>9.1134598039984402E-2</v>
      </c>
      <c r="AG201" s="14">
        <v>0.16855066132427099</v>
      </c>
      <c r="AH201" s="14"/>
      <c r="AI201" s="14">
        <v>8.6942091084390799E-2</v>
      </c>
      <c r="AJ201" s="14">
        <v>7.9805704001354297E-2</v>
      </c>
      <c r="AK201" s="14">
        <v>8.6422102776799903E-2</v>
      </c>
      <c r="AL201" s="14">
        <v>4.7307825044250698E-2</v>
      </c>
      <c r="AM201" s="14">
        <v>0.13927092178855199</v>
      </c>
      <c r="AN201" s="14">
        <v>6.7715850722471702E-2</v>
      </c>
      <c r="AO201" s="14"/>
      <c r="AP201" s="14">
        <v>6.0866838293946103E-2</v>
      </c>
      <c r="AQ201" s="14">
        <v>0.101342402420229</v>
      </c>
      <c r="AR201" s="14"/>
      <c r="AS201" s="14">
        <v>9.9902640176205898E-2</v>
      </c>
      <c r="AT201" s="14">
        <v>7.6780678306146904E-2</v>
      </c>
      <c r="AU201" s="14">
        <v>7.5269805787243002E-2</v>
      </c>
      <c r="AV201" s="14"/>
      <c r="AW201" s="14">
        <v>6.8130701519254003E-2</v>
      </c>
      <c r="AX201" s="14">
        <v>0.10621371397200099</v>
      </c>
      <c r="AY201" s="14"/>
      <c r="AZ201" s="14">
        <v>7.8615270063069106E-2</v>
      </c>
      <c r="BA201" s="14">
        <v>8.3422862265068704E-2</v>
      </c>
    </row>
    <row r="202" spans="2:53" x14ac:dyDescent="0.35">
      <c r="B202" t="s">
        <v>114</v>
      </c>
      <c r="C202" s="14">
        <v>7.7145650711287705E-2</v>
      </c>
      <c r="D202" s="14">
        <v>6.9768827108048104E-2</v>
      </c>
      <c r="E202" s="14">
        <v>8.4603166614090203E-2</v>
      </c>
      <c r="F202" s="14"/>
      <c r="G202" s="14">
        <v>0.14264816943094299</v>
      </c>
      <c r="H202" s="14">
        <v>8.7497595762782002E-2</v>
      </c>
      <c r="I202" s="14">
        <v>8.3609029259544193E-2</v>
      </c>
      <c r="J202" s="14">
        <v>6.1739108861474198E-2</v>
      </c>
      <c r="K202" s="14">
        <v>7.4487783633907706E-2</v>
      </c>
      <c r="L202" s="14">
        <v>8.7848888700421998E-2</v>
      </c>
      <c r="M202" s="14"/>
      <c r="N202" s="14">
        <v>8.2137190116045894E-2</v>
      </c>
      <c r="O202" s="14">
        <v>6.7962971669618094E-2</v>
      </c>
      <c r="P202" s="14">
        <v>6.7633060605416198E-2</v>
      </c>
      <c r="Q202" s="14">
        <v>8.8890304934971895E-2</v>
      </c>
      <c r="R202" s="14"/>
      <c r="S202" s="14">
        <v>6.6595552679561298E-2</v>
      </c>
      <c r="T202" s="14">
        <v>7.2140120540106101E-2</v>
      </c>
      <c r="U202" s="14">
        <v>5.1977919381178697E-2</v>
      </c>
      <c r="V202" s="14">
        <v>0.106829380493505</v>
      </c>
      <c r="W202" s="14">
        <v>7.5008401335515798E-2</v>
      </c>
      <c r="X202" s="14">
        <v>5.5374710891801501E-2</v>
      </c>
      <c r="Y202" s="14">
        <v>9.8050271887915999E-2</v>
      </c>
      <c r="Z202" s="14">
        <v>0.11709947212858</v>
      </c>
      <c r="AA202" s="14">
        <v>7.7386626622449398E-2</v>
      </c>
      <c r="AB202" s="14"/>
      <c r="AC202" s="14">
        <v>6.7698770301128294E-2</v>
      </c>
      <c r="AD202" s="14">
        <v>7.4505047672069197E-2</v>
      </c>
      <c r="AE202" s="14">
        <v>8.0164859320592405E-2</v>
      </c>
      <c r="AF202" s="14">
        <v>7.8600850258290805E-2</v>
      </c>
      <c r="AG202" s="14">
        <v>6.72911918666695E-2</v>
      </c>
      <c r="AH202" s="14"/>
      <c r="AI202" s="14">
        <v>9.4422384139875207E-2</v>
      </c>
      <c r="AJ202" s="14">
        <v>7.1794336607965095E-2</v>
      </c>
      <c r="AK202" s="14">
        <v>7.4733391944454206E-2</v>
      </c>
      <c r="AL202" s="14">
        <v>6.9161415000264598E-2</v>
      </c>
      <c r="AM202" s="14">
        <v>0.10266507661676801</v>
      </c>
      <c r="AN202" s="14">
        <v>3.5113660474782801E-2</v>
      </c>
      <c r="AO202" s="14"/>
      <c r="AP202" s="14">
        <v>7.7318104239420593E-2</v>
      </c>
      <c r="AQ202" s="14">
        <v>7.5840118192723197E-2</v>
      </c>
      <c r="AR202" s="14"/>
      <c r="AS202" s="14">
        <v>5.7676159752529599E-2</v>
      </c>
      <c r="AT202" s="14">
        <v>9.3532128690594601E-2</v>
      </c>
      <c r="AU202" s="14">
        <v>7.7540166498127699E-2</v>
      </c>
      <c r="AV202" s="14"/>
      <c r="AW202" s="14">
        <v>7.2894555002182906E-2</v>
      </c>
      <c r="AX202" s="14">
        <v>9.92435256217747E-2</v>
      </c>
      <c r="AY202" s="14"/>
      <c r="AZ202" s="14">
        <v>7.7078661431063095E-2</v>
      </c>
      <c r="BA202" s="14">
        <v>7.3954550706593403E-2</v>
      </c>
    </row>
    <row r="203" spans="2:53" x14ac:dyDescent="0.35">
      <c r="B203" t="s">
        <v>115</v>
      </c>
      <c r="C203" s="14">
        <v>5.9820227466108801E-2</v>
      </c>
      <c r="D203" s="14">
        <v>6.0382993040034097E-2</v>
      </c>
      <c r="E203" s="14">
        <v>5.9315008482026699E-2</v>
      </c>
      <c r="F203" s="14"/>
      <c r="G203" s="14">
        <v>0</v>
      </c>
      <c r="H203" s="14">
        <v>8.2606247069998501E-2</v>
      </c>
      <c r="I203" s="14">
        <v>6.4689226788140902E-2</v>
      </c>
      <c r="J203" s="14">
        <v>5.1847699334155901E-2</v>
      </c>
      <c r="K203" s="14">
        <v>3.9177240776072597E-2</v>
      </c>
      <c r="L203" s="14">
        <v>0</v>
      </c>
      <c r="M203" s="14"/>
      <c r="N203" s="14">
        <v>6.2592631744404395E-2</v>
      </c>
      <c r="O203" s="14">
        <v>5.5953271661700603E-2</v>
      </c>
      <c r="P203" s="14">
        <v>7.1009652545080695E-2</v>
      </c>
      <c r="Q203" s="14">
        <v>5.1698822273099798E-2</v>
      </c>
      <c r="R203" s="14"/>
      <c r="S203" s="14">
        <v>7.9055595753251703E-2</v>
      </c>
      <c r="T203" s="14">
        <v>6.1299292714185397E-2</v>
      </c>
      <c r="U203" s="14">
        <v>7.3078446257193896E-2</v>
      </c>
      <c r="V203" s="14">
        <v>4.4696876781604299E-2</v>
      </c>
      <c r="W203" s="14">
        <v>7.5321616065309599E-2</v>
      </c>
      <c r="X203" s="14">
        <v>5.0687424484412401E-2</v>
      </c>
      <c r="Y203" s="14">
        <v>5.4868593110113502E-2</v>
      </c>
      <c r="Z203" s="14">
        <v>3.6347156898785399E-2</v>
      </c>
      <c r="AA203" s="14">
        <v>4.6033346374498602E-2</v>
      </c>
      <c r="AB203" s="14"/>
      <c r="AC203" s="14">
        <v>8.1971805743358397E-2</v>
      </c>
      <c r="AD203" s="14">
        <v>5.44990937742902E-2</v>
      </c>
      <c r="AE203" s="14">
        <v>4.9115240768903702E-2</v>
      </c>
      <c r="AF203" s="14">
        <v>7.5272870064761604E-2</v>
      </c>
      <c r="AG203" s="14">
        <v>2.74610887755742E-2</v>
      </c>
      <c r="AH203" s="14"/>
      <c r="AI203" s="14">
        <v>6.9851122917574199E-2</v>
      </c>
      <c r="AJ203" s="14">
        <v>4.4115655334704199E-2</v>
      </c>
      <c r="AK203" s="14">
        <v>6.3130770750826695E-2</v>
      </c>
      <c r="AL203" s="14">
        <v>4.2470789155218097E-2</v>
      </c>
      <c r="AM203" s="14">
        <v>0.12278490133577501</v>
      </c>
      <c r="AN203" s="14">
        <v>6.3326001052399494E-2</v>
      </c>
      <c r="AO203" s="14"/>
      <c r="AP203" s="14">
        <v>6.1045132505901101E-2</v>
      </c>
      <c r="AQ203" s="14">
        <v>5.8634823994734298E-2</v>
      </c>
      <c r="AR203" s="14"/>
      <c r="AS203" s="14">
        <v>4.4665063368974703E-2</v>
      </c>
      <c r="AT203" s="14">
        <v>5.29767382248824E-2</v>
      </c>
      <c r="AU203" s="14">
        <v>6.5922597505924704E-2</v>
      </c>
      <c r="AV203" s="14"/>
      <c r="AW203" s="14">
        <v>5.7918222611948601E-2</v>
      </c>
      <c r="AX203" s="14">
        <v>6.6133255964721693E-2</v>
      </c>
      <c r="AY203" s="14"/>
      <c r="AZ203" s="14">
        <v>6.1441320243971399E-2</v>
      </c>
      <c r="BA203" s="14">
        <v>5.2404527238915602E-2</v>
      </c>
    </row>
    <row r="204" spans="2:53" x14ac:dyDescent="0.35">
      <c r="B204" t="s">
        <v>116</v>
      </c>
      <c r="C204" s="14">
        <v>2.7548420441300198E-2</v>
      </c>
      <c r="D204" s="14">
        <v>1.81465577923982E-2</v>
      </c>
      <c r="E204" s="14">
        <v>3.6984509371019998E-2</v>
      </c>
      <c r="F204" s="14"/>
      <c r="G204" s="14">
        <v>0.110546678169645</v>
      </c>
      <c r="H204" s="14">
        <v>1.73862140099545E-2</v>
      </c>
      <c r="I204" s="14">
        <v>2.9172744492796301E-2</v>
      </c>
      <c r="J204" s="14">
        <v>2.4310638022974701E-2</v>
      </c>
      <c r="K204" s="14">
        <v>4.0509158351830603E-2</v>
      </c>
      <c r="L204" s="14">
        <v>3.7039589098535101E-2</v>
      </c>
      <c r="M204" s="14"/>
      <c r="N204" s="14">
        <v>1.4735931085644799E-2</v>
      </c>
      <c r="O204" s="14">
        <v>2.83714436030067E-2</v>
      </c>
      <c r="P204" s="14">
        <v>3.0197054198798499E-2</v>
      </c>
      <c r="Q204" s="14">
        <v>3.6623434733653301E-2</v>
      </c>
      <c r="R204" s="14"/>
      <c r="S204" s="14">
        <v>1.4490656399575801E-2</v>
      </c>
      <c r="T204" s="14">
        <v>2.6928313890775098E-2</v>
      </c>
      <c r="U204" s="14">
        <v>2.47403710815653E-2</v>
      </c>
      <c r="V204" s="14">
        <v>5.2908800585252998E-2</v>
      </c>
      <c r="W204" s="14">
        <v>2.3572198119171401E-2</v>
      </c>
      <c r="X204" s="14">
        <v>3.6664228994568199E-2</v>
      </c>
      <c r="Y204" s="14">
        <v>1.82677064932238E-2</v>
      </c>
      <c r="Z204" s="14">
        <v>3.9523464260446999E-2</v>
      </c>
      <c r="AA204" s="14">
        <v>2.3355789652566399E-2</v>
      </c>
      <c r="AB204" s="14"/>
      <c r="AC204" s="14">
        <v>3.2991760475341803E-2</v>
      </c>
      <c r="AD204" s="14">
        <v>1.7769306574446801E-2</v>
      </c>
      <c r="AE204" s="14">
        <v>3.0331379482446401E-2</v>
      </c>
      <c r="AF204" s="14">
        <v>1.45361791142371E-2</v>
      </c>
      <c r="AG204" s="14">
        <v>0</v>
      </c>
      <c r="AH204" s="14"/>
      <c r="AI204" s="14">
        <v>1.8767095803439202E-2</v>
      </c>
      <c r="AJ204" s="14">
        <v>1.23273106788497E-2</v>
      </c>
      <c r="AK204" s="14">
        <v>4.3470832958891099E-2</v>
      </c>
      <c r="AL204" s="14">
        <v>2.6279178088651101E-2</v>
      </c>
      <c r="AM204" s="14">
        <v>2.8471180551953201E-2</v>
      </c>
      <c r="AN204" s="14">
        <v>4.6641998107676101E-2</v>
      </c>
      <c r="AO204" s="14"/>
      <c r="AP204" s="14">
        <v>3.1231072488956999E-2</v>
      </c>
      <c r="AQ204" s="14">
        <v>2.34937026465908E-2</v>
      </c>
      <c r="AR204" s="14"/>
      <c r="AS204" s="14">
        <v>1.96889222777657E-2</v>
      </c>
      <c r="AT204" s="14">
        <v>2.3656192464818499E-2</v>
      </c>
      <c r="AU204" s="14">
        <v>3.0814598591579902E-2</v>
      </c>
      <c r="AV204" s="14"/>
      <c r="AW204" s="14">
        <v>2.6083630175790899E-2</v>
      </c>
      <c r="AX204" s="14">
        <v>1.1863536154804099E-2</v>
      </c>
      <c r="AY204" s="14"/>
      <c r="AZ204" s="14">
        <v>2.1029807832366999E-2</v>
      </c>
      <c r="BA204" s="14">
        <v>4.6846697363441402E-2</v>
      </c>
    </row>
    <row r="205" spans="2:53" x14ac:dyDescent="0.35"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</row>
    <row r="206" spans="2:53" x14ac:dyDescent="0.35">
      <c r="B206" s="6" t="s">
        <v>129</v>
      </c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</row>
    <row r="207" spans="2:53" x14ac:dyDescent="0.35">
      <c r="B207" s="24" t="s">
        <v>118</v>
      </c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</row>
    <row r="208" spans="2:53" x14ac:dyDescent="0.35">
      <c r="B208" t="s">
        <v>76</v>
      </c>
      <c r="C208" s="14">
        <v>0.65837412103441195</v>
      </c>
      <c r="D208" s="14">
        <v>0.59979276054572805</v>
      </c>
      <c r="E208" s="14">
        <v>0.71667111170320896</v>
      </c>
      <c r="F208" s="14"/>
      <c r="G208" s="14">
        <v>0.708200107940408</v>
      </c>
      <c r="H208" s="14">
        <v>0.66405874198336601</v>
      </c>
      <c r="I208" s="14">
        <v>0.69011714521815604</v>
      </c>
      <c r="J208" s="14">
        <v>0.65857015894705795</v>
      </c>
      <c r="K208" s="14">
        <v>0.53180412138130795</v>
      </c>
      <c r="L208" s="14">
        <v>0.43590720261410298</v>
      </c>
      <c r="M208" s="14"/>
      <c r="N208" s="14">
        <v>0.69697329780690498</v>
      </c>
      <c r="O208" s="14">
        <v>0.68091660568673096</v>
      </c>
      <c r="P208" s="14">
        <v>0.60263549288339702</v>
      </c>
      <c r="Q208" s="14">
        <v>0.64022601488225805</v>
      </c>
      <c r="R208" s="14"/>
      <c r="S208" s="14">
        <v>0.68226824919251305</v>
      </c>
      <c r="T208" s="14">
        <v>0.69641197214182404</v>
      </c>
      <c r="U208" s="14">
        <v>0.65611247692789998</v>
      </c>
      <c r="V208" s="14">
        <v>0.64483621654851697</v>
      </c>
      <c r="W208" s="14">
        <v>0.64914935472634405</v>
      </c>
      <c r="X208" s="14">
        <v>0.65040257664721401</v>
      </c>
      <c r="Y208" s="14">
        <v>0.63602066562456405</v>
      </c>
      <c r="Z208" s="14">
        <v>0.62808857418804298</v>
      </c>
      <c r="AA208" s="14">
        <v>0.636803183927794</v>
      </c>
      <c r="AB208" s="14"/>
      <c r="AC208" s="14">
        <v>0.61863607033451795</v>
      </c>
      <c r="AD208" s="14">
        <v>0.60378773656062501</v>
      </c>
      <c r="AE208" s="14">
        <v>0.68567908770192798</v>
      </c>
      <c r="AF208" s="14">
        <v>0.74598845215468901</v>
      </c>
      <c r="AG208" s="14">
        <v>0.73390749792105803</v>
      </c>
      <c r="AH208" s="14"/>
      <c r="AI208" s="14">
        <v>0.64521000267920003</v>
      </c>
      <c r="AJ208" s="14">
        <v>0.65801004259044105</v>
      </c>
      <c r="AK208" s="14">
        <v>0.66518014589632601</v>
      </c>
      <c r="AL208" s="14">
        <v>0.62351312489343003</v>
      </c>
      <c r="AM208" s="14">
        <v>0.71797911939903902</v>
      </c>
      <c r="AN208" s="14">
        <v>0.73268319944350602</v>
      </c>
      <c r="AO208" s="14"/>
      <c r="AP208" s="14">
        <v>0.64896628242276999</v>
      </c>
      <c r="AQ208" s="14">
        <v>0.66785827910375095</v>
      </c>
      <c r="AR208" s="14"/>
      <c r="AS208" s="14">
        <v>0.66087593594326499</v>
      </c>
      <c r="AT208" s="14">
        <v>0.65266538127404194</v>
      </c>
      <c r="AU208" s="14">
        <v>0.65938884241683304</v>
      </c>
      <c r="AV208" s="14"/>
      <c r="AW208" s="14">
        <v>0.65933614043413902</v>
      </c>
      <c r="AX208" s="14">
        <v>0.70254911028767197</v>
      </c>
      <c r="AY208" s="14"/>
      <c r="AZ208" s="14">
        <v>0.65377845040410498</v>
      </c>
      <c r="BA208" s="14">
        <v>0.68172472635702996</v>
      </c>
    </row>
    <row r="209" spans="2:53" x14ac:dyDescent="0.35">
      <c r="B209" t="s">
        <v>77</v>
      </c>
      <c r="C209" s="14">
        <v>0.30670162784868599</v>
      </c>
      <c r="D209" s="14">
        <v>0.358252726840394</v>
      </c>
      <c r="E209" s="14">
        <v>0.25540666047787902</v>
      </c>
      <c r="F209" s="14"/>
      <c r="G209" s="14">
        <v>0.291799892059592</v>
      </c>
      <c r="H209" s="14">
        <v>0.27843377965777599</v>
      </c>
      <c r="I209" s="14">
        <v>0.287714762914067</v>
      </c>
      <c r="J209" s="14">
        <v>0.31087788211460299</v>
      </c>
      <c r="K209" s="14">
        <v>0.414991777501097</v>
      </c>
      <c r="L209" s="14">
        <v>0.39626336398359302</v>
      </c>
      <c r="M209" s="14"/>
      <c r="N209" s="14">
        <v>0.29229869802196001</v>
      </c>
      <c r="O209" s="14">
        <v>0.297369470304235</v>
      </c>
      <c r="P209" s="14">
        <v>0.334738431133905</v>
      </c>
      <c r="Q209" s="14">
        <v>0.30896379734573898</v>
      </c>
      <c r="R209" s="14"/>
      <c r="S209" s="14">
        <v>0.28964799547369702</v>
      </c>
      <c r="T209" s="14">
        <v>0.27416337925700202</v>
      </c>
      <c r="U209" s="14">
        <v>0.33472389841199102</v>
      </c>
      <c r="V209" s="14">
        <v>0.32008890235863202</v>
      </c>
      <c r="W209" s="14">
        <v>0.290914780287088</v>
      </c>
      <c r="X209" s="14">
        <v>0.28283510620061703</v>
      </c>
      <c r="Y209" s="14">
        <v>0.33245155330281001</v>
      </c>
      <c r="Z209" s="14">
        <v>0.31348747441438601</v>
      </c>
      <c r="AA209" s="14">
        <v>0.341671497123677</v>
      </c>
      <c r="AB209" s="14"/>
      <c r="AC209" s="14">
        <v>0.33372568773491601</v>
      </c>
      <c r="AD209" s="14">
        <v>0.35964721490559398</v>
      </c>
      <c r="AE209" s="14">
        <v>0.29108977524656698</v>
      </c>
      <c r="AF209" s="14">
        <v>0.230695507080456</v>
      </c>
      <c r="AG209" s="14">
        <v>0.25492776892257002</v>
      </c>
      <c r="AH209" s="14"/>
      <c r="AI209" s="14">
        <v>0.32324895694948003</v>
      </c>
      <c r="AJ209" s="14">
        <v>0.30180460114406399</v>
      </c>
      <c r="AK209" s="14">
        <v>0.306419229808503</v>
      </c>
      <c r="AL209" s="14">
        <v>0.326589264680689</v>
      </c>
      <c r="AM209" s="14">
        <v>0.26049402832395502</v>
      </c>
      <c r="AN209" s="14">
        <v>0.25278749953132901</v>
      </c>
      <c r="AO209" s="14"/>
      <c r="AP209" s="14">
        <v>0.31852704237644303</v>
      </c>
      <c r="AQ209" s="14">
        <v>0.29438480536703898</v>
      </c>
      <c r="AR209" s="14"/>
      <c r="AS209" s="14">
        <v>0.30938069276948899</v>
      </c>
      <c r="AT209" s="14">
        <v>0.30305638248938599</v>
      </c>
      <c r="AU209" s="14">
        <v>0.30705847966293698</v>
      </c>
      <c r="AV209" s="14"/>
      <c r="AW209" s="14">
        <v>0.31393568375163</v>
      </c>
      <c r="AX209" s="14">
        <v>0.25088729376784102</v>
      </c>
      <c r="AY209" s="14"/>
      <c r="AZ209" s="14">
        <v>0.30807161260299998</v>
      </c>
      <c r="BA209" s="14">
        <v>0.30541298489319602</v>
      </c>
    </row>
    <row r="210" spans="2:53" x14ac:dyDescent="0.35">
      <c r="B210" t="s">
        <v>78</v>
      </c>
      <c r="C210" s="14">
        <v>2.8543741859087299E-2</v>
      </c>
      <c r="D210" s="14">
        <v>3.2760743267347799E-2</v>
      </c>
      <c r="E210" s="14">
        <v>2.43510421246474E-2</v>
      </c>
      <c r="F210" s="14"/>
      <c r="G210" s="14">
        <v>0</v>
      </c>
      <c r="H210" s="14">
        <v>4.51440134139715E-2</v>
      </c>
      <c r="I210" s="14">
        <v>1.2235608919593501E-2</v>
      </c>
      <c r="J210" s="14">
        <v>3.0551958938339199E-2</v>
      </c>
      <c r="K210" s="14">
        <v>5.1090612843506897E-2</v>
      </c>
      <c r="L210" s="14">
        <v>0.167829433402304</v>
      </c>
      <c r="M210" s="14"/>
      <c r="N210" s="14">
        <v>9.5098488032633894E-3</v>
      </c>
      <c r="O210" s="14">
        <v>1.6114334387663701E-2</v>
      </c>
      <c r="P210" s="14">
        <v>4.4045671249132098E-2</v>
      </c>
      <c r="Q210" s="14">
        <v>4.8701928630643702E-2</v>
      </c>
      <c r="R210" s="14"/>
      <c r="S210" s="14">
        <v>2.2010520410738199E-2</v>
      </c>
      <c r="T210" s="14">
        <v>2.5048759994181598E-2</v>
      </c>
      <c r="U210" s="14">
        <v>7.22045593911188E-3</v>
      </c>
      <c r="V210" s="14">
        <v>1.2647464915833601E-2</v>
      </c>
      <c r="W210" s="14">
        <v>5.3187816606937298E-2</v>
      </c>
      <c r="X210" s="14">
        <v>5.3700973034399198E-2</v>
      </c>
      <c r="Y210" s="14">
        <v>3.01991904304168E-2</v>
      </c>
      <c r="Z210" s="14">
        <v>5.84239513975707E-2</v>
      </c>
      <c r="AA210" s="14">
        <v>2.1525318948528199E-2</v>
      </c>
      <c r="AB210" s="14"/>
      <c r="AC210" s="14">
        <v>4.0674495218623499E-2</v>
      </c>
      <c r="AD210" s="14">
        <v>2.8533591605744299E-2</v>
      </c>
      <c r="AE210" s="14">
        <v>1.74784511910882E-2</v>
      </c>
      <c r="AF210" s="14">
        <v>2.1129553736493199E-2</v>
      </c>
      <c r="AG210" s="14">
        <v>1.11647331563717E-2</v>
      </c>
      <c r="AH210" s="14"/>
      <c r="AI210" s="14">
        <v>2.8929438487946098E-2</v>
      </c>
      <c r="AJ210" s="14">
        <v>2.8709300521226201E-2</v>
      </c>
      <c r="AK210" s="14">
        <v>2.0613066870749E-2</v>
      </c>
      <c r="AL210" s="14">
        <v>3.9804724982721702E-2</v>
      </c>
      <c r="AM210" s="14">
        <v>2.1526852277006101E-2</v>
      </c>
      <c r="AN210" s="14">
        <v>1.4529301025164899E-2</v>
      </c>
      <c r="AO210" s="14"/>
      <c r="AP210" s="14">
        <v>2.71470268894781E-2</v>
      </c>
      <c r="AQ210" s="14">
        <v>3.0207231722265099E-2</v>
      </c>
      <c r="AR210" s="14"/>
      <c r="AS210" s="14">
        <v>1.5407156430089299E-2</v>
      </c>
      <c r="AT210" s="14">
        <v>3.49964352886439E-2</v>
      </c>
      <c r="AU210" s="14">
        <v>3.01712244748168E-2</v>
      </c>
      <c r="AV210" s="14"/>
      <c r="AW210" s="14">
        <v>2.24528428228132E-2</v>
      </c>
      <c r="AX210" s="14">
        <v>3.4225342754251098E-2</v>
      </c>
      <c r="AY210" s="14"/>
      <c r="AZ210" s="14">
        <v>3.1520518977121798E-2</v>
      </c>
      <c r="BA210" s="14">
        <v>1.28622887497739E-2</v>
      </c>
    </row>
    <row r="211" spans="2:53" x14ac:dyDescent="0.35">
      <c r="B211" t="s">
        <v>79</v>
      </c>
      <c r="C211" s="14">
        <v>5.0095121508024103E-3</v>
      </c>
      <c r="D211" s="14">
        <v>8.8041415102563005E-3</v>
      </c>
      <c r="E211" s="14">
        <v>1.2167054163372E-3</v>
      </c>
      <c r="F211" s="14"/>
      <c r="G211" s="14">
        <v>0</v>
      </c>
      <c r="H211" s="14">
        <v>8.0107947947924401E-3</v>
      </c>
      <c r="I211" s="14">
        <v>8.72868637108167E-3</v>
      </c>
      <c r="J211" s="14">
        <v>0</v>
      </c>
      <c r="K211" s="14">
        <v>0</v>
      </c>
      <c r="L211" s="14">
        <v>0</v>
      </c>
      <c r="M211" s="14"/>
      <c r="N211" s="14">
        <v>4.9467229294974902E-4</v>
      </c>
      <c r="O211" s="14">
        <v>5.5995896213693903E-3</v>
      </c>
      <c r="P211" s="14">
        <v>1.56155063023449E-2</v>
      </c>
      <c r="Q211" s="14">
        <v>0</v>
      </c>
      <c r="R211" s="14"/>
      <c r="S211" s="14">
        <v>6.0732349230513301E-3</v>
      </c>
      <c r="T211" s="14">
        <v>4.3758886069926797E-3</v>
      </c>
      <c r="U211" s="14">
        <v>0</v>
      </c>
      <c r="V211" s="14">
        <v>1.6511392170099198E-2</v>
      </c>
      <c r="W211" s="14">
        <v>6.7480483796308497E-3</v>
      </c>
      <c r="X211" s="14">
        <v>7.8166560070366906E-3</v>
      </c>
      <c r="Y211" s="14">
        <v>1.3285906422094199E-3</v>
      </c>
      <c r="Z211" s="14">
        <v>0</v>
      </c>
      <c r="AA211" s="14">
        <v>0</v>
      </c>
      <c r="AB211" s="14"/>
      <c r="AC211" s="14">
        <v>6.9637467119420798E-3</v>
      </c>
      <c r="AD211" s="14">
        <v>4.9842217829073202E-3</v>
      </c>
      <c r="AE211" s="14">
        <v>5.7526858604166897E-3</v>
      </c>
      <c r="AF211" s="14">
        <v>8.8789540345220305E-4</v>
      </c>
      <c r="AG211" s="14">
        <v>0</v>
      </c>
      <c r="AH211" s="14"/>
      <c r="AI211" s="14">
        <v>2.6116018833735799E-3</v>
      </c>
      <c r="AJ211" s="14">
        <v>1.1476055744268901E-2</v>
      </c>
      <c r="AK211" s="14">
        <v>7.7875574244218896E-3</v>
      </c>
      <c r="AL211" s="14">
        <v>8.8277498338068892E-3</v>
      </c>
      <c r="AM211" s="14">
        <v>0</v>
      </c>
      <c r="AN211" s="14">
        <v>0</v>
      </c>
      <c r="AO211" s="14"/>
      <c r="AP211" s="14">
        <v>4.9911613140888201E-3</v>
      </c>
      <c r="AQ211" s="14">
        <v>5.0463038853381997E-3</v>
      </c>
      <c r="AR211" s="14"/>
      <c r="AS211" s="14">
        <v>1.0554531287642799E-2</v>
      </c>
      <c r="AT211" s="14">
        <v>9.2818009479282496E-3</v>
      </c>
      <c r="AU211" s="14">
        <v>2.2538588381493798E-3</v>
      </c>
      <c r="AV211" s="14"/>
      <c r="AW211" s="14">
        <v>3.1505885936146099E-3</v>
      </c>
      <c r="AX211" s="14">
        <v>1.23382531902358E-2</v>
      </c>
      <c r="AY211" s="14"/>
      <c r="AZ211" s="14">
        <v>6.38127880300857E-3</v>
      </c>
      <c r="BA211" s="14">
        <v>0</v>
      </c>
    </row>
    <row r="212" spans="2:53" x14ac:dyDescent="0.35">
      <c r="B212" t="s">
        <v>80</v>
      </c>
      <c r="C212" s="14">
        <v>1.37099710701186E-3</v>
      </c>
      <c r="D212" s="14">
        <v>3.89627836273248E-4</v>
      </c>
      <c r="E212" s="14">
        <v>2.3544802779278599E-3</v>
      </c>
      <c r="F212" s="14"/>
      <c r="G212" s="14">
        <v>0</v>
      </c>
      <c r="H212" s="14">
        <v>4.3526701500940599E-3</v>
      </c>
      <c r="I212" s="14">
        <v>1.2037965771009599E-3</v>
      </c>
      <c r="J212" s="14">
        <v>0</v>
      </c>
      <c r="K212" s="14">
        <v>2.11348827408793E-3</v>
      </c>
      <c r="L212" s="14">
        <v>0</v>
      </c>
      <c r="M212" s="14"/>
      <c r="N212" s="14">
        <v>7.2348307492284703E-4</v>
      </c>
      <c r="O212" s="14">
        <v>0</v>
      </c>
      <c r="P212" s="14">
        <v>2.9648984312212199E-3</v>
      </c>
      <c r="Q212" s="14">
        <v>2.10825914135932E-3</v>
      </c>
      <c r="R212" s="14"/>
      <c r="S212" s="14">
        <v>0</v>
      </c>
      <c r="T212" s="14">
        <v>0</v>
      </c>
      <c r="U212" s="14">
        <v>1.9431687209972199E-3</v>
      </c>
      <c r="V212" s="14">
        <v>5.9160240069183103E-3</v>
      </c>
      <c r="W212" s="14">
        <v>0</v>
      </c>
      <c r="X212" s="14">
        <v>5.2446881107329297E-3</v>
      </c>
      <c r="Y212" s="14">
        <v>0</v>
      </c>
      <c r="Z212" s="14">
        <v>0</v>
      </c>
      <c r="AA212" s="14">
        <v>0</v>
      </c>
      <c r="AB212" s="14"/>
      <c r="AC212" s="14">
        <v>0</v>
      </c>
      <c r="AD212" s="14">
        <v>3.04723514512905E-3</v>
      </c>
      <c r="AE212" s="14">
        <v>0</v>
      </c>
      <c r="AF212" s="14">
        <v>1.2985916249097799E-3</v>
      </c>
      <c r="AG212" s="14">
        <v>0</v>
      </c>
      <c r="AH212" s="14"/>
      <c r="AI212" s="14">
        <v>0</v>
      </c>
      <c r="AJ212" s="14">
        <v>0</v>
      </c>
      <c r="AK212" s="14">
        <v>0</v>
      </c>
      <c r="AL212" s="14">
        <v>1.26513560935166E-3</v>
      </c>
      <c r="AM212" s="14">
        <v>0</v>
      </c>
      <c r="AN212" s="14">
        <v>0</v>
      </c>
      <c r="AO212" s="14"/>
      <c r="AP212" s="14">
        <v>3.6848699722024497E-4</v>
      </c>
      <c r="AQ212" s="14">
        <v>2.5033799216069401E-3</v>
      </c>
      <c r="AR212" s="14"/>
      <c r="AS212" s="14">
        <v>3.78168356951394E-3</v>
      </c>
      <c r="AT212" s="14">
        <v>0</v>
      </c>
      <c r="AU212" s="14">
        <v>1.12759460726424E-3</v>
      </c>
      <c r="AV212" s="14"/>
      <c r="AW212" s="14">
        <v>1.1247443978030501E-3</v>
      </c>
      <c r="AX212" s="14">
        <v>0</v>
      </c>
      <c r="AY212" s="14"/>
      <c r="AZ212" s="14">
        <v>2.4813921276486798E-4</v>
      </c>
      <c r="BA212" s="14">
        <v>0</v>
      </c>
    </row>
    <row r="213" spans="2:53" x14ac:dyDescent="0.35">
      <c r="B213" t="s">
        <v>81</v>
      </c>
      <c r="C213" s="14">
        <v>0.96507574888309799</v>
      </c>
      <c r="D213" s="14">
        <v>0.95804548738612305</v>
      </c>
      <c r="E213" s="14">
        <v>0.97207777218108804</v>
      </c>
      <c r="F213" s="14"/>
      <c r="G213" s="14">
        <v>1</v>
      </c>
      <c r="H213" s="14">
        <v>0.94249252164114194</v>
      </c>
      <c r="I213" s="14">
        <v>0.97783190813222398</v>
      </c>
      <c r="J213" s="14">
        <v>0.96944804106166105</v>
      </c>
      <c r="K213" s="14">
        <v>0.94679589888240501</v>
      </c>
      <c r="L213" s="14">
        <v>0.83217056659769595</v>
      </c>
      <c r="M213" s="14"/>
      <c r="N213" s="14">
        <v>0.98927199582886405</v>
      </c>
      <c r="O213" s="14">
        <v>0.97828607599096695</v>
      </c>
      <c r="P213" s="14">
        <v>0.93737392401730202</v>
      </c>
      <c r="Q213" s="14">
        <v>0.94918981222799703</v>
      </c>
      <c r="R213" s="14"/>
      <c r="S213" s="14">
        <v>0.97191624466621096</v>
      </c>
      <c r="T213" s="14">
        <v>0.970575351398826</v>
      </c>
      <c r="U213" s="14">
        <v>0.990836375339891</v>
      </c>
      <c r="V213" s="14">
        <v>0.96492511890714905</v>
      </c>
      <c r="W213" s="14">
        <v>0.940064135013432</v>
      </c>
      <c r="X213" s="14">
        <v>0.93323768284783104</v>
      </c>
      <c r="Y213" s="14">
        <v>0.96847221892737401</v>
      </c>
      <c r="Z213" s="14">
        <v>0.94157604860242905</v>
      </c>
      <c r="AA213" s="14">
        <v>0.97847468105147195</v>
      </c>
      <c r="AB213" s="14"/>
      <c r="AC213" s="14">
        <v>0.95236175806943502</v>
      </c>
      <c r="AD213" s="14">
        <v>0.96343495146621905</v>
      </c>
      <c r="AE213" s="14">
        <v>0.97676886294849496</v>
      </c>
      <c r="AF213" s="14">
        <v>0.97668395923514495</v>
      </c>
      <c r="AG213" s="14">
        <v>0.98883526684362799</v>
      </c>
      <c r="AH213" s="14"/>
      <c r="AI213" s="14">
        <v>0.96845895962868001</v>
      </c>
      <c r="AJ213" s="14">
        <v>0.95981464373450498</v>
      </c>
      <c r="AK213" s="14">
        <v>0.97159937570482902</v>
      </c>
      <c r="AL213" s="14">
        <v>0.95010238957411997</v>
      </c>
      <c r="AM213" s="14">
        <v>0.97847314772299399</v>
      </c>
      <c r="AN213" s="14">
        <v>0.98547069897483497</v>
      </c>
      <c r="AO213" s="14"/>
      <c r="AP213" s="14">
        <v>0.96749332479921302</v>
      </c>
      <c r="AQ213" s="14">
        <v>0.96224308447078999</v>
      </c>
      <c r="AR213" s="14"/>
      <c r="AS213" s="14">
        <v>0.97025662871275398</v>
      </c>
      <c r="AT213" s="14">
        <v>0.95572176376342799</v>
      </c>
      <c r="AU213" s="14">
        <v>0.96644732207977002</v>
      </c>
      <c r="AV213" s="14"/>
      <c r="AW213" s="14">
        <v>0.97327182418576896</v>
      </c>
      <c r="AX213" s="14">
        <v>0.953436404055513</v>
      </c>
      <c r="AY213" s="14"/>
      <c r="AZ213" s="14">
        <v>0.96185006300710496</v>
      </c>
      <c r="BA213" s="14">
        <v>0.98713771125022598</v>
      </c>
    </row>
    <row r="214" spans="2:53" x14ac:dyDescent="0.35"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</row>
    <row r="215" spans="2:53" x14ac:dyDescent="0.35">
      <c r="B215" s="6" t="s">
        <v>130</v>
      </c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</row>
    <row r="216" spans="2:53" x14ac:dyDescent="0.35">
      <c r="B216" s="24" t="s">
        <v>118</v>
      </c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</row>
    <row r="217" spans="2:53" x14ac:dyDescent="0.35">
      <c r="B217" t="s">
        <v>76</v>
      </c>
      <c r="C217" s="14">
        <v>0.72926926219004995</v>
      </c>
      <c r="D217" s="14">
        <v>0.71182676186934202</v>
      </c>
      <c r="E217" s="14">
        <v>0.74743274654539305</v>
      </c>
      <c r="F217" s="14"/>
      <c r="G217" s="14">
        <v>0.32280996918382798</v>
      </c>
      <c r="H217" s="14">
        <v>0.71381869248118601</v>
      </c>
      <c r="I217" s="14">
        <v>0.71801626699641297</v>
      </c>
      <c r="J217" s="14">
        <v>0.74472902330458401</v>
      </c>
      <c r="K217" s="14">
        <v>0.78815832478746695</v>
      </c>
      <c r="L217" s="14">
        <v>0.68459630571836305</v>
      </c>
      <c r="M217" s="14"/>
      <c r="N217" s="14">
        <v>0.75899478308995705</v>
      </c>
      <c r="O217" s="14">
        <v>0.75728806642482804</v>
      </c>
      <c r="P217" s="14">
        <v>0.69479480154093898</v>
      </c>
      <c r="Q217" s="14">
        <v>0.69713401936203701</v>
      </c>
      <c r="R217" s="14"/>
      <c r="S217" s="14">
        <v>0.75780178022675404</v>
      </c>
      <c r="T217" s="14">
        <v>0.78746035604379505</v>
      </c>
      <c r="U217" s="14">
        <v>0.74860122473990998</v>
      </c>
      <c r="V217" s="14">
        <v>0.69711814040456099</v>
      </c>
      <c r="W217" s="14">
        <v>0.72722715281944905</v>
      </c>
      <c r="X217" s="14">
        <v>0.70112019439548801</v>
      </c>
      <c r="Y217" s="14">
        <v>0.69520822377636005</v>
      </c>
      <c r="Z217" s="14">
        <v>0.65662068957384101</v>
      </c>
      <c r="AA217" s="14">
        <v>0.71218887001561204</v>
      </c>
      <c r="AB217" s="14"/>
      <c r="AC217" s="14">
        <v>0.70065368792236105</v>
      </c>
      <c r="AD217" s="14">
        <v>0.68869365223749701</v>
      </c>
      <c r="AE217" s="14">
        <v>0.77418776665440003</v>
      </c>
      <c r="AF217" s="14">
        <v>0.768912466364291</v>
      </c>
      <c r="AG217" s="14">
        <v>0.79825819839243195</v>
      </c>
      <c r="AH217" s="14"/>
      <c r="AI217" s="14">
        <v>0.72726024651566401</v>
      </c>
      <c r="AJ217" s="14">
        <v>0.74360519601916297</v>
      </c>
      <c r="AK217" s="14">
        <v>0.67495281076139502</v>
      </c>
      <c r="AL217" s="14">
        <v>0.69296179604775798</v>
      </c>
      <c r="AM217" s="14">
        <v>0.76347136695880002</v>
      </c>
      <c r="AN217" s="14">
        <v>0.833235302513467</v>
      </c>
      <c r="AO217" s="14"/>
      <c r="AP217" s="14">
        <v>0.73174863288287495</v>
      </c>
      <c r="AQ217" s="14">
        <v>0.72627392886634801</v>
      </c>
      <c r="AR217" s="14"/>
      <c r="AS217" s="14">
        <v>0.73587127155119803</v>
      </c>
      <c r="AT217" s="14">
        <v>0.76634593501634296</v>
      </c>
      <c r="AU217" s="14">
        <v>0.71652903673467205</v>
      </c>
      <c r="AV217" s="14"/>
      <c r="AW217" s="14">
        <v>0.74138145870868499</v>
      </c>
      <c r="AX217" s="14">
        <v>0.76526475632782798</v>
      </c>
      <c r="AY217" s="14"/>
      <c r="AZ217" s="14">
        <v>0.72684406464787199</v>
      </c>
      <c r="BA217" s="14">
        <v>0.74326923376314602</v>
      </c>
    </row>
    <row r="218" spans="2:53" x14ac:dyDescent="0.35">
      <c r="B218" t="s">
        <v>77</v>
      </c>
      <c r="C218" s="14">
        <v>0.243793043086906</v>
      </c>
      <c r="D218" s="14">
        <v>0.25823298095701103</v>
      </c>
      <c r="E218" s="14">
        <v>0.22957791998171001</v>
      </c>
      <c r="F218" s="14"/>
      <c r="G218" s="14">
        <v>0.49591043723416001</v>
      </c>
      <c r="H218" s="14">
        <v>0.239372047718131</v>
      </c>
      <c r="I218" s="14">
        <v>0.25261821910761101</v>
      </c>
      <c r="J218" s="14">
        <v>0.24323496228950001</v>
      </c>
      <c r="K218" s="14">
        <v>0.18974500843091099</v>
      </c>
      <c r="L218" s="14">
        <v>0.28352330060403003</v>
      </c>
      <c r="M218" s="14"/>
      <c r="N218" s="14">
        <v>0.22341447378981399</v>
      </c>
      <c r="O218" s="14">
        <v>0.21983022328541901</v>
      </c>
      <c r="P218" s="14">
        <v>0.26848366792870598</v>
      </c>
      <c r="Q218" s="14">
        <v>0.26991584826574799</v>
      </c>
      <c r="R218" s="14"/>
      <c r="S218" s="14">
        <v>0.21542077701826701</v>
      </c>
      <c r="T218" s="14">
        <v>0.17819724084201499</v>
      </c>
      <c r="U218" s="14">
        <v>0.21842264374678499</v>
      </c>
      <c r="V218" s="14">
        <v>0.26009350467431602</v>
      </c>
      <c r="W218" s="14">
        <v>0.25518020339793501</v>
      </c>
      <c r="X218" s="14">
        <v>0.27437209017839598</v>
      </c>
      <c r="Y218" s="14">
        <v>0.29272142692766601</v>
      </c>
      <c r="Z218" s="14">
        <v>0.33436201925749798</v>
      </c>
      <c r="AA218" s="14">
        <v>0.26115047024349902</v>
      </c>
      <c r="AB218" s="14"/>
      <c r="AC218" s="14">
        <v>0.273483744359165</v>
      </c>
      <c r="AD218" s="14">
        <v>0.292872872222319</v>
      </c>
      <c r="AE218" s="14">
        <v>0.203395376343803</v>
      </c>
      <c r="AF218" s="14">
        <v>0.197875156087158</v>
      </c>
      <c r="AG218" s="14">
        <v>0.19105219608326399</v>
      </c>
      <c r="AH218" s="14"/>
      <c r="AI218" s="14">
        <v>0.25244622500746999</v>
      </c>
      <c r="AJ218" s="14">
        <v>0.22049952027904199</v>
      </c>
      <c r="AK218" s="14">
        <v>0.274643322778164</v>
      </c>
      <c r="AL218" s="14">
        <v>0.28310353280928702</v>
      </c>
      <c r="AM218" s="14">
        <v>0.23461987905784201</v>
      </c>
      <c r="AN218" s="14">
        <v>0.138667854311714</v>
      </c>
      <c r="AO218" s="14"/>
      <c r="AP218" s="14">
        <v>0.241727824722894</v>
      </c>
      <c r="AQ218" s="14">
        <v>0.24623558317350999</v>
      </c>
      <c r="AR218" s="14"/>
      <c r="AS218" s="14">
        <v>0.22998926188351401</v>
      </c>
      <c r="AT218" s="14">
        <v>0.20695601843322001</v>
      </c>
      <c r="AU218" s="14">
        <v>0.25840065362234999</v>
      </c>
      <c r="AV218" s="14"/>
      <c r="AW218" s="14">
        <v>0.23606675837962299</v>
      </c>
      <c r="AX218" s="14">
        <v>0.208141291807767</v>
      </c>
      <c r="AY218" s="14"/>
      <c r="AZ218" s="14">
        <v>0.24698732347112701</v>
      </c>
      <c r="BA218" s="14">
        <v>0.23194562396803001</v>
      </c>
    </row>
    <row r="219" spans="2:53" x14ac:dyDescent="0.35">
      <c r="B219" t="s">
        <v>78</v>
      </c>
      <c r="C219" s="14">
        <v>1.9881038615383199E-2</v>
      </c>
      <c r="D219" s="14">
        <v>2.42992728226279E-2</v>
      </c>
      <c r="E219" s="14">
        <v>1.54785465611225E-2</v>
      </c>
      <c r="F219" s="14"/>
      <c r="G219" s="14">
        <v>0.18127959358201301</v>
      </c>
      <c r="H219" s="14">
        <v>4.2456589650589301E-2</v>
      </c>
      <c r="I219" s="14">
        <v>1.93612280459401E-2</v>
      </c>
      <c r="J219" s="14">
        <v>1.20360144059158E-2</v>
      </c>
      <c r="K219" s="14">
        <v>0</v>
      </c>
      <c r="L219" s="14">
        <v>3.1880393677607102E-2</v>
      </c>
      <c r="M219" s="14"/>
      <c r="N219" s="14">
        <v>1.7590743120228701E-2</v>
      </c>
      <c r="O219" s="14">
        <v>2.2881710289752201E-2</v>
      </c>
      <c r="P219" s="14">
        <v>2.5334896327692501E-2</v>
      </c>
      <c r="Q219" s="14">
        <v>1.46708126230355E-2</v>
      </c>
      <c r="R219" s="14"/>
      <c r="S219" s="14">
        <v>2.3129295019777101E-2</v>
      </c>
      <c r="T219" s="14">
        <v>2.5224766175963701E-2</v>
      </c>
      <c r="U219" s="14">
        <v>2.49110097679715E-2</v>
      </c>
      <c r="V219" s="14">
        <v>2.0703143849272E-2</v>
      </c>
      <c r="W219" s="14">
        <v>1.7592643782615901E-2</v>
      </c>
      <c r="X219" s="14">
        <v>6.7509632461309702E-3</v>
      </c>
      <c r="Y219" s="14">
        <v>1.2070349295974E-2</v>
      </c>
      <c r="Z219" s="14">
        <v>9.0172911686618E-3</v>
      </c>
      <c r="AA219" s="14">
        <v>2.6660659740888701E-2</v>
      </c>
      <c r="AB219" s="14"/>
      <c r="AC219" s="14">
        <v>1.3314127145114599E-2</v>
      </c>
      <c r="AD219" s="14">
        <v>1.5386240395055499E-2</v>
      </c>
      <c r="AE219" s="14">
        <v>2.07480813415706E-2</v>
      </c>
      <c r="AF219" s="14">
        <v>3.32123775485514E-2</v>
      </c>
      <c r="AG219" s="14">
        <v>1.06896055243042E-2</v>
      </c>
      <c r="AH219" s="14"/>
      <c r="AI219" s="14">
        <v>1.4223244100457499E-2</v>
      </c>
      <c r="AJ219" s="14">
        <v>3.5895283701795101E-2</v>
      </c>
      <c r="AK219" s="14">
        <v>3.9571112800739799E-2</v>
      </c>
      <c r="AL219" s="14">
        <v>1.8845272619225199E-2</v>
      </c>
      <c r="AM219" s="14">
        <v>1.90875398335777E-3</v>
      </c>
      <c r="AN219" s="14">
        <v>7.5744500482331899E-3</v>
      </c>
      <c r="AO219" s="14"/>
      <c r="AP219" s="14">
        <v>2.16716462558126E-2</v>
      </c>
      <c r="AQ219" s="14">
        <v>1.7930425870441399E-2</v>
      </c>
      <c r="AR219" s="14"/>
      <c r="AS219" s="14">
        <v>3.0357782995774098E-2</v>
      </c>
      <c r="AT219" s="14">
        <v>2.25510336186979E-2</v>
      </c>
      <c r="AU219" s="14">
        <v>1.6271876691850401E-2</v>
      </c>
      <c r="AV219" s="14"/>
      <c r="AW219" s="14">
        <v>1.80449440314541E-2</v>
      </c>
      <c r="AX219" s="14">
        <v>2.3058651931947199E-2</v>
      </c>
      <c r="AY219" s="14"/>
      <c r="AZ219" s="14">
        <v>2.1959128865409999E-2</v>
      </c>
      <c r="BA219" s="14">
        <v>1.25505711939884E-2</v>
      </c>
    </row>
    <row r="220" spans="2:53" x14ac:dyDescent="0.35">
      <c r="B220" t="s">
        <v>79</v>
      </c>
      <c r="C220" s="14">
        <v>3.3045815683931299E-3</v>
      </c>
      <c r="D220" s="14">
        <v>5.6409843510190497E-3</v>
      </c>
      <c r="E220" s="14">
        <v>0</v>
      </c>
      <c r="F220" s="14"/>
      <c r="G220" s="14">
        <v>0</v>
      </c>
      <c r="H220" s="14">
        <v>0</v>
      </c>
      <c r="I220" s="14">
        <v>2.9030062996116199E-3</v>
      </c>
      <c r="J220" s="14">
        <v>0</v>
      </c>
      <c r="K220" s="14">
        <v>2.2096666781622198E-2</v>
      </c>
      <c r="L220" s="14">
        <v>0</v>
      </c>
      <c r="M220" s="14"/>
      <c r="N220" s="14">
        <v>0</v>
      </c>
      <c r="O220" s="14">
        <v>0</v>
      </c>
      <c r="P220" s="14">
        <v>8.4217357714418701E-3</v>
      </c>
      <c r="Q220" s="14">
        <v>5.8425527635278997E-3</v>
      </c>
      <c r="R220" s="14"/>
      <c r="S220" s="14">
        <v>0</v>
      </c>
      <c r="T220" s="14">
        <v>9.1176369382260907E-3</v>
      </c>
      <c r="U220" s="14">
        <v>0</v>
      </c>
      <c r="V220" s="14">
        <v>9.67656722213215E-3</v>
      </c>
      <c r="W220" s="14">
        <v>0</v>
      </c>
      <c r="X220" s="14">
        <v>7.8166560070366906E-3</v>
      </c>
      <c r="Y220" s="14">
        <v>0</v>
      </c>
      <c r="Z220" s="14">
        <v>0</v>
      </c>
      <c r="AA220" s="14">
        <v>0</v>
      </c>
      <c r="AB220" s="14"/>
      <c r="AC220" s="14">
        <v>1.01926269614995E-2</v>
      </c>
      <c r="AD220" s="14">
        <v>0</v>
      </c>
      <c r="AE220" s="14">
        <v>1.6687756602267599E-3</v>
      </c>
      <c r="AF220" s="14">
        <v>0</v>
      </c>
      <c r="AG220" s="14">
        <v>0</v>
      </c>
      <c r="AH220" s="14"/>
      <c r="AI220" s="14">
        <v>4.4100342541726597E-3</v>
      </c>
      <c r="AJ220" s="14">
        <v>0</v>
      </c>
      <c r="AK220" s="14">
        <v>1.08327536597019E-2</v>
      </c>
      <c r="AL220" s="14">
        <v>5.0893985237300196E-3</v>
      </c>
      <c r="AM220" s="14">
        <v>0</v>
      </c>
      <c r="AN220" s="14">
        <v>0</v>
      </c>
      <c r="AO220" s="14"/>
      <c r="AP220" s="14">
        <v>3.3224908623661598E-3</v>
      </c>
      <c r="AQ220" s="14">
        <v>3.2950809853134599E-3</v>
      </c>
      <c r="AR220" s="14"/>
      <c r="AS220" s="14">
        <v>0</v>
      </c>
      <c r="AT220" s="14">
        <v>4.1470129317397299E-3</v>
      </c>
      <c r="AU220" s="14">
        <v>3.9448567658284398E-3</v>
      </c>
      <c r="AV220" s="14"/>
      <c r="AW220" s="14">
        <v>1.9390088374412499E-3</v>
      </c>
      <c r="AX220" s="14">
        <v>0</v>
      </c>
      <c r="AY220" s="14"/>
      <c r="AZ220" s="14">
        <v>4.2094830155910796E-3</v>
      </c>
      <c r="BA220" s="14">
        <v>0</v>
      </c>
    </row>
    <row r="221" spans="2:53" x14ac:dyDescent="0.35">
      <c r="B221" t="s">
        <v>80</v>
      </c>
      <c r="C221" s="14">
        <v>3.7520745392678099E-3</v>
      </c>
      <c r="D221" s="14">
        <v>0</v>
      </c>
      <c r="E221" s="14">
        <v>7.5107869117750602E-3</v>
      </c>
      <c r="F221" s="14"/>
      <c r="G221" s="14">
        <v>0</v>
      </c>
      <c r="H221" s="14">
        <v>4.3526701500940599E-3</v>
      </c>
      <c r="I221" s="14">
        <v>7.1012795504242802E-3</v>
      </c>
      <c r="J221" s="14">
        <v>0</v>
      </c>
      <c r="K221" s="14">
        <v>0</v>
      </c>
      <c r="L221" s="14">
        <v>0</v>
      </c>
      <c r="M221" s="14"/>
      <c r="N221" s="14">
        <v>0</v>
      </c>
      <c r="O221" s="14">
        <v>0</v>
      </c>
      <c r="P221" s="14">
        <v>2.9648984312212199E-3</v>
      </c>
      <c r="Q221" s="14">
        <v>1.2436766985651999E-2</v>
      </c>
      <c r="R221" s="14"/>
      <c r="S221" s="14">
        <v>3.6481477352014501E-3</v>
      </c>
      <c r="T221" s="14">
        <v>0</v>
      </c>
      <c r="U221" s="14">
        <v>8.0651217453341292E-3</v>
      </c>
      <c r="V221" s="14">
        <v>1.24086438497189E-2</v>
      </c>
      <c r="W221" s="14">
        <v>0</v>
      </c>
      <c r="X221" s="14">
        <v>9.9400961729480108E-3</v>
      </c>
      <c r="Y221" s="14">
        <v>0</v>
      </c>
      <c r="Z221" s="14">
        <v>0</v>
      </c>
      <c r="AA221" s="14">
        <v>0</v>
      </c>
      <c r="AB221" s="14"/>
      <c r="AC221" s="14">
        <v>2.35581361186005E-3</v>
      </c>
      <c r="AD221" s="14">
        <v>3.04723514512905E-3</v>
      </c>
      <c r="AE221" s="14">
        <v>0</v>
      </c>
      <c r="AF221" s="14">
        <v>0</v>
      </c>
      <c r="AG221" s="14">
        <v>0</v>
      </c>
      <c r="AH221" s="14"/>
      <c r="AI221" s="14">
        <v>1.6602501222362099E-3</v>
      </c>
      <c r="AJ221" s="14">
        <v>0</v>
      </c>
      <c r="AK221" s="14">
        <v>0</v>
      </c>
      <c r="AL221" s="14">
        <v>0</v>
      </c>
      <c r="AM221" s="14">
        <v>0</v>
      </c>
      <c r="AN221" s="14">
        <v>2.0522393126585801E-2</v>
      </c>
      <c r="AO221" s="14"/>
      <c r="AP221" s="14">
        <v>1.52940527605278E-3</v>
      </c>
      <c r="AQ221" s="14">
        <v>6.26498110438791E-3</v>
      </c>
      <c r="AR221" s="14"/>
      <c r="AS221" s="14">
        <v>3.78168356951394E-3</v>
      </c>
      <c r="AT221" s="14">
        <v>0</v>
      </c>
      <c r="AU221" s="14">
        <v>4.8535761852995301E-3</v>
      </c>
      <c r="AV221" s="14"/>
      <c r="AW221" s="14">
        <v>2.5678300427968599E-3</v>
      </c>
      <c r="AX221" s="14">
        <v>3.53529993245738E-3</v>
      </c>
      <c r="AY221" s="14"/>
      <c r="AZ221" s="14">
        <v>0</v>
      </c>
      <c r="BA221" s="14">
        <v>1.22345710748351E-2</v>
      </c>
    </row>
    <row r="222" spans="2:53" x14ac:dyDescent="0.35">
      <c r="B222" t="s">
        <v>81</v>
      </c>
      <c r="C222" s="14">
        <v>0.97306230527695603</v>
      </c>
      <c r="D222" s="14">
        <v>0.97005974282635299</v>
      </c>
      <c r="E222" s="14">
        <v>0.977010666527103</v>
      </c>
      <c r="F222" s="14"/>
      <c r="G222" s="14">
        <v>0.81872040641798705</v>
      </c>
      <c r="H222" s="14">
        <v>0.95319074019931704</v>
      </c>
      <c r="I222" s="14">
        <v>0.97063448610402403</v>
      </c>
      <c r="J222" s="14">
        <v>0.98796398559408405</v>
      </c>
      <c r="K222" s="14">
        <v>0.97790333321837797</v>
      </c>
      <c r="L222" s="14">
        <v>0.96811960632239302</v>
      </c>
      <c r="M222" s="14"/>
      <c r="N222" s="14">
        <v>0.98240925687977099</v>
      </c>
      <c r="O222" s="14">
        <v>0.97711828971024794</v>
      </c>
      <c r="P222" s="14">
        <v>0.96327846946964402</v>
      </c>
      <c r="Q222" s="14">
        <v>0.967049867627785</v>
      </c>
      <c r="R222" s="14"/>
      <c r="S222" s="14">
        <v>0.97322255724502105</v>
      </c>
      <c r="T222" s="14">
        <v>0.96565759688580999</v>
      </c>
      <c r="U222" s="14">
        <v>0.96702386848669397</v>
      </c>
      <c r="V222" s="14">
        <v>0.95721164507887702</v>
      </c>
      <c r="W222" s="14">
        <v>0.98240735621738395</v>
      </c>
      <c r="X222" s="14">
        <v>0.97549228457388404</v>
      </c>
      <c r="Y222" s="14">
        <v>0.98792965070402605</v>
      </c>
      <c r="Z222" s="14">
        <v>0.99098270883133799</v>
      </c>
      <c r="AA222" s="14">
        <v>0.97333934025911095</v>
      </c>
      <c r="AB222" s="14"/>
      <c r="AC222" s="14">
        <v>0.97413743228152605</v>
      </c>
      <c r="AD222" s="14">
        <v>0.98156652445981596</v>
      </c>
      <c r="AE222" s="14">
        <v>0.97758314299820304</v>
      </c>
      <c r="AF222" s="14">
        <v>0.966787622451449</v>
      </c>
      <c r="AG222" s="14">
        <v>0.98931039447569602</v>
      </c>
      <c r="AH222" s="14"/>
      <c r="AI222" s="14">
        <v>0.97970647152313395</v>
      </c>
      <c r="AJ222" s="14">
        <v>0.96410471629820504</v>
      </c>
      <c r="AK222" s="14">
        <v>0.94959613353955796</v>
      </c>
      <c r="AL222" s="14">
        <v>0.976065328857045</v>
      </c>
      <c r="AM222" s="14">
        <v>0.99809124601664201</v>
      </c>
      <c r="AN222" s="14">
        <v>0.97190315682518102</v>
      </c>
      <c r="AO222" s="14"/>
      <c r="AP222" s="14">
        <v>0.97347645760576895</v>
      </c>
      <c r="AQ222" s="14">
        <v>0.97250951203985703</v>
      </c>
      <c r="AR222" s="14"/>
      <c r="AS222" s="14">
        <v>0.96586053343471201</v>
      </c>
      <c r="AT222" s="14">
        <v>0.97330195344956205</v>
      </c>
      <c r="AU222" s="14">
        <v>0.97492969035702204</v>
      </c>
      <c r="AV222" s="14"/>
      <c r="AW222" s="14">
        <v>0.97744821708830798</v>
      </c>
      <c r="AX222" s="14">
        <v>0.97340604813559495</v>
      </c>
      <c r="AY222" s="14"/>
      <c r="AZ222" s="14">
        <v>0.97383138811899905</v>
      </c>
      <c r="BA222" s="14">
        <v>0.975214857731177</v>
      </c>
    </row>
    <row r="223" spans="2:53" x14ac:dyDescent="0.35"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</row>
    <row r="224" spans="2:53" x14ac:dyDescent="0.35">
      <c r="B224" s="6" t="s">
        <v>131</v>
      </c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</row>
    <row r="225" spans="2:53" x14ac:dyDescent="0.35">
      <c r="B225" s="24" t="s">
        <v>118</v>
      </c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</row>
    <row r="226" spans="2:53" x14ac:dyDescent="0.35">
      <c r="B226" t="s">
        <v>76</v>
      </c>
      <c r="C226" s="14">
        <v>0.80529502199105396</v>
      </c>
      <c r="D226" s="14">
        <v>0.78079229547506701</v>
      </c>
      <c r="E226" s="14">
        <v>0.829628571493225</v>
      </c>
      <c r="F226" s="14"/>
      <c r="G226" s="14">
        <v>0.64706820608833504</v>
      </c>
      <c r="H226" s="14">
        <v>0.76018231273651704</v>
      </c>
      <c r="I226" s="14">
        <v>0.80330051874085495</v>
      </c>
      <c r="J226" s="14">
        <v>0.82890570288486998</v>
      </c>
      <c r="K226" s="14">
        <v>0.82895452656940305</v>
      </c>
      <c r="L226" s="14">
        <v>0.75068756426078698</v>
      </c>
      <c r="M226" s="14"/>
      <c r="N226" s="14">
        <v>0.83198679552009303</v>
      </c>
      <c r="O226" s="14">
        <v>0.83861583381492799</v>
      </c>
      <c r="P226" s="14">
        <v>0.74556230041857796</v>
      </c>
      <c r="Q226" s="14">
        <v>0.79468161879297206</v>
      </c>
      <c r="R226" s="14"/>
      <c r="S226" s="14">
        <v>0.79520890747707995</v>
      </c>
      <c r="T226" s="14">
        <v>0.81912720639209802</v>
      </c>
      <c r="U226" s="14">
        <v>0.84414835232055796</v>
      </c>
      <c r="V226" s="14">
        <v>0.80062547295132502</v>
      </c>
      <c r="W226" s="14">
        <v>0.81627445183923297</v>
      </c>
      <c r="X226" s="14">
        <v>0.76991960488478794</v>
      </c>
      <c r="Y226" s="14">
        <v>0.81614152241076598</v>
      </c>
      <c r="Z226" s="14">
        <v>0.75841768992377501</v>
      </c>
      <c r="AA226" s="14">
        <v>0.80396950173702098</v>
      </c>
      <c r="AB226" s="14"/>
      <c r="AC226" s="14">
        <v>0.79946404818230299</v>
      </c>
      <c r="AD226" s="14">
        <v>0.77391184429486704</v>
      </c>
      <c r="AE226" s="14">
        <v>0.82102483386468095</v>
      </c>
      <c r="AF226" s="14">
        <v>0.837830344121689</v>
      </c>
      <c r="AG226" s="14">
        <v>0.904505248822706</v>
      </c>
      <c r="AH226" s="14"/>
      <c r="AI226" s="14">
        <v>0.77613547322990195</v>
      </c>
      <c r="AJ226" s="14">
        <v>0.81364359408012399</v>
      </c>
      <c r="AK226" s="14">
        <v>0.77105285409898805</v>
      </c>
      <c r="AL226" s="14">
        <v>0.832752948329887</v>
      </c>
      <c r="AM226" s="14">
        <v>0.85843040007932903</v>
      </c>
      <c r="AN226" s="14">
        <v>0.86810041911318903</v>
      </c>
      <c r="AO226" s="14"/>
      <c r="AP226" s="14">
        <v>0.80524668039323899</v>
      </c>
      <c r="AQ226" s="14">
        <v>0.80727788079506502</v>
      </c>
      <c r="AR226" s="14"/>
      <c r="AS226" s="14">
        <v>0.80865602643712897</v>
      </c>
      <c r="AT226" s="14">
        <v>0.80703313925756304</v>
      </c>
      <c r="AU226" s="14">
        <v>0.80387650556128498</v>
      </c>
      <c r="AV226" s="14"/>
      <c r="AW226" s="14">
        <v>0.81172913800979996</v>
      </c>
      <c r="AX226" s="14">
        <v>0.80663513240601403</v>
      </c>
      <c r="AY226" s="14"/>
      <c r="AZ226" s="14">
        <v>0.79681030676308096</v>
      </c>
      <c r="BA226" s="14">
        <v>0.84576282883481402</v>
      </c>
    </row>
    <row r="227" spans="2:53" x14ac:dyDescent="0.35">
      <c r="B227" t="s">
        <v>77</v>
      </c>
      <c r="C227" s="14">
        <v>0.176714696883296</v>
      </c>
      <c r="D227" s="14">
        <v>0.198956166692904</v>
      </c>
      <c r="E227" s="14">
        <v>0.15462677034123301</v>
      </c>
      <c r="F227" s="14"/>
      <c r="G227" s="14">
        <v>0.171652200329653</v>
      </c>
      <c r="H227" s="14">
        <v>0.18474195425268899</v>
      </c>
      <c r="I227" s="14">
        <v>0.17943975696933001</v>
      </c>
      <c r="J227" s="14">
        <v>0.16694598591357801</v>
      </c>
      <c r="K227" s="14">
        <v>0.17104547343059701</v>
      </c>
      <c r="L227" s="14">
        <v>0.249312435739213</v>
      </c>
      <c r="M227" s="14"/>
      <c r="N227" s="14">
        <v>0.15304965421613001</v>
      </c>
      <c r="O227" s="14">
        <v>0.14903371288686301</v>
      </c>
      <c r="P227" s="14">
        <v>0.22725677847398101</v>
      </c>
      <c r="Q227" s="14">
        <v>0.18607615433915101</v>
      </c>
      <c r="R227" s="14"/>
      <c r="S227" s="14">
        <v>0.18591816585415399</v>
      </c>
      <c r="T227" s="14">
        <v>0.16164757254168499</v>
      </c>
      <c r="U227" s="14">
        <v>0.14356197287619399</v>
      </c>
      <c r="V227" s="14">
        <v>0.182217637873092</v>
      </c>
      <c r="W227" s="14">
        <v>0.150422952803</v>
      </c>
      <c r="X227" s="14">
        <v>0.20592865973846899</v>
      </c>
      <c r="Y227" s="14">
        <v>0.168562314579597</v>
      </c>
      <c r="Z227" s="14">
        <v>0.22581326122577999</v>
      </c>
      <c r="AA227" s="14">
        <v>0.18799042464278001</v>
      </c>
      <c r="AB227" s="14"/>
      <c r="AC227" s="14">
        <v>0.17852996003416799</v>
      </c>
      <c r="AD227" s="14">
        <v>0.206134972763344</v>
      </c>
      <c r="AE227" s="14">
        <v>0.165126496927643</v>
      </c>
      <c r="AF227" s="14">
        <v>0.143020145150106</v>
      </c>
      <c r="AG227" s="14">
        <v>8.0128739235155094E-2</v>
      </c>
      <c r="AH227" s="14"/>
      <c r="AI227" s="14">
        <v>0.197676405952944</v>
      </c>
      <c r="AJ227" s="14">
        <v>0.17043396510157799</v>
      </c>
      <c r="AK227" s="14">
        <v>0.20394002430595601</v>
      </c>
      <c r="AL227" s="14">
        <v>0.16073593017337801</v>
      </c>
      <c r="AM227" s="14">
        <v>0.141569599920671</v>
      </c>
      <c r="AN227" s="14">
        <v>0.117460907529249</v>
      </c>
      <c r="AO227" s="14"/>
      <c r="AP227" s="14">
        <v>0.17707574265704301</v>
      </c>
      <c r="AQ227" s="14">
        <v>0.17432202363010399</v>
      </c>
      <c r="AR227" s="14"/>
      <c r="AS227" s="14">
        <v>0.173681408588053</v>
      </c>
      <c r="AT227" s="14">
        <v>0.16602018051825501</v>
      </c>
      <c r="AU227" s="14">
        <v>0.180693377782149</v>
      </c>
      <c r="AV227" s="14"/>
      <c r="AW227" s="14">
        <v>0.172817026180832</v>
      </c>
      <c r="AX227" s="14">
        <v>0.16654555703826601</v>
      </c>
      <c r="AY227" s="14"/>
      <c r="AZ227" s="14">
        <v>0.18414427933967101</v>
      </c>
      <c r="BA227" s="14">
        <v>0.14766497095063499</v>
      </c>
    </row>
    <row r="228" spans="2:53" x14ac:dyDescent="0.35">
      <c r="B228" t="s">
        <v>78</v>
      </c>
      <c r="C228" s="14">
        <v>1.2398218970930399E-2</v>
      </c>
      <c r="D228" s="14">
        <v>1.63944398272685E-2</v>
      </c>
      <c r="E228" s="14">
        <v>8.4108230058934606E-3</v>
      </c>
      <c r="F228" s="14"/>
      <c r="G228" s="14">
        <v>0</v>
      </c>
      <c r="H228" s="14">
        <v>4.6148156016650899E-2</v>
      </c>
      <c r="I228" s="14">
        <v>1.08712024945512E-2</v>
      </c>
      <c r="J228" s="14">
        <v>2.50459771976402E-3</v>
      </c>
      <c r="K228" s="14">
        <v>0</v>
      </c>
      <c r="L228" s="14">
        <v>0</v>
      </c>
      <c r="M228" s="14"/>
      <c r="N228" s="14">
        <v>1.31612223286949E-2</v>
      </c>
      <c r="O228" s="14">
        <v>1.23504532982088E-2</v>
      </c>
      <c r="P228" s="14">
        <v>1.53211880388081E-2</v>
      </c>
      <c r="Q228" s="14">
        <v>9.1974598907416903E-3</v>
      </c>
      <c r="R228" s="14"/>
      <c r="S228" s="14">
        <v>1.6911937742173599E-2</v>
      </c>
      <c r="T228" s="14">
        <v>1.3138212221050801E-2</v>
      </c>
      <c r="U228" s="14">
        <v>1.22896748032481E-2</v>
      </c>
      <c r="V228" s="14">
        <v>9.67656722213215E-3</v>
      </c>
      <c r="W228" s="14">
        <v>2.6554546978136001E-2</v>
      </c>
      <c r="X228" s="14">
        <v>1.1090391258972401E-2</v>
      </c>
      <c r="Y228" s="14">
        <v>1.0359366171151701E-2</v>
      </c>
      <c r="Z228" s="14">
        <v>5.5129583215209601E-3</v>
      </c>
      <c r="AA228" s="14">
        <v>3.7263800944918502E-3</v>
      </c>
      <c r="AB228" s="14"/>
      <c r="AC228" s="14">
        <v>1.5042245071586999E-2</v>
      </c>
      <c r="AD228" s="14">
        <v>1.4587248691572101E-2</v>
      </c>
      <c r="AE228" s="14">
        <v>1.27691948285771E-2</v>
      </c>
      <c r="AF228" s="14">
        <v>1.2664645822489801E-2</v>
      </c>
      <c r="AG228" s="14">
        <v>8.1483457592046206E-3</v>
      </c>
      <c r="AH228" s="14"/>
      <c r="AI228" s="14">
        <v>1.67230894378461E-2</v>
      </c>
      <c r="AJ228" s="14">
        <v>1.4952174873404901E-2</v>
      </c>
      <c r="AK228" s="14">
        <v>2.5007121595056199E-2</v>
      </c>
      <c r="AL228" s="14">
        <v>5.2885292233660597E-4</v>
      </c>
      <c r="AM228" s="14">
        <v>0</v>
      </c>
      <c r="AN228" s="14">
        <v>1.4438673357562E-2</v>
      </c>
      <c r="AO228" s="14"/>
      <c r="AP228" s="14">
        <v>1.2970789166462901E-2</v>
      </c>
      <c r="AQ228" s="14">
        <v>1.1793953754020901E-2</v>
      </c>
      <c r="AR228" s="14"/>
      <c r="AS228" s="14">
        <v>1.00033847180304E-2</v>
      </c>
      <c r="AT228" s="14">
        <v>1.7651716990980601E-2</v>
      </c>
      <c r="AU228" s="14">
        <v>1.1489318166003199E-2</v>
      </c>
      <c r="AV228" s="14"/>
      <c r="AW228" s="14">
        <v>1.0430544022876799E-2</v>
      </c>
      <c r="AX228" s="14">
        <v>2.26727427835384E-2</v>
      </c>
      <c r="AY228" s="14"/>
      <c r="AZ228" s="14">
        <v>1.4133457465042401E-2</v>
      </c>
      <c r="BA228" s="14">
        <v>3.9132541090624298E-3</v>
      </c>
    </row>
    <row r="229" spans="2:53" x14ac:dyDescent="0.35">
      <c r="B229" t="s">
        <v>79</v>
      </c>
      <c r="C229" s="14">
        <v>3.1891561165349499E-3</v>
      </c>
      <c r="D229" s="14">
        <v>3.5131091476766798E-3</v>
      </c>
      <c r="E229" s="14">
        <v>2.8680359868649501E-3</v>
      </c>
      <c r="F229" s="14"/>
      <c r="G229" s="14">
        <v>0.18127959358201301</v>
      </c>
      <c r="H229" s="14">
        <v>3.4239863998854702E-3</v>
      </c>
      <c r="I229" s="14">
        <v>3.9030219783696301E-3</v>
      </c>
      <c r="J229" s="14">
        <v>0</v>
      </c>
      <c r="K229" s="14">
        <v>0</v>
      </c>
      <c r="L229" s="14">
        <v>0</v>
      </c>
      <c r="M229" s="14"/>
      <c r="N229" s="14">
        <v>1.1635899063968599E-3</v>
      </c>
      <c r="O229" s="14">
        <v>0</v>
      </c>
      <c r="P229" s="14">
        <v>6.3429126469905697E-3</v>
      </c>
      <c r="Q229" s="14">
        <v>5.9520621268222803E-3</v>
      </c>
      <c r="R229" s="14"/>
      <c r="S229" s="14">
        <v>1.9609889265924801E-3</v>
      </c>
      <c r="T229" s="14">
        <v>6.0870088451657096E-3</v>
      </c>
      <c r="U229" s="14">
        <v>0</v>
      </c>
      <c r="V229" s="14">
        <v>0</v>
      </c>
      <c r="W229" s="14">
        <v>6.7480483796308497E-3</v>
      </c>
      <c r="X229" s="14">
        <v>7.8166560070366906E-3</v>
      </c>
      <c r="Y229" s="14">
        <v>0</v>
      </c>
      <c r="Z229" s="14">
        <v>1.02560905289239E-2</v>
      </c>
      <c r="AA229" s="14">
        <v>0</v>
      </c>
      <c r="AB229" s="14"/>
      <c r="AC229" s="14">
        <v>6.9637467119420798E-3</v>
      </c>
      <c r="AD229" s="14">
        <v>0</v>
      </c>
      <c r="AE229" s="14">
        <v>1.0794743790989701E-3</v>
      </c>
      <c r="AF229" s="14">
        <v>6.4848649057151504E-3</v>
      </c>
      <c r="AG229" s="14">
        <v>0</v>
      </c>
      <c r="AH229" s="14"/>
      <c r="AI229" s="14">
        <v>6.4606060699864097E-3</v>
      </c>
      <c r="AJ229" s="14">
        <v>0</v>
      </c>
      <c r="AK229" s="14">
        <v>0</v>
      </c>
      <c r="AL229" s="14">
        <v>5.9822685743989102E-3</v>
      </c>
      <c r="AM229" s="14">
        <v>0</v>
      </c>
      <c r="AN229" s="14">
        <v>0</v>
      </c>
      <c r="AO229" s="14"/>
      <c r="AP229" s="14">
        <v>3.3224911575016202E-3</v>
      </c>
      <c r="AQ229" s="14">
        <v>3.0494133976278902E-3</v>
      </c>
      <c r="AR229" s="14"/>
      <c r="AS229" s="14">
        <v>0</v>
      </c>
      <c r="AT229" s="14">
        <v>9.2949632332020807E-3</v>
      </c>
      <c r="AU229" s="14">
        <v>2.2420113023971298E-3</v>
      </c>
      <c r="AV229" s="14"/>
      <c r="AW229" s="14">
        <v>2.7542138591630399E-3</v>
      </c>
      <c r="AX229" s="14">
        <v>3.1034056303510201E-3</v>
      </c>
      <c r="AY229" s="14"/>
      <c r="AZ229" s="14">
        <v>4.0624503371390897E-3</v>
      </c>
      <c r="BA229" s="14">
        <v>0</v>
      </c>
    </row>
    <row r="230" spans="2:53" x14ac:dyDescent="0.35">
      <c r="B230" t="s">
        <v>80</v>
      </c>
      <c r="C230" s="14">
        <v>2.4029060381842099E-3</v>
      </c>
      <c r="D230" s="14">
        <v>3.43988857083501E-4</v>
      </c>
      <c r="E230" s="14">
        <v>4.4657991727833296E-3</v>
      </c>
      <c r="F230" s="14"/>
      <c r="G230" s="14">
        <v>0</v>
      </c>
      <c r="H230" s="14">
        <v>5.5035905942576501E-3</v>
      </c>
      <c r="I230" s="14">
        <v>2.48549981689462E-3</v>
      </c>
      <c r="J230" s="14">
        <v>1.6437134817880799E-3</v>
      </c>
      <c r="K230" s="14">
        <v>0</v>
      </c>
      <c r="L230" s="14">
        <v>0</v>
      </c>
      <c r="M230" s="14"/>
      <c r="N230" s="14">
        <v>6.3873802868497705E-4</v>
      </c>
      <c r="O230" s="14">
        <v>0</v>
      </c>
      <c r="P230" s="14">
        <v>5.5168204216426804E-3</v>
      </c>
      <c r="Q230" s="14">
        <v>4.0927048503138297E-3</v>
      </c>
      <c r="R230" s="14"/>
      <c r="S230" s="14">
        <v>0</v>
      </c>
      <c r="T230" s="14">
        <v>0</v>
      </c>
      <c r="U230" s="14">
        <v>0</v>
      </c>
      <c r="V230" s="14">
        <v>7.4803219534506898E-3</v>
      </c>
      <c r="W230" s="14">
        <v>0</v>
      </c>
      <c r="X230" s="14">
        <v>5.2446881107329297E-3</v>
      </c>
      <c r="Y230" s="14">
        <v>4.9367968384857403E-3</v>
      </c>
      <c r="Z230" s="14">
        <v>0</v>
      </c>
      <c r="AA230" s="14">
        <v>4.3136935257065403E-3</v>
      </c>
      <c r="AB230" s="14"/>
      <c r="AC230" s="14">
        <v>0</v>
      </c>
      <c r="AD230" s="14">
        <v>5.3659342502163096E-3</v>
      </c>
      <c r="AE230" s="14">
        <v>0</v>
      </c>
      <c r="AF230" s="14">
        <v>0</v>
      </c>
      <c r="AG230" s="14">
        <v>7.2176661829346797E-3</v>
      </c>
      <c r="AH230" s="14"/>
      <c r="AI230" s="14">
        <v>3.0044253093214099E-3</v>
      </c>
      <c r="AJ230" s="14">
        <v>9.7026594489346197E-4</v>
      </c>
      <c r="AK230" s="14">
        <v>0</v>
      </c>
      <c r="AL230" s="14">
        <v>0</v>
      </c>
      <c r="AM230" s="14">
        <v>0</v>
      </c>
      <c r="AN230" s="14">
        <v>0</v>
      </c>
      <c r="AO230" s="14"/>
      <c r="AP230" s="14">
        <v>1.38429662575397E-3</v>
      </c>
      <c r="AQ230" s="14">
        <v>3.5567284231820102E-3</v>
      </c>
      <c r="AR230" s="14"/>
      <c r="AS230" s="14">
        <v>7.6591802567876101E-3</v>
      </c>
      <c r="AT230" s="14">
        <v>0</v>
      </c>
      <c r="AU230" s="14">
        <v>1.6987871881660099E-3</v>
      </c>
      <c r="AV230" s="14"/>
      <c r="AW230" s="14">
        <v>2.2690779273278399E-3</v>
      </c>
      <c r="AX230" s="14">
        <v>1.04316214183061E-3</v>
      </c>
      <c r="AY230" s="14"/>
      <c r="AZ230" s="14">
        <v>8.4950609506615404E-4</v>
      </c>
      <c r="BA230" s="14">
        <v>2.6589461054883599E-3</v>
      </c>
    </row>
    <row r="231" spans="2:53" x14ac:dyDescent="0.35">
      <c r="B231" t="s">
        <v>81</v>
      </c>
      <c r="C231" s="14">
        <v>0.98200971887434996</v>
      </c>
      <c r="D231" s="14">
        <v>0.97974846216797096</v>
      </c>
      <c r="E231" s="14">
        <v>0.98425534183445795</v>
      </c>
      <c r="F231" s="14"/>
      <c r="G231" s="14">
        <v>0.81872040641798705</v>
      </c>
      <c r="H231" s="14">
        <v>0.94492426698920595</v>
      </c>
      <c r="I231" s="14">
        <v>0.98274027571018496</v>
      </c>
      <c r="J231" s="14">
        <v>0.99585168879844799</v>
      </c>
      <c r="K231" s="14">
        <v>1</v>
      </c>
      <c r="L231" s="14">
        <v>1</v>
      </c>
      <c r="M231" s="14"/>
      <c r="N231" s="14">
        <v>0.98503644973622295</v>
      </c>
      <c r="O231" s="14">
        <v>0.98764954670179095</v>
      </c>
      <c r="P231" s="14">
        <v>0.97281907889255903</v>
      </c>
      <c r="Q231" s="14">
        <v>0.98075777313212198</v>
      </c>
      <c r="R231" s="14"/>
      <c r="S231" s="14">
        <v>0.98112707333123395</v>
      </c>
      <c r="T231" s="14">
        <v>0.98077477893378395</v>
      </c>
      <c r="U231" s="14">
        <v>0.98771032519675195</v>
      </c>
      <c r="V231" s="14">
        <v>0.982843110824417</v>
      </c>
      <c r="W231" s="14">
        <v>0.96669740464223297</v>
      </c>
      <c r="X231" s="14">
        <v>0.97584826462325802</v>
      </c>
      <c r="Y231" s="14">
        <v>0.98470383699036301</v>
      </c>
      <c r="Z231" s="14">
        <v>0.98423095114955494</v>
      </c>
      <c r="AA231" s="14">
        <v>0.99195992637980202</v>
      </c>
      <c r="AB231" s="14"/>
      <c r="AC231" s="14">
        <v>0.97799400821647098</v>
      </c>
      <c r="AD231" s="14">
        <v>0.98004681705821195</v>
      </c>
      <c r="AE231" s="14">
        <v>0.98615133079232398</v>
      </c>
      <c r="AF231" s="14">
        <v>0.98085048927179497</v>
      </c>
      <c r="AG231" s="14">
        <v>0.98463398805786095</v>
      </c>
      <c r="AH231" s="14"/>
      <c r="AI231" s="14">
        <v>0.97381187918284595</v>
      </c>
      <c r="AJ231" s="14">
        <v>0.98407755918170203</v>
      </c>
      <c r="AK231" s="14">
        <v>0.97499287840494397</v>
      </c>
      <c r="AL231" s="14">
        <v>0.99348887850326495</v>
      </c>
      <c r="AM231" s="14">
        <v>1</v>
      </c>
      <c r="AN231" s="14">
        <v>0.98556132664243801</v>
      </c>
      <c r="AO231" s="14"/>
      <c r="AP231" s="14">
        <v>0.98232242305028195</v>
      </c>
      <c r="AQ231" s="14">
        <v>0.98159990442516898</v>
      </c>
      <c r="AR231" s="14"/>
      <c r="AS231" s="14">
        <v>0.982337435025182</v>
      </c>
      <c r="AT231" s="14">
        <v>0.97305331977581699</v>
      </c>
      <c r="AU231" s="14">
        <v>0.98456988334343398</v>
      </c>
      <c r="AV231" s="14"/>
      <c r="AW231" s="14">
        <v>0.98454616419063201</v>
      </c>
      <c r="AX231" s="14">
        <v>0.97318068944428004</v>
      </c>
      <c r="AY231" s="14"/>
      <c r="AZ231" s="14">
        <v>0.98095458610275199</v>
      </c>
      <c r="BA231" s="14">
        <v>0.99342779978544904</v>
      </c>
    </row>
    <row r="232" spans="2:53" x14ac:dyDescent="0.35"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</row>
    <row r="233" spans="2:53" x14ac:dyDescent="0.35">
      <c r="B233" s="6" t="s">
        <v>132</v>
      </c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</row>
    <row r="234" spans="2:53" x14ac:dyDescent="0.35">
      <c r="B234" s="24" t="s">
        <v>118</v>
      </c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</row>
    <row r="235" spans="2:53" x14ac:dyDescent="0.35">
      <c r="B235" t="s">
        <v>76</v>
      </c>
      <c r="C235" s="14">
        <v>0.44420969025630802</v>
      </c>
      <c r="D235" s="14">
        <v>0.46466390580787698</v>
      </c>
      <c r="E235" s="14">
        <v>0.42416978731390198</v>
      </c>
      <c r="F235" s="14"/>
      <c r="G235" s="14">
        <v>0.53802529139227895</v>
      </c>
      <c r="H235" s="14">
        <v>0.460560932249516</v>
      </c>
      <c r="I235" s="14">
        <v>0.47796354664587298</v>
      </c>
      <c r="J235" s="14">
        <v>0.40799268030272601</v>
      </c>
      <c r="K235" s="14">
        <v>0.38370405587220602</v>
      </c>
      <c r="L235" s="14">
        <v>0.36456016083339599</v>
      </c>
      <c r="M235" s="14"/>
      <c r="N235" s="14">
        <v>0.52639784749322704</v>
      </c>
      <c r="O235" s="14">
        <v>0.44380931649712502</v>
      </c>
      <c r="P235" s="14">
        <v>0.36509658802481398</v>
      </c>
      <c r="Q235" s="14">
        <v>0.42811340263112502</v>
      </c>
      <c r="R235" s="14"/>
      <c r="S235" s="14">
        <v>0.57193004482501797</v>
      </c>
      <c r="T235" s="14">
        <v>0.44408042446318502</v>
      </c>
      <c r="U235" s="14">
        <v>0.44701674206038999</v>
      </c>
      <c r="V235" s="14">
        <v>0.352203898715648</v>
      </c>
      <c r="W235" s="14">
        <v>0.44601719346129698</v>
      </c>
      <c r="X235" s="14">
        <v>0.41950622429738998</v>
      </c>
      <c r="Y235" s="14">
        <v>0.40607793937009301</v>
      </c>
      <c r="Z235" s="14">
        <v>0.38397378571574498</v>
      </c>
      <c r="AA235" s="14">
        <v>0.43335006527897502</v>
      </c>
      <c r="AB235" s="14"/>
      <c r="AC235" s="14">
        <v>0.32258653873204302</v>
      </c>
      <c r="AD235" s="14">
        <v>0.35722784496434501</v>
      </c>
      <c r="AE235" s="14">
        <v>0.49469670654101799</v>
      </c>
      <c r="AF235" s="14">
        <v>0.62521054027563505</v>
      </c>
      <c r="AG235" s="14">
        <v>0.58121627349733995</v>
      </c>
      <c r="AH235" s="14"/>
      <c r="AI235" s="14">
        <v>0.492809630957525</v>
      </c>
      <c r="AJ235" s="14">
        <v>0.47048941770366798</v>
      </c>
      <c r="AK235" s="14">
        <v>0.45705417776300999</v>
      </c>
      <c r="AL235" s="14">
        <v>0.36089670006587199</v>
      </c>
      <c r="AM235" s="14">
        <v>0.48303789108808398</v>
      </c>
      <c r="AN235" s="14">
        <v>0.42896956589344998</v>
      </c>
      <c r="AO235" s="14"/>
      <c r="AP235" s="14">
        <v>0.46228817382066301</v>
      </c>
      <c r="AQ235" s="14">
        <v>0.42463363708398</v>
      </c>
      <c r="AR235" s="14"/>
      <c r="AS235" s="14">
        <v>0.51272368489605602</v>
      </c>
      <c r="AT235" s="14">
        <v>0.45321795127306902</v>
      </c>
      <c r="AU235" s="14">
        <v>0.423106485885897</v>
      </c>
      <c r="AV235" s="14"/>
      <c r="AW235" s="14">
        <v>0.43018387554975102</v>
      </c>
      <c r="AX235" s="14">
        <v>0.58787793578389702</v>
      </c>
      <c r="AY235" s="14"/>
      <c r="AZ235" s="14">
        <v>0.46668234947964798</v>
      </c>
      <c r="BA235" s="14">
        <v>0.36212906825090102</v>
      </c>
    </row>
    <row r="236" spans="2:53" x14ac:dyDescent="0.35">
      <c r="B236" t="s">
        <v>77</v>
      </c>
      <c r="C236" s="14">
        <v>0.42827773595686702</v>
      </c>
      <c r="D236" s="14">
        <v>0.431753855720652</v>
      </c>
      <c r="E236" s="14">
        <v>0.424244543707536</v>
      </c>
      <c r="F236" s="14"/>
      <c r="G236" s="14">
        <v>0.25321063756095402</v>
      </c>
      <c r="H236" s="14">
        <v>0.41095269596790701</v>
      </c>
      <c r="I236" s="14">
        <v>0.41191527459562899</v>
      </c>
      <c r="J236" s="14">
        <v>0.44178416228346601</v>
      </c>
      <c r="K236" s="14">
        <v>0.482264893282499</v>
      </c>
      <c r="L236" s="14">
        <v>0.53589067250909195</v>
      </c>
      <c r="M236" s="14"/>
      <c r="N236" s="14">
        <v>0.40542034907498398</v>
      </c>
      <c r="O236" s="14">
        <v>0.45967832730841002</v>
      </c>
      <c r="P236" s="14">
        <v>0.43522632133306</v>
      </c>
      <c r="Q236" s="14">
        <v>0.41200058531988099</v>
      </c>
      <c r="R236" s="14"/>
      <c r="S236" s="14">
        <v>0.34614467053342401</v>
      </c>
      <c r="T236" s="14">
        <v>0.44420767616515799</v>
      </c>
      <c r="U236" s="14">
        <v>0.43921749165266399</v>
      </c>
      <c r="V236" s="14">
        <v>0.45245060733838999</v>
      </c>
      <c r="W236" s="14">
        <v>0.42216209467647597</v>
      </c>
      <c r="X236" s="14">
        <v>0.400568710875286</v>
      </c>
      <c r="Y236" s="14">
        <v>0.44864884816101303</v>
      </c>
      <c r="Z236" s="14">
        <v>0.46553233232848501</v>
      </c>
      <c r="AA236" s="14">
        <v>0.476436826415294</v>
      </c>
      <c r="AB236" s="14"/>
      <c r="AC236" s="14">
        <v>0.48194208172622499</v>
      </c>
      <c r="AD236" s="14">
        <v>0.48100332148084701</v>
      </c>
      <c r="AE236" s="14">
        <v>0.42148233501874399</v>
      </c>
      <c r="AF236" s="14">
        <v>0.31419813833375299</v>
      </c>
      <c r="AG236" s="14">
        <v>0.41055330105570897</v>
      </c>
      <c r="AH236" s="14"/>
      <c r="AI236" s="14">
        <v>0.38329593215672703</v>
      </c>
      <c r="AJ236" s="14">
        <v>0.41055070688138501</v>
      </c>
      <c r="AK236" s="14">
        <v>0.44667290382896802</v>
      </c>
      <c r="AL236" s="14">
        <v>0.51047059286750895</v>
      </c>
      <c r="AM236" s="14">
        <v>0.410757255208686</v>
      </c>
      <c r="AN236" s="14">
        <v>0.49552616986217601</v>
      </c>
      <c r="AO236" s="14"/>
      <c r="AP236" s="14">
        <v>0.42802857722165</v>
      </c>
      <c r="AQ236" s="14">
        <v>0.42738235638632999</v>
      </c>
      <c r="AR236" s="14"/>
      <c r="AS236" s="14">
        <v>0.40443211526302297</v>
      </c>
      <c r="AT236" s="14">
        <v>0.436269025708522</v>
      </c>
      <c r="AU236" s="14">
        <v>0.43233243777678998</v>
      </c>
      <c r="AV236" s="14"/>
      <c r="AW236" s="14">
        <v>0.44202250755611999</v>
      </c>
      <c r="AX236" s="14">
        <v>0.35583232391620001</v>
      </c>
      <c r="AY236" s="14"/>
      <c r="AZ236" s="14">
        <v>0.41703734666324399</v>
      </c>
      <c r="BA236" s="14">
        <v>0.476564951972548</v>
      </c>
    </row>
    <row r="237" spans="2:53" x14ac:dyDescent="0.35">
      <c r="B237" t="s">
        <v>78</v>
      </c>
      <c r="C237" s="14">
        <v>0.108945615865761</v>
      </c>
      <c r="D237" s="14">
        <v>9.2050499536245001E-2</v>
      </c>
      <c r="E237" s="14">
        <v>0.12595986580667501</v>
      </c>
      <c r="F237" s="14"/>
      <c r="G237" s="14">
        <v>9.5495639659026202E-2</v>
      </c>
      <c r="H237" s="14">
        <v>0.11520700946113401</v>
      </c>
      <c r="I237" s="14">
        <v>8.9942035606582094E-2</v>
      </c>
      <c r="J237" s="14">
        <v>0.13106192020499</v>
      </c>
      <c r="K237" s="14">
        <v>0.12347678307077201</v>
      </c>
      <c r="L237" s="14">
        <v>7.1927198932918504E-2</v>
      </c>
      <c r="M237" s="14"/>
      <c r="N237" s="14">
        <v>6.4649992974861195E-2</v>
      </c>
      <c r="O237" s="14">
        <v>8.7265126990057701E-2</v>
      </c>
      <c r="P237" s="14">
        <v>0.16579066094804401</v>
      </c>
      <c r="Q237" s="14">
        <v>0.12866414530138001</v>
      </c>
      <c r="R237" s="14"/>
      <c r="S237" s="14">
        <v>7.5654520268599507E-2</v>
      </c>
      <c r="T237" s="14">
        <v>9.4635983747767605E-2</v>
      </c>
      <c r="U237" s="14">
        <v>8.6405436018762299E-2</v>
      </c>
      <c r="V237" s="14">
        <v>0.16100018247050599</v>
      </c>
      <c r="W237" s="14">
        <v>0.10065701393113</v>
      </c>
      <c r="X237" s="14">
        <v>0.17130489509352501</v>
      </c>
      <c r="Y237" s="14">
        <v>0.128979815534535</v>
      </c>
      <c r="Z237" s="14">
        <v>0.11254310670876699</v>
      </c>
      <c r="AA237" s="14">
        <v>8.1585720026031205E-2</v>
      </c>
      <c r="AB237" s="14"/>
      <c r="AC237" s="14">
        <v>0.173699674719521</v>
      </c>
      <c r="AD237" s="14">
        <v>0.144727548209797</v>
      </c>
      <c r="AE237" s="14">
        <v>7.63077099727036E-2</v>
      </c>
      <c r="AF237" s="14">
        <v>5.7528769179068198E-2</v>
      </c>
      <c r="AG237" s="14">
        <v>8.2304254469508908E-3</v>
      </c>
      <c r="AH237" s="14"/>
      <c r="AI237" s="14">
        <v>0.107275662775252</v>
      </c>
      <c r="AJ237" s="14">
        <v>0.10608606147850499</v>
      </c>
      <c r="AK237" s="14">
        <v>7.9183351050019599E-2</v>
      </c>
      <c r="AL237" s="14">
        <v>0.105420104770353</v>
      </c>
      <c r="AM237" s="14">
        <v>0.10620485370323</v>
      </c>
      <c r="AN237" s="14">
        <v>4.4082316916072201E-2</v>
      </c>
      <c r="AO237" s="14"/>
      <c r="AP237" s="14">
        <v>9.1799403483401903E-2</v>
      </c>
      <c r="AQ237" s="14">
        <v>0.128588614434402</v>
      </c>
      <c r="AR237" s="14"/>
      <c r="AS237" s="14">
        <v>6.9986826804891294E-2</v>
      </c>
      <c r="AT237" s="14">
        <v>0.100233450848991</v>
      </c>
      <c r="AU237" s="14">
        <v>0.122006929786384</v>
      </c>
      <c r="AV237" s="14"/>
      <c r="AW237" s="14">
        <v>0.110926538723949</v>
      </c>
      <c r="AX237" s="14">
        <v>4.6572253934149099E-2</v>
      </c>
      <c r="AY237" s="14"/>
      <c r="AZ237" s="14">
        <v>9.99109737995241E-2</v>
      </c>
      <c r="BA237" s="14">
        <v>0.13974102630864499</v>
      </c>
    </row>
    <row r="238" spans="2:53" x14ac:dyDescent="0.35">
      <c r="B238" t="s">
        <v>79</v>
      </c>
      <c r="C238" s="14">
        <v>1.03456684287933E-2</v>
      </c>
      <c r="D238" s="14">
        <v>9.88380075279135E-3</v>
      </c>
      <c r="E238" s="14">
        <v>1.08179356872273E-2</v>
      </c>
      <c r="F238" s="14"/>
      <c r="G238" s="14">
        <v>0.11326843138774099</v>
      </c>
      <c r="H238" s="14">
        <v>4.9301628694198097E-3</v>
      </c>
      <c r="I238" s="14">
        <v>8.5793978444078291E-3</v>
      </c>
      <c r="J238" s="14">
        <v>1.4218566355072199E-2</v>
      </c>
      <c r="K238" s="14">
        <v>1.0554267774523E-2</v>
      </c>
      <c r="L238" s="14">
        <v>0</v>
      </c>
      <c r="M238" s="14"/>
      <c r="N238" s="14">
        <v>3.53181045692818E-3</v>
      </c>
      <c r="O238" s="14">
        <v>5.8567558069377301E-3</v>
      </c>
      <c r="P238" s="14">
        <v>2.18431418595487E-2</v>
      </c>
      <c r="Q238" s="14">
        <v>1.23724487995534E-2</v>
      </c>
      <c r="R238" s="14"/>
      <c r="S238" s="14">
        <v>0</v>
      </c>
      <c r="T238" s="14">
        <v>1.2919118981373301E-2</v>
      </c>
      <c r="U238" s="14">
        <v>1.1230086777515301E-2</v>
      </c>
      <c r="V238" s="14">
        <v>1.7758017773813799E-2</v>
      </c>
      <c r="W238" s="14">
        <v>1.7785521784487501E-2</v>
      </c>
      <c r="X238" s="14">
        <v>3.3754816230654899E-3</v>
      </c>
      <c r="Y238" s="14">
        <v>8.0748901348132694E-3</v>
      </c>
      <c r="Z238" s="14">
        <v>3.7950775247002501E-2</v>
      </c>
      <c r="AA238" s="14">
        <v>4.3136947539926199E-3</v>
      </c>
      <c r="AB238" s="14"/>
      <c r="AC238" s="14">
        <v>1.0613279183692899E-2</v>
      </c>
      <c r="AD238" s="14">
        <v>1.3994050199881499E-2</v>
      </c>
      <c r="AE238" s="14">
        <v>6.0695649116170904E-3</v>
      </c>
      <c r="AF238" s="14">
        <v>0</v>
      </c>
      <c r="AG238" s="14">
        <v>0</v>
      </c>
      <c r="AH238" s="14"/>
      <c r="AI238" s="14">
        <v>7.39328906878287E-3</v>
      </c>
      <c r="AJ238" s="14">
        <v>1.05099219364865E-2</v>
      </c>
      <c r="AK238" s="14">
        <v>1.7089567358002399E-2</v>
      </c>
      <c r="AL238" s="14">
        <v>1.93340542602186E-2</v>
      </c>
      <c r="AM238" s="14">
        <v>0</v>
      </c>
      <c r="AN238" s="14">
        <v>0</v>
      </c>
      <c r="AO238" s="14"/>
      <c r="AP238" s="14">
        <v>1.0208836492806E-2</v>
      </c>
      <c r="AQ238" s="14">
        <v>1.05329651771656E-2</v>
      </c>
      <c r="AR238" s="14"/>
      <c r="AS238" s="14">
        <v>9.0756894665153798E-3</v>
      </c>
      <c r="AT238" s="14">
        <v>1.0279572169417999E-2</v>
      </c>
      <c r="AU238" s="14">
        <v>1.0707008393395501E-2</v>
      </c>
      <c r="AV238" s="14"/>
      <c r="AW238" s="14">
        <v>9.8472791428130604E-3</v>
      </c>
      <c r="AX238" s="14">
        <v>3.3956269168339001E-3</v>
      </c>
      <c r="AY238" s="14"/>
      <c r="AZ238" s="14">
        <v>1.2084250893906599E-2</v>
      </c>
      <c r="BA238" s="14">
        <v>4.0806226616832498E-3</v>
      </c>
    </row>
    <row r="239" spans="2:53" x14ac:dyDescent="0.35">
      <c r="B239" t="s">
        <v>80</v>
      </c>
      <c r="C239" s="14">
        <v>8.2212894922706406E-3</v>
      </c>
      <c r="D239" s="14">
        <v>1.6479381824347601E-3</v>
      </c>
      <c r="E239" s="14">
        <v>1.480786748466E-2</v>
      </c>
      <c r="F239" s="14"/>
      <c r="G239" s="14">
        <v>0</v>
      </c>
      <c r="H239" s="14">
        <v>8.3491994520235105E-3</v>
      </c>
      <c r="I239" s="14">
        <v>1.1599745307507899E-2</v>
      </c>
      <c r="J239" s="14">
        <v>4.9426708537462401E-3</v>
      </c>
      <c r="K239" s="14">
        <v>0</v>
      </c>
      <c r="L239" s="14">
        <v>2.7621967724594E-2</v>
      </c>
      <c r="M239" s="14"/>
      <c r="N239" s="14">
        <v>0</v>
      </c>
      <c r="O239" s="14">
        <v>3.3904733974696598E-3</v>
      </c>
      <c r="P239" s="14">
        <v>1.20432878345331E-2</v>
      </c>
      <c r="Q239" s="14">
        <v>1.8849417948059999E-2</v>
      </c>
      <c r="R239" s="14"/>
      <c r="S239" s="14">
        <v>6.2707643729583299E-3</v>
      </c>
      <c r="T239" s="14">
        <v>4.1567966425162398E-3</v>
      </c>
      <c r="U239" s="14">
        <v>1.61302434906683E-2</v>
      </c>
      <c r="V239" s="14">
        <v>1.6587293701642299E-2</v>
      </c>
      <c r="W239" s="14">
        <v>1.3378176146610301E-2</v>
      </c>
      <c r="X239" s="14">
        <v>5.2446881107329297E-3</v>
      </c>
      <c r="Y239" s="14">
        <v>8.2185067995459195E-3</v>
      </c>
      <c r="Z239" s="14">
        <v>0</v>
      </c>
      <c r="AA239" s="14">
        <v>4.3136935257065403E-3</v>
      </c>
      <c r="AB239" s="14"/>
      <c r="AC239" s="14">
        <v>1.11584256385174E-2</v>
      </c>
      <c r="AD239" s="14">
        <v>3.04723514512905E-3</v>
      </c>
      <c r="AE239" s="14">
        <v>1.44368355591717E-3</v>
      </c>
      <c r="AF239" s="14">
        <v>3.0625522115440601E-3</v>
      </c>
      <c r="AG239" s="14">
        <v>0</v>
      </c>
      <c r="AH239" s="14"/>
      <c r="AI239" s="14">
        <v>9.2254850417134802E-3</v>
      </c>
      <c r="AJ239" s="14">
        <v>2.3638919999555601E-3</v>
      </c>
      <c r="AK239" s="14">
        <v>0</v>
      </c>
      <c r="AL239" s="14">
        <v>3.8785480360470199E-3</v>
      </c>
      <c r="AM239" s="14">
        <v>0</v>
      </c>
      <c r="AN239" s="14">
        <v>3.1421947328302301E-2</v>
      </c>
      <c r="AO239" s="14"/>
      <c r="AP239" s="14">
        <v>7.6750089814789403E-3</v>
      </c>
      <c r="AQ239" s="14">
        <v>8.8624269181227806E-3</v>
      </c>
      <c r="AR239" s="14"/>
      <c r="AS239" s="14">
        <v>3.78168356951394E-3</v>
      </c>
      <c r="AT239" s="14">
        <v>0</v>
      </c>
      <c r="AU239" s="14">
        <v>1.1847138157533001E-2</v>
      </c>
      <c r="AV239" s="14"/>
      <c r="AW239" s="14">
        <v>7.0197990273663602E-3</v>
      </c>
      <c r="AX239" s="14">
        <v>6.3218594489199099E-3</v>
      </c>
      <c r="AY239" s="14"/>
      <c r="AZ239" s="14">
        <v>4.2850791636777196E-3</v>
      </c>
      <c r="BA239" s="14">
        <v>1.7484330806223299E-2</v>
      </c>
    </row>
    <row r="240" spans="2:53" x14ac:dyDescent="0.35">
      <c r="B240" t="s">
        <v>81</v>
      </c>
      <c r="C240" s="14">
        <v>0.87248742621317499</v>
      </c>
      <c r="D240" s="14">
        <v>0.89641776152852903</v>
      </c>
      <c r="E240" s="14">
        <v>0.84841433102143804</v>
      </c>
      <c r="F240" s="14"/>
      <c r="G240" s="14">
        <v>0.79123592895323303</v>
      </c>
      <c r="H240" s="14">
        <v>0.87151362821742295</v>
      </c>
      <c r="I240" s="14">
        <v>0.88987882124150197</v>
      </c>
      <c r="J240" s="14">
        <v>0.84977684258619202</v>
      </c>
      <c r="K240" s="14">
        <v>0.86596894915470501</v>
      </c>
      <c r="L240" s="14">
        <v>0.90045083334248699</v>
      </c>
      <c r="M240" s="14"/>
      <c r="N240" s="14">
        <v>0.93181819656821097</v>
      </c>
      <c r="O240" s="14">
        <v>0.90348764380553503</v>
      </c>
      <c r="P240" s="14">
        <v>0.80032290935787398</v>
      </c>
      <c r="Q240" s="14">
        <v>0.840113987951006</v>
      </c>
      <c r="R240" s="14"/>
      <c r="S240" s="14">
        <v>0.91807471535844198</v>
      </c>
      <c r="T240" s="14">
        <v>0.88828810062834296</v>
      </c>
      <c r="U240" s="14">
        <v>0.88623423371305399</v>
      </c>
      <c r="V240" s="14">
        <v>0.80465450605403799</v>
      </c>
      <c r="W240" s="14">
        <v>0.86817928813777301</v>
      </c>
      <c r="X240" s="14">
        <v>0.82007493517267704</v>
      </c>
      <c r="Y240" s="14">
        <v>0.85472678753110498</v>
      </c>
      <c r="Z240" s="14">
        <v>0.84950611804423104</v>
      </c>
      <c r="AA240" s="14">
        <v>0.90978689169426996</v>
      </c>
      <c r="AB240" s="14"/>
      <c r="AC240" s="14">
        <v>0.80452862045826801</v>
      </c>
      <c r="AD240" s="14">
        <v>0.83823116644519202</v>
      </c>
      <c r="AE240" s="14">
        <v>0.91617904155976204</v>
      </c>
      <c r="AF240" s="14">
        <v>0.93940867860938804</v>
      </c>
      <c r="AG240" s="14">
        <v>0.99176957455304904</v>
      </c>
      <c r="AH240" s="14"/>
      <c r="AI240" s="14">
        <v>0.87610556311425203</v>
      </c>
      <c r="AJ240" s="14">
        <v>0.88104012458505299</v>
      </c>
      <c r="AK240" s="14">
        <v>0.90372708159197801</v>
      </c>
      <c r="AL240" s="14">
        <v>0.871367292933381</v>
      </c>
      <c r="AM240" s="14">
        <v>0.89379514629677004</v>
      </c>
      <c r="AN240" s="14">
        <v>0.92449573575562505</v>
      </c>
      <c r="AO240" s="14"/>
      <c r="AP240" s="14">
        <v>0.890316751042313</v>
      </c>
      <c r="AQ240" s="14">
        <v>0.85201599347030998</v>
      </c>
      <c r="AR240" s="14"/>
      <c r="AS240" s="14">
        <v>0.91715580015907905</v>
      </c>
      <c r="AT240" s="14">
        <v>0.88948697698159096</v>
      </c>
      <c r="AU240" s="14">
        <v>0.85543892366268803</v>
      </c>
      <c r="AV240" s="14"/>
      <c r="AW240" s="14">
        <v>0.87220638310587195</v>
      </c>
      <c r="AX240" s="14">
        <v>0.94371025970009703</v>
      </c>
      <c r="AY240" s="14"/>
      <c r="AZ240" s="14">
        <v>0.88371969614289203</v>
      </c>
      <c r="BA240" s="14">
        <v>0.83869402022344897</v>
      </c>
    </row>
    <row r="241" spans="2:53" x14ac:dyDescent="0.35"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</row>
    <row r="242" spans="2:53" x14ac:dyDescent="0.35">
      <c r="B242" s="6" t="s">
        <v>133</v>
      </c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</row>
    <row r="243" spans="2:53" x14ac:dyDescent="0.35">
      <c r="B243" s="24" t="s">
        <v>134</v>
      </c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</row>
    <row r="244" spans="2:53" x14ac:dyDescent="0.35">
      <c r="B244" t="s">
        <v>76</v>
      </c>
      <c r="C244" s="14">
        <v>1</v>
      </c>
      <c r="D244" s="14">
        <v>1</v>
      </c>
      <c r="E244" s="14">
        <v>1</v>
      </c>
      <c r="F244" s="14"/>
      <c r="G244" s="14">
        <v>1</v>
      </c>
      <c r="H244" s="14">
        <v>1</v>
      </c>
      <c r="I244" s="14">
        <v>1</v>
      </c>
      <c r="J244" s="14">
        <v>1</v>
      </c>
      <c r="K244" s="14">
        <v>1</v>
      </c>
      <c r="L244" s="14">
        <v>1</v>
      </c>
      <c r="M244" s="14"/>
      <c r="N244" s="14">
        <v>1</v>
      </c>
      <c r="O244" s="14">
        <v>1</v>
      </c>
      <c r="P244" s="14">
        <v>1</v>
      </c>
      <c r="Q244" s="14">
        <v>1</v>
      </c>
      <c r="R244" s="14"/>
      <c r="S244" s="14">
        <v>1</v>
      </c>
      <c r="T244" s="14">
        <v>1</v>
      </c>
      <c r="U244" s="14">
        <v>1</v>
      </c>
      <c r="V244" s="14">
        <v>1</v>
      </c>
      <c r="W244" s="14">
        <v>1</v>
      </c>
      <c r="X244" s="14">
        <v>1</v>
      </c>
      <c r="Y244" s="14">
        <v>1</v>
      </c>
      <c r="Z244" s="14">
        <v>1</v>
      </c>
      <c r="AA244" s="14">
        <v>1</v>
      </c>
      <c r="AB244" s="14"/>
      <c r="AC244" s="14">
        <v>1</v>
      </c>
      <c r="AD244" s="14">
        <v>1</v>
      </c>
      <c r="AE244" s="14">
        <v>1</v>
      </c>
      <c r="AF244" s="14">
        <v>1</v>
      </c>
      <c r="AG244" s="14">
        <v>1</v>
      </c>
      <c r="AH244" s="14"/>
      <c r="AI244" s="14">
        <v>1</v>
      </c>
      <c r="AJ244" s="14">
        <v>1</v>
      </c>
      <c r="AK244" s="14">
        <v>1</v>
      </c>
      <c r="AL244" s="14">
        <v>1</v>
      </c>
      <c r="AM244" s="14">
        <v>1</v>
      </c>
      <c r="AN244" s="14">
        <v>1</v>
      </c>
      <c r="AO244" s="14"/>
      <c r="AP244" s="14">
        <v>1</v>
      </c>
      <c r="AQ244" s="14">
        <v>1</v>
      </c>
      <c r="AR244" s="14"/>
      <c r="AS244" s="14">
        <v>1</v>
      </c>
      <c r="AT244" s="14">
        <v>1</v>
      </c>
      <c r="AU244" s="14">
        <v>1</v>
      </c>
      <c r="AV244" s="14"/>
      <c r="AW244" s="14">
        <v>1</v>
      </c>
      <c r="AX244" s="14">
        <v>1</v>
      </c>
      <c r="AY244" s="14"/>
      <c r="AZ244" s="14">
        <v>1</v>
      </c>
      <c r="BA244" s="14">
        <v>1</v>
      </c>
    </row>
    <row r="245" spans="2:53" x14ac:dyDescent="0.35">
      <c r="B245" t="s">
        <v>77</v>
      </c>
      <c r="C245" s="14">
        <v>0</v>
      </c>
      <c r="D245" s="14">
        <v>0</v>
      </c>
      <c r="E245" s="14">
        <v>0</v>
      </c>
      <c r="F245" s="14"/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/>
      <c r="N245" s="14">
        <v>0</v>
      </c>
      <c r="O245" s="14">
        <v>0</v>
      </c>
      <c r="P245" s="14">
        <v>0</v>
      </c>
      <c r="Q245" s="14">
        <v>0</v>
      </c>
      <c r="R245" s="14"/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/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/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/>
      <c r="AP245" s="14">
        <v>0</v>
      </c>
      <c r="AQ245" s="14">
        <v>0</v>
      </c>
      <c r="AR245" s="14"/>
      <c r="AS245" s="14">
        <v>0</v>
      </c>
      <c r="AT245" s="14">
        <v>0</v>
      </c>
      <c r="AU245" s="14">
        <v>0</v>
      </c>
      <c r="AV245" s="14"/>
      <c r="AW245" s="14">
        <v>0</v>
      </c>
      <c r="AX245" s="14">
        <v>0</v>
      </c>
      <c r="AY245" s="14"/>
      <c r="AZ245" s="14">
        <v>0</v>
      </c>
      <c r="BA245" s="14">
        <v>0</v>
      </c>
    </row>
    <row r="246" spans="2:53" x14ac:dyDescent="0.35">
      <c r="B246" t="s">
        <v>78</v>
      </c>
      <c r="C246" s="14">
        <v>0</v>
      </c>
      <c r="D246" s="14">
        <v>0</v>
      </c>
      <c r="E246" s="14">
        <v>0</v>
      </c>
      <c r="F246" s="14"/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/>
      <c r="N246" s="14">
        <v>0</v>
      </c>
      <c r="O246" s="14">
        <v>0</v>
      </c>
      <c r="P246" s="14">
        <v>0</v>
      </c>
      <c r="Q246" s="14">
        <v>0</v>
      </c>
      <c r="R246" s="14"/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/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/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/>
      <c r="AP246" s="14">
        <v>0</v>
      </c>
      <c r="AQ246" s="14">
        <v>0</v>
      </c>
      <c r="AR246" s="14"/>
      <c r="AS246" s="14">
        <v>0</v>
      </c>
      <c r="AT246" s="14">
        <v>0</v>
      </c>
      <c r="AU246" s="14">
        <v>0</v>
      </c>
      <c r="AV246" s="14"/>
      <c r="AW246" s="14">
        <v>0</v>
      </c>
      <c r="AX246" s="14">
        <v>0</v>
      </c>
      <c r="AY246" s="14"/>
      <c r="AZ246" s="14">
        <v>0</v>
      </c>
      <c r="BA246" s="14">
        <v>0</v>
      </c>
    </row>
    <row r="247" spans="2:53" x14ac:dyDescent="0.35">
      <c r="B247" t="s">
        <v>79</v>
      </c>
      <c r="C247" s="14">
        <v>0</v>
      </c>
      <c r="D247" s="14">
        <v>0</v>
      </c>
      <c r="E247" s="14">
        <v>0</v>
      </c>
      <c r="F247" s="14"/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/>
      <c r="N247" s="14">
        <v>0</v>
      </c>
      <c r="O247" s="14">
        <v>0</v>
      </c>
      <c r="P247" s="14">
        <v>0</v>
      </c>
      <c r="Q247" s="14">
        <v>0</v>
      </c>
      <c r="R247" s="14"/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/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/>
      <c r="AI247" s="14">
        <v>0</v>
      </c>
      <c r="AJ247" s="14">
        <v>0</v>
      </c>
      <c r="AK247" s="14">
        <v>0</v>
      </c>
      <c r="AL247" s="14">
        <v>0</v>
      </c>
      <c r="AM247" s="14">
        <v>0</v>
      </c>
      <c r="AN247" s="14">
        <v>0</v>
      </c>
      <c r="AO247" s="14"/>
      <c r="AP247" s="14">
        <v>0</v>
      </c>
      <c r="AQ247" s="14">
        <v>0</v>
      </c>
      <c r="AR247" s="14"/>
      <c r="AS247" s="14">
        <v>0</v>
      </c>
      <c r="AT247" s="14">
        <v>0</v>
      </c>
      <c r="AU247" s="14">
        <v>0</v>
      </c>
      <c r="AV247" s="14"/>
      <c r="AW247" s="14">
        <v>0</v>
      </c>
      <c r="AX247" s="14">
        <v>0</v>
      </c>
      <c r="AY247" s="14"/>
      <c r="AZ247" s="14">
        <v>0</v>
      </c>
      <c r="BA247" s="14">
        <v>0</v>
      </c>
    </row>
    <row r="248" spans="2:53" x14ac:dyDescent="0.35">
      <c r="B248" t="s">
        <v>80</v>
      </c>
      <c r="C248" s="14">
        <v>0</v>
      </c>
      <c r="D248" s="14">
        <v>0</v>
      </c>
      <c r="E248" s="14">
        <v>0</v>
      </c>
      <c r="F248" s="14"/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/>
      <c r="N248" s="14">
        <v>0</v>
      </c>
      <c r="O248" s="14">
        <v>0</v>
      </c>
      <c r="P248" s="14">
        <v>0</v>
      </c>
      <c r="Q248" s="14">
        <v>0</v>
      </c>
      <c r="R248" s="14"/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/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/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/>
      <c r="AP248" s="14">
        <v>0</v>
      </c>
      <c r="AQ248" s="14">
        <v>0</v>
      </c>
      <c r="AR248" s="14"/>
      <c r="AS248" s="14">
        <v>0</v>
      </c>
      <c r="AT248" s="14">
        <v>0</v>
      </c>
      <c r="AU248" s="14">
        <v>0</v>
      </c>
      <c r="AV248" s="14"/>
      <c r="AW248" s="14">
        <v>0</v>
      </c>
      <c r="AX248" s="14">
        <v>0</v>
      </c>
      <c r="AY248" s="14"/>
      <c r="AZ248" s="14">
        <v>0</v>
      </c>
      <c r="BA248" s="14">
        <v>0</v>
      </c>
    </row>
    <row r="249" spans="2:53" x14ac:dyDescent="0.35">
      <c r="B249" t="s">
        <v>81</v>
      </c>
      <c r="C249" s="14">
        <v>1</v>
      </c>
      <c r="D249" s="14">
        <v>1</v>
      </c>
      <c r="E249" s="14">
        <v>1</v>
      </c>
      <c r="F249" s="14"/>
      <c r="G249" s="14">
        <v>1</v>
      </c>
      <c r="H249" s="14">
        <v>1</v>
      </c>
      <c r="I249" s="14">
        <v>1</v>
      </c>
      <c r="J249" s="14">
        <v>1</v>
      </c>
      <c r="K249" s="14">
        <v>1</v>
      </c>
      <c r="L249" s="14">
        <v>1</v>
      </c>
      <c r="M249" s="14"/>
      <c r="N249" s="14">
        <v>1</v>
      </c>
      <c r="O249" s="14">
        <v>1</v>
      </c>
      <c r="P249" s="14">
        <v>1</v>
      </c>
      <c r="Q249" s="14">
        <v>1</v>
      </c>
      <c r="R249" s="14"/>
      <c r="S249" s="14">
        <v>1</v>
      </c>
      <c r="T249" s="14">
        <v>1</v>
      </c>
      <c r="U249" s="14">
        <v>1</v>
      </c>
      <c r="V249" s="14">
        <v>1</v>
      </c>
      <c r="W249" s="14">
        <v>1</v>
      </c>
      <c r="X249" s="14">
        <v>1</v>
      </c>
      <c r="Y249" s="14">
        <v>1</v>
      </c>
      <c r="Z249" s="14">
        <v>1</v>
      </c>
      <c r="AA249" s="14">
        <v>1</v>
      </c>
      <c r="AB249" s="14"/>
      <c r="AC249" s="14">
        <v>1</v>
      </c>
      <c r="AD249" s="14">
        <v>1</v>
      </c>
      <c r="AE249" s="14">
        <v>1</v>
      </c>
      <c r="AF249" s="14">
        <v>1</v>
      </c>
      <c r="AG249" s="14">
        <v>1</v>
      </c>
      <c r="AH249" s="14"/>
      <c r="AI249" s="14">
        <v>1</v>
      </c>
      <c r="AJ249" s="14">
        <v>1</v>
      </c>
      <c r="AK249" s="14">
        <v>1</v>
      </c>
      <c r="AL249" s="14">
        <v>1</v>
      </c>
      <c r="AM249" s="14">
        <v>1</v>
      </c>
      <c r="AN249" s="14">
        <v>1</v>
      </c>
      <c r="AO249" s="14"/>
      <c r="AP249" s="14">
        <v>1</v>
      </c>
      <c r="AQ249" s="14">
        <v>1</v>
      </c>
      <c r="AR249" s="14"/>
      <c r="AS249" s="14">
        <v>1</v>
      </c>
      <c r="AT249" s="14">
        <v>1</v>
      </c>
      <c r="AU249" s="14">
        <v>1</v>
      </c>
      <c r="AV249" s="14"/>
      <c r="AW249" s="14">
        <v>1</v>
      </c>
      <c r="AX249" s="14">
        <v>1</v>
      </c>
      <c r="AY249" s="14"/>
      <c r="AZ249" s="14">
        <v>1</v>
      </c>
      <c r="BA249" s="14">
        <v>1</v>
      </c>
    </row>
    <row r="250" spans="2:53" x14ac:dyDescent="0.35"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</row>
    <row r="251" spans="2:53" x14ac:dyDescent="0.35">
      <c r="B251" s="6" t="s">
        <v>135</v>
      </c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</row>
    <row r="252" spans="2:53" x14ac:dyDescent="0.35">
      <c r="B252" s="24" t="s">
        <v>118</v>
      </c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</row>
    <row r="253" spans="2:53" x14ac:dyDescent="0.35">
      <c r="B253" t="s">
        <v>76</v>
      </c>
      <c r="C253" s="14">
        <v>0.69521125456877597</v>
      </c>
      <c r="D253" s="14">
        <v>0.68924742261721095</v>
      </c>
      <c r="E253" s="14">
        <v>0.70185387253036202</v>
      </c>
      <c r="F253" s="14"/>
      <c r="G253" s="14">
        <v>0.75914594388955103</v>
      </c>
      <c r="H253" s="14">
        <v>0.72187891287841899</v>
      </c>
      <c r="I253" s="14">
        <v>0.71080440714684801</v>
      </c>
      <c r="J253" s="14">
        <v>0.69666192007370598</v>
      </c>
      <c r="K253" s="14">
        <v>0.59915075089412695</v>
      </c>
      <c r="L253" s="14">
        <v>0.51578723317818098</v>
      </c>
      <c r="M253" s="14"/>
      <c r="N253" s="14">
        <v>0.73610908062647995</v>
      </c>
      <c r="O253" s="14">
        <v>0.73601915862073897</v>
      </c>
      <c r="P253" s="14">
        <v>0.63698017149525699</v>
      </c>
      <c r="Q253" s="14">
        <v>0.65978424758144405</v>
      </c>
      <c r="R253" s="14"/>
      <c r="S253" s="14">
        <v>0.73517130289073995</v>
      </c>
      <c r="T253" s="14">
        <v>0.74923798511332096</v>
      </c>
      <c r="U253" s="14">
        <v>0.68379894344685199</v>
      </c>
      <c r="V253" s="14">
        <v>0.65571750955814501</v>
      </c>
      <c r="W253" s="14">
        <v>0.68424768419508797</v>
      </c>
      <c r="X253" s="14">
        <v>0.64650531006307999</v>
      </c>
      <c r="Y253" s="14">
        <v>0.68668235095401797</v>
      </c>
      <c r="Z253" s="14">
        <v>0.73584136343837203</v>
      </c>
      <c r="AA253" s="14">
        <v>0.65796449979550897</v>
      </c>
      <c r="AB253" s="14"/>
      <c r="AC253" s="14">
        <v>0.64173682194912196</v>
      </c>
      <c r="AD253" s="14">
        <v>0.61497289150552503</v>
      </c>
      <c r="AE253" s="14">
        <v>0.75722139909158204</v>
      </c>
      <c r="AF253" s="14">
        <v>0.78759881593641701</v>
      </c>
      <c r="AG253" s="14">
        <v>0.78350818547811196</v>
      </c>
      <c r="AH253" s="14"/>
      <c r="AI253" s="14">
        <v>0.68945937938456603</v>
      </c>
      <c r="AJ253" s="14">
        <v>0.69113443697735</v>
      </c>
      <c r="AK253" s="14">
        <v>0.71199875595211104</v>
      </c>
      <c r="AL253" s="14">
        <v>0.69691474988439395</v>
      </c>
      <c r="AM253" s="14">
        <v>0.76820437355427296</v>
      </c>
      <c r="AN253" s="14">
        <v>0.72748365514734403</v>
      </c>
      <c r="AO253" s="14"/>
      <c r="AP253" s="14">
        <v>0.68346234819267804</v>
      </c>
      <c r="AQ253" s="14">
        <v>0.70947508700199502</v>
      </c>
      <c r="AR253" s="14"/>
      <c r="AS253" s="14">
        <v>0.75108500061126404</v>
      </c>
      <c r="AT253" s="14">
        <v>0.65906850535494998</v>
      </c>
      <c r="AU253" s="14">
        <v>0.69086091925242399</v>
      </c>
      <c r="AV253" s="14"/>
      <c r="AW253" s="14">
        <v>0.69185435804990303</v>
      </c>
      <c r="AX253" s="14">
        <v>0.75488679479541998</v>
      </c>
      <c r="AY253" s="14"/>
      <c r="AZ253" s="14">
        <v>0.699726111550247</v>
      </c>
      <c r="BA253" s="14">
        <v>0.687800337925081</v>
      </c>
    </row>
    <row r="254" spans="2:53" x14ac:dyDescent="0.35">
      <c r="B254" t="s">
        <v>77</v>
      </c>
      <c r="C254" s="14">
        <v>0.283949643923606</v>
      </c>
      <c r="D254" s="14">
        <v>0.29624269888604998</v>
      </c>
      <c r="E254" s="14">
        <v>0.27095253832148603</v>
      </c>
      <c r="F254" s="14"/>
      <c r="G254" s="14">
        <v>0.24085405611044899</v>
      </c>
      <c r="H254" s="14">
        <v>0.24334998710130801</v>
      </c>
      <c r="I254" s="14">
        <v>0.262814699765064</v>
      </c>
      <c r="J254" s="14">
        <v>0.293626514671255</v>
      </c>
      <c r="K254" s="14">
        <v>0.38786523651079702</v>
      </c>
      <c r="L254" s="14">
        <v>0.48421276682181902</v>
      </c>
      <c r="M254" s="14"/>
      <c r="N254" s="14">
        <v>0.24438598802592501</v>
      </c>
      <c r="O254" s="14">
        <v>0.24714409844545299</v>
      </c>
      <c r="P254" s="14">
        <v>0.33486935363716502</v>
      </c>
      <c r="Q254" s="14">
        <v>0.31996685880457099</v>
      </c>
      <c r="R254" s="14"/>
      <c r="S254" s="14">
        <v>0.24127771461980799</v>
      </c>
      <c r="T254" s="14">
        <v>0.22586445275484501</v>
      </c>
      <c r="U254" s="14">
        <v>0.29775051476571401</v>
      </c>
      <c r="V254" s="14">
        <v>0.33166714381700901</v>
      </c>
      <c r="W254" s="14">
        <v>0.29655978677536099</v>
      </c>
      <c r="X254" s="14">
        <v>0.310638820422314</v>
      </c>
      <c r="Y254" s="14">
        <v>0.30111687525508102</v>
      </c>
      <c r="Z254" s="14">
        <v>0.23732984313963201</v>
      </c>
      <c r="AA254" s="14">
        <v>0.33221535931063301</v>
      </c>
      <c r="AB254" s="14"/>
      <c r="AC254" s="14">
        <v>0.33993536696244397</v>
      </c>
      <c r="AD254" s="14">
        <v>0.35552774253939001</v>
      </c>
      <c r="AE254" s="14">
        <v>0.228603845991461</v>
      </c>
      <c r="AF254" s="14">
        <v>0.19715558113075801</v>
      </c>
      <c r="AG254" s="14">
        <v>0.20269125013933401</v>
      </c>
      <c r="AH254" s="14"/>
      <c r="AI254" s="14">
        <v>0.29380191439936099</v>
      </c>
      <c r="AJ254" s="14">
        <v>0.286090469627859</v>
      </c>
      <c r="AK254" s="14">
        <v>0.25752769708164802</v>
      </c>
      <c r="AL254" s="14">
        <v>0.28605868424484598</v>
      </c>
      <c r="AM254" s="14">
        <v>0.21767634312419601</v>
      </c>
      <c r="AN254" s="14">
        <v>0.245048832128725</v>
      </c>
      <c r="AO254" s="14"/>
      <c r="AP254" s="14">
        <v>0.29775269937721399</v>
      </c>
      <c r="AQ254" s="14">
        <v>0.26797425362608401</v>
      </c>
      <c r="AR254" s="14"/>
      <c r="AS254" s="14">
        <v>0.235225906727421</v>
      </c>
      <c r="AT254" s="14">
        <v>0.306214645558609</v>
      </c>
      <c r="AU254" s="14">
        <v>0.29047924605325298</v>
      </c>
      <c r="AV254" s="14"/>
      <c r="AW254" s="14">
        <v>0.28862992182688502</v>
      </c>
      <c r="AX254" s="14">
        <v>0.22218608926639</v>
      </c>
      <c r="AY254" s="14"/>
      <c r="AZ254" s="14">
        <v>0.27893690547477401</v>
      </c>
      <c r="BA254" s="14">
        <v>0.29836540542611101</v>
      </c>
    </row>
    <row r="255" spans="2:53" x14ac:dyDescent="0.35">
      <c r="B255" t="s">
        <v>78</v>
      </c>
      <c r="C255" s="14">
        <v>1.6512486633826901E-2</v>
      </c>
      <c r="D255" s="14">
        <v>1.28619403143043E-2</v>
      </c>
      <c r="E255" s="14">
        <v>2.0181961008942199E-2</v>
      </c>
      <c r="F255" s="14"/>
      <c r="G255" s="14">
        <v>0</v>
      </c>
      <c r="H255" s="14">
        <v>2.76144031547585E-2</v>
      </c>
      <c r="I255" s="14">
        <v>2.1065546199796999E-2</v>
      </c>
      <c r="J255" s="14">
        <v>8.5876670732917999E-3</v>
      </c>
      <c r="K255" s="14">
        <v>6.5046551775156296E-3</v>
      </c>
      <c r="L255" s="14">
        <v>0</v>
      </c>
      <c r="M255" s="14"/>
      <c r="N255" s="14">
        <v>1.8059873657880199E-2</v>
      </c>
      <c r="O255" s="14">
        <v>1.39133286394145E-2</v>
      </c>
      <c r="P255" s="14">
        <v>2.1429833063291399E-2</v>
      </c>
      <c r="Q255" s="14">
        <v>1.34090289871471E-2</v>
      </c>
      <c r="R255" s="14"/>
      <c r="S255" s="14">
        <v>1.72802181164943E-2</v>
      </c>
      <c r="T255" s="14">
        <v>2.4897562131833698E-2</v>
      </c>
      <c r="U255" s="14">
        <v>1.4569330187576401E-2</v>
      </c>
      <c r="V255" s="14">
        <v>6.6993226179284599E-3</v>
      </c>
      <c r="W255" s="14">
        <v>1.25624006327241E-2</v>
      </c>
      <c r="X255" s="14">
        <v>3.4235699780807198E-2</v>
      </c>
      <c r="Y255" s="14">
        <v>3.9822669913553502E-3</v>
      </c>
      <c r="Z255" s="14">
        <v>2.68287934219958E-2</v>
      </c>
      <c r="AA255" s="14">
        <v>9.8201408938575797E-3</v>
      </c>
      <c r="AB255" s="14"/>
      <c r="AC255" s="14">
        <v>1.8327811088433899E-2</v>
      </c>
      <c r="AD255" s="14">
        <v>1.97941819614234E-2</v>
      </c>
      <c r="AE255" s="14">
        <v>1.0224513067575399E-2</v>
      </c>
      <c r="AF255" s="14">
        <v>1.52456029328256E-2</v>
      </c>
      <c r="AG255" s="14">
        <v>1.38005643825546E-2</v>
      </c>
      <c r="AH255" s="14"/>
      <c r="AI255" s="14">
        <v>1.5078456093836101E-2</v>
      </c>
      <c r="AJ255" s="14">
        <v>2.05799990027699E-2</v>
      </c>
      <c r="AK255" s="14">
        <v>1.0879940030918101E-2</v>
      </c>
      <c r="AL255" s="14">
        <v>1.43053166346128E-2</v>
      </c>
      <c r="AM255" s="14">
        <v>1.4119283321532001E-2</v>
      </c>
      <c r="AN255" s="14">
        <v>2.7467512723931001E-2</v>
      </c>
      <c r="AO255" s="14"/>
      <c r="AP255" s="14">
        <v>1.54566256632647E-2</v>
      </c>
      <c r="AQ255" s="14">
        <v>1.70868867729107E-2</v>
      </c>
      <c r="AR255" s="14"/>
      <c r="AS255" s="14">
        <v>9.9074090918008107E-3</v>
      </c>
      <c r="AT255" s="14">
        <v>3.47168490864413E-2</v>
      </c>
      <c r="AU255" s="14">
        <v>1.29072005139866E-2</v>
      </c>
      <c r="AV255" s="14"/>
      <c r="AW255" s="14">
        <v>1.5683769457083101E-2</v>
      </c>
      <c r="AX255" s="14">
        <v>1.7339229133313299E-2</v>
      </c>
      <c r="AY255" s="14"/>
      <c r="AZ255" s="14">
        <v>1.91158364840892E-2</v>
      </c>
      <c r="BA255" s="14">
        <v>7.1526846726802096E-3</v>
      </c>
    </row>
    <row r="256" spans="2:53" x14ac:dyDescent="0.35">
      <c r="B256" t="s">
        <v>79</v>
      </c>
      <c r="C256" s="14">
        <v>1.5812970445802099E-3</v>
      </c>
      <c r="D256" s="14">
        <v>1.6479381824347601E-3</v>
      </c>
      <c r="E256" s="14">
        <v>1.5161357110874199E-3</v>
      </c>
      <c r="F256" s="14"/>
      <c r="G256" s="14">
        <v>0</v>
      </c>
      <c r="H256" s="14">
        <v>2.8040267154201201E-3</v>
      </c>
      <c r="I256" s="14">
        <v>1.88632272740255E-3</v>
      </c>
      <c r="J256" s="14">
        <v>1.12389818174722E-3</v>
      </c>
      <c r="K256" s="14">
        <v>0</v>
      </c>
      <c r="L256" s="14">
        <v>0</v>
      </c>
      <c r="M256" s="14"/>
      <c r="N256" s="14">
        <v>0</v>
      </c>
      <c r="O256" s="14">
        <v>2.92341429439388E-3</v>
      </c>
      <c r="P256" s="14">
        <v>3.7557433730644901E-3</v>
      </c>
      <c r="Q256" s="14">
        <v>0</v>
      </c>
      <c r="R256" s="14"/>
      <c r="S256" s="14">
        <v>2.6226166377568802E-3</v>
      </c>
      <c r="T256" s="14">
        <v>0</v>
      </c>
      <c r="U256" s="14">
        <v>0</v>
      </c>
      <c r="V256" s="14">
        <v>0</v>
      </c>
      <c r="W256" s="14">
        <v>0</v>
      </c>
      <c r="X256" s="14">
        <v>3.3754816230654899E-3</v>
      </c>
      <c r="Y256" s="14">
        <v>8.2185067995459195E-3</v>
      </c>
      <c r="Z256" s="14">
        <v>0</v>
      </c>
      <c r="AA256" s="14">
        <v>0</v>
      </c>
      <c r="AB256" s="14"/>
      <c r="AC256" s="14">
        <v>0</v>
      </c>
      <c r="AD256" s="14">
        <v>3.86004224696955E-3</v>
      </c>
      <c r="AE256" s="14">
        <v>2.60964689939795E-3</v>
      </c>
      <c r="AF256" s="14">
        <v>0</v>
      </c>
      <c r="AG256" s="14">
        <v>0</v>
      </c>
      <c r="AH256" s="14"/>
      <c r="AI256" s="14">
        <v>0</v>
      </c>
      <c r="AJ256" s="14">
        <v>0</v>
      </c>
      <c r="AK256" s="14">
        <v>1.29432845939636E-2</v>
      </c>
      <c r="AL256" s="14">
        <v>2.7212492361473701E-3</v>
      </c>
      <c r="AM256" s="14">
        <v>0</v>
      </c>
      <c r="AN256" s="14">
        <v>0</v>
      </c>
      <c r="AO256" s="14"/>
      <c r="AP256" s="14">
        <v>2.1986498303836E-3</v>
      </c>
      <c r="AQ256" s="14">
        <v>8.9178475930605104E-4</v>
      </c>
      <c r="AR256" s="14"/>
      <c r="AS256" s="14">
        <v>0</v>
      </c>
      <c r="AT256" s="14">
        <v>0</v>
      </c>
      <c r="AU256" s="14">
        <v>2.4744611736230901E-3</v>
      </c>
      <c r="AV256" s="14"/>
      <c r="AW256" s="14">
        <v>1.6539637199231201E-3</v>
      </c>
      <c r="AX256" s="14">
        <v>2.0525868724195098E-3</v>
      </c>
      <c r="AY256" s="14"/>
      <c r="AZ256" s="14">
        <v>9.6479796629983397E-4</v>
      </c>
      <c r="BA256" s="14">
        <v>3.9132541090624298E-3</v>
      </c>
    </row>
    <row r="257" spans="2:53" x14ac:dyDescent="0.35">
      <c r="B257" t="s">
        <v>80</v>
      </c>
      <c r="C257" s="14">
        <v>2.7453178292103802E-3</v>
      </c>
      <c r="D257" s="14">
        <v>0</v>
      </c>
      <c r="E257" s="14">
        <v>5.4954924281221196E-3</v>
      </c>
      <c r="F257" s="14"/>
      <c r="G257" s="14">
        <v>0</v>
      </c>
      <c r="H257" s="14">
        <v>4.3526701500940599E-3</v>
      </c>
      <c r="I257" s="14">
        <v>3.4290241608885001E-3</v>
      </c>
      <c r="J257" s="14">
        <v>0</v>
      </c>
      <c r="K257" s="14">
        <v>6.4793574175601599E-3</v>
      </c>
      <c r="L257" s="14">
        <v>0</v>
      </c>
      <c r="M257" s="14"/>
      <c r="N257" s="14">
        <v>1.4450576897152799E-3</v>
      </c>
      <c r="O257" s="14">
        <v>0</v>
      </c>
      <c r="P257" s="14">
        <v>2.9648984312212199E-3</v>
      </c>
      <c r="Q257" s="14">
        <v>6.8398646268378197E-3</v>
      </c>
      <c r="R257" s="14"/>
      <c r="S257" s="14">
        <v>3.6481477352014501E-3</v>
      </c>
      <c r="T257" s="14">
        <v>0</v>
      </c>
      <c r="U257" s="14">
        <v>3.88121159985765E-3</v>
      </c>
      <c r="V257" s="14">
        <v>5.9160240069183103E-3</v>
      </c>
      <c r="W257" s="14">
        <v>6.6301283968262896E-3</v>
      </c>
      <c r="X257" s="14">
        <v>5.2446881107329297E-3</v>
      </c>
      <c r="Y257" s="14">
        <v>0</v>
      </c>
      <c r="Z257" s="14">
        <v>0</v>
      </c>
      <c r="AA257" s="14">
        <v>0</v>
      </c>
      <c r="AB257" s="14"/>
      <c r="AC257" s="14">
        <v>0</v>
      </c>
      <c r="AD257" s="14">
        <v>5.84514174669277E-3</v>
      </c>
      <c r="AE257" s="14">
        <v>1.3405949499836699E-3</v>
      </c>
      <c r="AF257" s="14">
        <v>0</v>
      </c>
      <c r="AG257" s="14">
        <v>0</v>
      </c>
      <c r="AH257" s="14"/>
      <c r="AI257" s="14">
        <v>1.6602501222362099E-3</v>
      </c>
      <c r="AJ257" s="14">
        <v>2.1950943920213402E-3</v>
      </c>
      <c r="AK257" s="14">
        <v>6.6503223413586299E-3</v>
      </c>
      <c r="AL257" s="14">
        <v>0</v>
      </c>
      <c r="AM257" s="14">
        <v>0</v>
      </c>
      <c r="AN257" s="14">
        <v>0</v>
      </c>
      <c r="AO257" s="14"/>
      <c r="AP257" s="14">
        <v>1.1296769364589E-3</v>
      </c>
      <c r="AQ257" s="14">
        <v>4.5719878397040004E-3</v>
      </c>
      <c r="AR257" s="14"/>
      <c r="AS257" s="14">
        <v>3.78168356951394E-3</v>
      </c>
      <c r="AT257" s="14">
        <v>0</v>
      </c>
      <c r="AU257" s="14">
        <v>3.27817300671269E-3</v>
      </c>
      <c r="AV257" s="14"/>
      <c r="AW257" s="14">
        <v>2.1779869462062499E-3</v>
      </c>
      <c r="AX257" s="14">
        <v>3.53529993245738E-3</v>
      </c>
      <c r="AY257" s="14"/>
      <c r="AZ257" s="14">
        <v>1.2563485245899099E-3</v>
      </c>
      <c r="BA257" s="14">
        <v>2.7683178670645601E-3</v>
      </c>
    </row>
    <row r="258" spans="2:53" x14ac:dyDescent="0.35">
      <c r="B258" t="s">
        <v>81</v>
      </c>
      <c r="C258" s="14">
        <v>0.97916089849238297</v>
      </c>
      <c r="D258" s="14">
        <v>0.98549012150326099</v>
      </c>
      <c r="E258" s="14">
        <v>0.97280641085184805</v>
      </c>
      <c r="F258" s="14"/>
      <c r="G258" s="14">
        <v>1</v>
      </c>
      <c r="H258" s="14">
        <v>0.96522889997972705</v>
      </c>
      <c r="I258" s="14">
        <v>0.973619106911912</v>
      </c>
      <c r="J258" s="14">
        <v>0.99028843474496098</v>
      </c>
      <c r="K258" s="14">
        <v>0.98701598740492402</v>
      </c>
      <c r="L258" s="14">
        <v>1</v>
      </c>
      <c r="M258" s="14"/>
      <c r="N258" s="14">
        <v>0.98049506865240499</v>
      </c>
      <c r="O258" s="14">
        <v>0.98316325706619201</v>
      </c>
      <c r="P258" s="14">
        <v>0.97184952513242295</v>
      </c>
      <c r="Q258" s="14">
        <v>0.97975110638601504</v>
      </c>
      <c r="R258" s="14"/>
      <c r="S258" s="14">
        <v>0.97644901751054702</v>
      </c>
      <c r="T258" s="14">
        <v>0.97510243786816597</v>
      </c>
      <c r="U258" s="14">
        <v>0.98154945821256601</v>
      </c>
      <c r="V258" s="14">
        <v>0.98738465337515302</v>
      </c>
      <c r="W258" s="14">
        <v>0.98080747097044996</v>
      </c>
      <c r="X258" s="14">
        <v>0.95714413048539404</v>
      </c>
      <c r="Y258" s="14">
        <v>0.98779922620909899</v>
      </c>
      <c r="Z258" s="14">
        <v>0.97317120657800404</v>
      </c>
      <c r="AA258" s="14">
        <v>0.99017985910614204</v>
      </c>
      <c r="AB258" s="14"/>
      <c r="AC258" s="14">
        <v>0.98167218891156605</v>
      </c>
      <c r="AD258" s="14">
        <v>0.97050063404491405</v>
      </c>
      <c r="AE258" s="14">
        <v>0.98582524508304303</v>
      </c>
      <c r="AF258" s="14">
        <v>0.98475439706717405</v>
      </c>
      <c r="AG258" s="14">
        <v>0.98619943561744505</v>
      </c>
      <c r="AH258" s="14"/>
      <c r="AI258" s="14">
        <v>0.98326129378392801</v>
      </c>
      <c r="AJ258" s="14">
        <v>0.977224906605209</v>
      </c>
      <c r="AK258" s="14">
        <v>0.96952645303375995</v>
      </c>
      <c r="AL258" s="14">
        <v>0.98297343412923999</v>
      </c>
      <c r="AM258" s="14">
        <v>0.98588071667846799</v>
      </c>
      <c r="AN258" s="14">
        <v>0.972532487276069</v>
      </c>
      <c r="AO258" s="14"/>
      <c r="AP258" s="14">
        <v>0.98121504756989297</v>
      </c>
      <c r="AQ258" s="14">
        <v>0.97744934062807898</v>
      </c>
      <c r="AR258" s="14"/>
      <c r="AS258" s="14">
        <v>0.98631090733868498</v>
      </c>
      <c r="AT258" s="14">
        <v>0.96528315091355898</v>
      </c>
      <c r="AU258" s="14">
        <v>0.98134016530567802</v>
      </c>
      <c r="AV258" s="14"/>
      <c r="AW258" s="14">
        <v>0.98048427987678699</v>
      </c>
      <c r="AX258" s="14">
        <v>0.97707288406181003</v>
      </c>
      <c r="AY258" s="14"/>
      <c r="AZ258" s="14">
        <v>0.97866301702502101</v>
      </c>
      <c r="BA258" s="14">
        <v>0.986165743351193</v>
      </c>
    </row>
    <row r="259" spans="2:53" x14ac:dyDescent="0.35"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</row>
    <row r="260" spans="2:53" x14ac:dyDescent="0.35">
      <c r="B260" s="6" t="s">
        <v>136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</row>
    <row r="261" spans="2:53" x14ac:dyDescent="0.35">
      <c r="B261" s="24" t="s">
        <v>118</v>
      </c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</row>
    <row r="262" spans="2:53" x14ac:dyDescent="0.35">
      <c r="B262" t="s">
        <v>76</v>
      </c>
      <c r="C262" s="14">
        <v>0.65782912966850304</v>
      </c>
      <c r="D262" s="14">
        <v>0.599924799089123</v>
      </c>
      <c r="E262" s="14">
        <v>0.71544802070077096</v>
      </c>
      <c r="F262" s="14"/>
      <c r="G262" s="14">
        <v>0.82341610194261805</v>
      </c>
      <c r="H262" s="14">
        <v>0.68854913701647502</v>
      </c>
      <c r="I262" s="14">
        <v>0.68013233678082197</v>
      </c>
      <c r="J262" s="14">
        <v>0.64861335981240797</v>
      </c>
      <c r="K262" s="14">
        <v>0.54642095546385006</v>
      </c>
      <c r="L262" s="14">
        <v>0.51429113457676801</v>
      </c>
      <c r="M262" s="14"/>
      <c r="N262" s="14">
        <v>0.69180537669730502</v>
      </c>
      <c r="O262" s="14">
        <v>0.70177330710614505</v>
      </c>
      <c r="P262" s="14">
        <v>0.58398393093676004</v>
      </c>
      <c r="Q262" s="14">
        <v>0.642460488553107</v>
      </c>
      <c r="R262" s="14"/>
      <c r="S262" s="14">
        <v>0.70585210785630803</v>
      </c>
      <c r="T262" s="14">
        <v>0.69369994635811705</v>
      </c>
      <c r="U262" s="14">
        <v>0.69105193801229103</v>
      </c>
      <c r="V262" s="14">
        <v>0.63265431035505304</v>
      </c>
      <c r="W262" s="14">
        <v>0.64404316403863904</v>
      </c>
      <c r="X262" s="14">
        <v>0.62531984565326004</v>
      </c>
      <c r="Y262" s="14">
        <v>0.60565269391307996</v>
      </c>
      <c r="Z262" s="14">
        <v>0.59997997325987595</v>
      </c>
      <c r="AA262" s="14">
        <v>0.64742437382710305</v>
      </c>
      <c r="AB262" s="14"/>
      <c r="AC262" s="14">
        <v>0.59450482635233304</v>
      </c>
      <c r="AD262" s="14">
        <v>0.65510009069083097</v>
      </c>
      <c r="AE262" s="14">
        <v>0.66105553698477804</v>
      </c>
      <c r="AF262" s="14">
        <v>0.74047280067166399</v>
      </c>
      <c r="AG262" s="14">
        <v>0.69896628162211505</v>
      </c>
      <c r="AH262" s="14"/>
      <c r="AI262" s="14">
        <v>0.661985542151587</v>
      </c>
      <c r="AJ262" s="14">
        <v>0.65436007426140497</v>
      </c>
      <c r="AK262" s="14">
        <v>0.66970571561247905</v>
      </c>
      <c r="AL262" s="14">
        <v>0.65530540582496299</v>
      </c>
      <c r="AM262" s="14">
        <v>0.68938043627662005</v>
      </c>
      <c r="AN262" s="14">
        <v>0.65888240812901699</v>
      </c>
      <c r="AO262" s="14"/>
      <c r="AP262" s="14">
        <v>0.64483012774314996</v>
      </c>
      <c r="AQ262" s="14">
        <v>0.67457485657712002</v>
      </c>
      <c r="AR262" s="14"/>
      <c r="AS262" s="14">
        <v>0.68898505226784501</v>
      </c>
      <c r="AT262" s="14">
        <v>0.66229872380024302</v>
      </c>
      <c r="AU262" s="14">
        <v>0.64812234705252902</v>
      </c>
      <c r="AV262" s="14"/>
      <c r="AW262" s="14">
        <v>0.66098603876894402</v>
      </c>
      <c r="AX262" s="14">
        <v>0.68136211117272705</v>
      </c>
      <c r="AY262" s="14"/>
      <c r="AZ262" s="14">
        <v>0.65640347471650196</v>
      </c>
      <c r="BA262" s="14">
        <v>0.67162393807615295</v>
      </c>
    </row>
    <row r="263" spans="2:53" x14ac:dyDescent="0.35">
      <c r="B263" t="s">
        <v>77</v>
      </c>
      <c r="C263" s="14">
        <v>0.31421631546295697</v>
      </c>
      <c r="D263" s="14">
        <v>0.36332490807906298</v>
      </c>
      <c r="E263" s="14">
        <v>0.265373093083622</v>
      </c>
      <c r="F263" s="14"/>
      <c r="G263" s="14">
        <v>0.176583898057382</v>
      </c>
      <c r="H263" s="14">
        <v>0.26802447194104601</v>
      </c>
      <c r="I263" s="14">
        <v>0.29231222699499199</v>
      </c>
      <c r="J263" s="14">
        <v>0.33283914347715698</v>
      </c>
      <c r="K263" s="14">
        <v>0.42580914231622302</v>
      </c>
      <c r="L263" s="14">
        <v>0.40093994117072401</v>
      </c>
      <c r="M263" s="14"/>
      <c r="N263" s="14">
        <v>0.28967065488341598</v>
      </c>
      <c r="O263" s="14">
        <v>0.28640823691264</v>
      </c>
      <c r="P263" s="14">
        <v>0.37629512867950099</v>
      </c>
      <c r="Q263" s="14">
        <v>0.312665007410523</v>
      </c>
      <c r="R263" s="14"/>
      <c r="S263" s="14">
        <v>0.27038607026139899</v>
      </c>
      <c r="T263" s="14">
        <v>0.26670739676593802</v>
      </c>
      <c r="U263" s="14">
        <v>0.291719315106931</v>
      </c>
      <c r="V263" s="14">
        <v>0.31283248606913799</v>
      </c>
      <c r="W263" s="14">
        <v>0.30628283179799298</v>
      </c>
      <c r="X263" s="14">
        <v>0.35605169134625497</v>
      </c>
      <c r="Y263" s="14">
        <v>0.38617580975730897</v>
      </c>
      <c r="Z263" s="14">
        <v>0.38425097788967899</v>
      </c>
      <c r="AA263" s="14">
        <v>0.33590922338596502</v>
      </c>
      <c r="AB263" s="14"/>
      <c r="AC263" s="14">
        <v>0.35196979928225802</v>
      </c>
      <c r="AD263" s="14">
        <v>0.32459158911987801</v>
      </c>
      <c r="AE263" s="14">
        <v>0.32372871927186198</v>
      </c>
      <c r="AF263" s="14">
        <v>0.24095716596047601</v>
      </c>
      <c r="AG263" s="14">
        <v>0.28264875180064802</v>
      </c>
      <c r="AH263" s="14"/>
      <c r="AI263" s="14">
        <v>0.30788105655032999</v>
      </c>
      <c r="AJ263" s="14">
        <v>0.325983853270154</v>
      </c>
      <c r="AK263" s="14">
        <v>0.29909598783686497</v>
      </c>
      <c r="AL263" s="14">
        <v>0.314665406667749</v>
      </c>
      <c r="AM263" s="14">
        <v>0.301186367100926</v>
      </c>
      <c r="AN263" s="14">
        <v>0.30378231243798198</v>
      </c>
      <c r="AO263" s="14"/>
      <c r="AP263" s="14">
        <v>0.32483627738215198</v>
      </c>
      <c r="AQ263" s="14">
        <v>0.30125308663518502</v>
      </c>
      <c r="AR263" s="14"/>
      <c r="AS263" s="14">
        <v>0.28351042758067602</v>
      </c>
      <c r="AT263" s="14">
        <v>0.292850376755451</v>
      </c>
      <c r="AU263" s="14">
        <v>0.32879814620152897</v>
      </c>
      <c r="AV263" s="14"/>
      <c r="AW263" s="14">
        <v>0.316576832335839</v>
      </c>
      <c r="AX263" s="14">
        <v>0.28386634697739599</v>
      </c>
      <c r="AY263" s="14"/>
      <c r="AZ263" s="14">
        <v>0.31668555301932899</v>
      </c>
      <c r="BA263" s="14">
        <v>0.306711398331248</v>
      </c>
    </row>
    <row r="264" spans="2:53" x14ac:dyDescent="0.35">
      <c r="B264" t="s">
        <v>78</v>
      </c>
      <c r="C264" s="14">
        <v>2.4567511608298901E-2</v>
      </c>
      <c r="D264" s="14">
        <v>3.4804581929886599E-2</v>
      </c>
      <c r="E264" s="14">
        <v>1.43460743264835E-2</v>
      </c>
      <c r="F264" s="14"/>
      <c r="G264" s="14">
        <v>0</v>
      </c>
      <c r="H264" s="14">
        <v>3.8555413774704901E-2</v>
      </c>
      <c r="I264" s="14">
        <v>2.2732872782522499E-2</v>
      </c>
      <c r="J264" s="14">
        <v>1.6711497679971599E-2</v>
      </c>
      <c r="K264" s="14">
        <v>2.7769902219926201E-2</v>
      </c>
      <c r="L264" s="14">
        <v>8.4768924252507899E-2</v>
      </c>
      <c r="M264" s="14"/>
      <c r="N264" s="14">
        <v>1.8236318244777099E-2</v>
      </c>
      <c r="O264" s="14">
        <v>1.1818455981214501E-2</v>
      </c>
      <c r="P264" s="14">
        <v>3.3985317654078598E-2</v>
      </c>
      <c r="Q264" s="14">
        <v>3.6649118047184702E-2</v>
      </c>
      <c r="R264" s="14"/>
      <c r="S264" s="14">
        <v>2.37618218822928E-2</v>
      </c>
      <c r="T264" s="14">
        <v>3.35056480307791E-2</v>
      </c>
      <c r="U264" s="14">
        <v>1.72287468807777E-2</v>
      </c>
      <c r="V264" s="14">
        <v>4.8597179568890203E-2</v>
      </c>
      <c r="W264" s="14">
        <v>4.2925955783737098E-2</v>
      </c>
      <c r="X264" s="14">
        <v>1.26112225956291E-2</v>
      </c>
      <c r="Y264" s="14">
        <v>2.6571811466538598E-3</v>
      </c>
      <c r="Z264" s="14">
        <v>1.5769048850444899E-2</v>
      </c>
      <c r="AA264" s="14">
        <v>1.6666402786932301E-2</v>
      </c>
      <c r="AB264" s="14"/>
      <c r="AC264" s="14">
        <v>4.7716840497249301E-2</v>
      </c>
      <c r="AD264" s="14">
        <v>1.72610850441621E-2</v>
      </c>
      <c r="AE264" s="14">
        <v>1.52157437433605E-2</v>
      </c>
      <c r="AF264" s="14">
        <v>1.8053725356714199E-2</v>
      </c>
      <c r="AG264" s="14">
        <v>1.8384966577236199E-2</v>
      </c>
      <c r="AH264" s="14"/>
      <c r="AI264" s="14">
        <v>2.99127832989345E-2</v>
      </c>
      <c r="AJ264" s="14">
        <v>1.9656072468440498E-2</v>
      </c>
      <c r="AK264" s="14">
        <v>2.0365541153514501E-2</v>
      </c>
      <c r="AL264" s="14">
        <v>2.2491391156531398E-2</v>
      </c>
      <c r="AM264" s="14">
        <v>9.4331966224536906E-3</v>
      </c>
      <c r="AN264" s="14">
        <v>3.7335279433000398E-2</v>
      </c>
      <c r="AO264" s="14"/>
      <c r="AP264" s="14">
        <v>2.8346949392263399E-2</v>
      </c>
      <c r="AQ264" s="14">
        <v>1.9198454067284799E-2</v>
      </c>
      <c r="AR264" s="14"/>
      <c r="AS264" s="14">
        <v>2.3272521386163699E-2</v>
      </c>
      <c r="AT264" s="14">
        <v>3.9702949142843301E-2</v>
      </c>
      <c r="AU264" s="14">
        <v>2.04405622491362E-2</v>
      </c>
      <c r="AV264" s="14"/>
      <c r="AW264" s="14">
        <v>2.0835971702863901E-2</v>
      </c>
      <c r="AX264" s="14">
        <v>3.4301762756328499E-2</v>
      </c>
      <c r="AY264" s="14"/>
      <c r="AZ264" s="14">
        <v>2.4094728174879398E-2</v>
      </c>
      <c r="BA264" s="14">
        <v>2.1664663592598901E-2</v>
      </c>
    </row>
    <row r="265" spans="2:53" x14ac:dyDescent="0.35">
      <c r="B265" t="s">
        <v>79</v>
      </c>
      <c r="C265" s="14">
        <v>1.65803756906236E-3</v>
      </c>
      <c r="D265" s="14">
        <v>1.94571090192704E-3</v>
      </c>
      <c r="E265" s="14">
        <v>1.37174170520824E-3</v>
      </c>
      <c r="F265" s="14"/>
      <c r="G265" s="14">
        <v>0</v>
      </c>
      <c r="H265" s="14">
        <v>5.1830711768087695E-4</v>
      </c>
      <c r="I265" s="14">
        <v>3.6187668645629302E-3</v>
      </c>
      <c r="J265" s="14">
        <v>0</v>
      </c>
      <c r="K265" s="14">
        <v>0</v>
      </c>
      <c r="L265" s="14">
        <v>0</v>
      </c>
      <c r="M265" s="14"/>
      <c r="N265" s="14">
        <v>2.8765017450139101E-4</v>
      </c>
      <c r="O265" s="14">
        <v>0</v>
      </c>
      <c r="P265" s="14">
        <v>2.7707242984387299E-3</v>
      </c>
      <c r="Q265" s="14">
        <v>3.9005359163666099E-3</v>
      </c>
      <c r="R265" s="14"/>
      <c r="S265" s="14">
        <v>0</v>
      </c>
      <c r="T265" s="14">
        <v>6.0870088451657096E-3</v>
      </c>
      <c r="U265" s="14">
        <v>0</v>
      </c>
      <c r="V265" s="14">
        <v>0</v>
      </c>
      <c r="W265" s="14">
        <v>6.7480483796308497E-3</v>
      </c>
      <c r="X265" s="14">
        <v>7.7255229412305504E-4</v>
      </c>
      <c r="Y265" s="14">
        <v>0</v>
      </c>
      <c r="Z265" s="14">
        <v>0</v>
      </c>
      <c r="AA265" s="14">
        <v>0</v>
      </c>
      <c r="AB265" s="14"/>
      <c r="AC265" s="14">
        <v>3.0419183262921298E-3</v>
      </c>
      <c r="AD265" s="14">
        <v>0</v>
      </c>
      <c r="AE265" s="14">
        <v>0</v>
      </c>
      <c r="AF265" s="14">
        <v>5.1630801114618699E-4</v>
      </c>
      <c r="AG265" s="14">
        <v>0</v>
      </c>
      <c r="AH265" s="14"/>
      <c r="AI265" s="14">
        <v>2.20617999148486E-4</v>
      </c>
      <c r="AJ265" s="14">
        <v>0</v>
      </c>
      <c r="AK265" s="14">
        <v>1.08327553971419E-2</v>
      </c>
      <c r="AL265" s="14">
        <v>3.9475298551527004E-3</v>
      </c>
      <c r="AM265" s="14">
        <v>0</v>
      </c>
      <c r="AN265" s="14">
        <v>0</v>
      </c>
      <c r="AO265" s="14"/>
      <c r="AP265" s="14">
        <v>1.9866454824342202E-3</v>
      </c>
      <c r="AQ265" s="14">
        <v>1.2936510610526699E-3</v>
      </c>
      <c r="AR265" s="14"/>
      <c r="AS265" s="14">
        <v>4.5031519580080001E-4</v>
      </c>
      <c r="AT265" s="14">
        <v>5.14795030146235E-3</v>
      </c>
      <c r="AU265" s="14">
        <v>9.5112728975818605E-4</v>
      </c>
      <c r="AV265" s="14"/>
      <c r="AW265" s="14">
        <v>0</v>
      </c>
      <c r="AX265" s="14">
        <v>4.6977909354886698E-4</v>
      </c>
      <c r="AY265" s="14"/>
      <c r="AZ265" s="14">
        <v>2.1120619484583502E-3</v>
      </c>
      <c r="BA265" s="14">
        <v>0</v>
      </c>
    </row>
    <row r="266" spans="2:53" x14ac:dyDescent="0.35">
      <c r="B266" t="s">
        <v>80</v>
      </c>
      <c r="C266" s="14">
        <v>1.72900569117845E-3</v>
      </c>
      <c r="D266" s="14">
        <v>0</v>
      </c>
      <c r="E266" s="14">
        <v>3.4610701839153401E-3</v>
      </c>
      <c r="F266" s="14"/>
      <c r="G266" s="14">
        <v>0</v>
      </c>
      <c r="H266" s="14">
        <v>4.3526701500940599E-3</v>
      </c>
      <c r="I266" s="14">
        <v>1.2037965771009599E-3</v>
      </c>
      <c r="J266" s="14">
        <v>1.83599903046359E-3</v>
      </c>
      <c r="K266" s="14">
        <v>0</v>
      </c>
      <c r="L266" s="14">
        <v>0</v>
      </c>
      <c r="M266" s="14"/>
      <c r="N266" s="14">
        <v>0</v>
      </c>
      <c r="O266" s="14">
        <v>0</v>
      </c>
      <c r="P266" s="14">
        <v>2.9648984312212199E-3</v>
      </c>
      <c r="Q266" s="14">
        <v>4.3248500728181698E-3</v>
      </c>
      <c r="R266" s="14"/>
      <c r="S266" s="14">
        <v>0</v>
      </c>
      <c r="T266" s="14">
        <v>0</v>
      </c>
      <c r="U266" s="14">
        <v>0</v>
      </c>
      <c r="V266" s="14">
        <v>5.9160240069183103E-3</v>
      </c>
      <c r="W266" s="14">
        <v>0</v>
      </c>
      <c r="X266" s="14">
        <v>5.2446881107329297E-3</v>
      </c>
      <c r="Y266" s="14">
        <v>5.5143151829572402E-3</v>
      </c>
      <c r="Z266" s="14">
        <v>0</v>
      </c>
      <c r="AA266" s="14">
        <v>0</v>
      </c>
      <c r="AB266" s="14"/>
      <c r="AC266" s="14">
        <v>2.7666155418677898E-3</v>
      </c>
      <c r="AD266" s="14">
        <v>3.04723514512905E-3</v>
      </c>
      <c r="AE266" s="14">
        <v>0</v>
      </c>
      <c r="AF266" s="14">
        <v>0</v>
      </c>
      <c r="AG266" s="14">
        <v>0</v>
      </c>
      <c r="AH266" s="14"/>
      <c r="AI266" s="14">
        <v>0</v>
      </c>
      <c r="AJ266" s="14">
        <v>0</v>
      </c>
      <c r="AK266" s="14">
        <v>0</v>
      </c>
      <c r="AL266" s="14">
        <v>3.59026649560469E-3</v>
      </c>
      <c r="AM266" s="14">
        <v>0</v>
      </c>
      <c r="AN266" s="14">
        <v>0</v>
      </c>
      <c r="AO266" s="14"/>
      <c r="AP266" s="14">
        <v>0</v>
      </c>
      <c r="AQ266" s="14">
        <v>3.6799516593579102E-3</v>
      </c>
      <c r="AR266" s="14"/>
      <c r="AS266" s="14">
        <v>3.78168356951394E-3</v>
      </c>
      <c r="AT266" s="14">
        <v>0</v>
      </c>
      <c r="AU266" s="14">
        <v>1.6878172070473E-3</v>
      </c>
      <c r="AV266" s="14"/>
      <c r="AW266" s="14">
        <v>1.6011571923533201E-3</v>
      </c>
      <c r="AX266" s="14">
        <v>0</v>
      </c>
      <c r="AY266" s="14"/>
      <c r="AZ266" s="14">
        <v>7.0418214083151195E-4</v>
      </c>
      <c r="BA266" s="14">
        <v>0</v>
      </c>
    </row>
    <row r="267" spans="2:53" x14ac:dyDescent="0.35">
      <c r="B267" t="s">
        <v>81</v>
      </c>
      <c r="C267" s="14">
        <v>0.97204544513145996</v>
      </c>
      <c r="D267" s="14">
        <v>0.96324970716818603</v>
      </c>
      <c r="E267" s="14">
        <v>0.98082111378439296</v>
      </c>
      <c r="F267" s="14"/>
      <c r="G267" s="14">
        <v>1</v>
      </c>
      <c r="H267" s="14">
        <v>0.95657360895751997</v>
      </c>
      <c r="I267" s="14">
        <v>0.97244456377581401</v>
      </c>
      <c r="J267" s="14">
        <v>0.98145250328956501</v>
      </c>
      <c r="K267" s="14">
        <v>0.97223009778007397</v>
      </c>
      <c r="L267" s="14">
        <v>0.91523107574749196</v>
      </c>
      <c r="M267" s="14"/>
      <c r="N267" s="14">
        <v>0.98147603158072205</v>
      </c>
      <c r="O267" s="14">
        <v>0.988181544018785</v>
      </c>
      <c r="P267" s="14">
        <v>0.96027905961626103</v>
      </c>
      <c r="Q267" s="14">
        <v>0.95512549596362994</v>
      </c>
      <c r="R267" s="14"/>
      <c r="S267" s="14">
        <v>0.97623817811770697</v>
      </c>
      <c r="T267" s="14">
        <v>0.96040734312405496</v>
      </c>
      <c r="U267" s="14">
        <v>0.98277125311922198</v>
      </c>
      <c r="V267" s="14">
        <v>0.94548679642419198</v>
      </c>
      <c r="W267" s="14">
        <v>0.95032599583663202</v>
      </c>
      <c r="X267" s="14">
        <v>0.98137153699951496</v>
      </c>
      <c r="Y267" s="14">
        <v>0.99182850367038899</v>
      </c>
      <c r="Z267" s="14">
        <v>0.98423095114955494</v>
      </c>
      <c r="AA267" s="14">
        <v>0.98333359721306801</v>
      </c>
      <c r="AB267" s="14"/>
      <c r="AC267" s="14">
        <v>0.94647462563459095</v>
      </c>
      <c r="AD267" s="14">
        <v>0.97969167981070904</v>
      </c>
      <c r="AE267" s="14">
        <v>0.98478425625663901</v>
      </c>
      <c r="AF267" s="14">
        <v>0.98142996663213999</v>
      </c>
      <c r="AG267" s="14">
        <v>0.98161503342276402</v>
      </c>
      <c r="AH267" s="14"/>
      <c r="AI267" s="14">
        <v>0.96986659870191705</v>
      </c>
      <c r="AJ267" s="14">
        <v>0.98034392753155997</v>
      </c>
      <c r="AK267" s="14">
        <v>0.96880170344934302</v>
      </c>
      <c r="AL267" s="14">
        <v>0.969970812492711</v>
      </c>
      <c r="AM267" s="14">
        <v>0.99056680337754599</v>
      </c>
      <c r="AN267" s="14">
        <v>0.96266472056700003</v>
      </c>
      <c r="AO267" s="14"/>
      <c r="AP267" s="14">
        <v>0.969666405125302</v>
      </c>
      <c r="AQ267" s="14">
        <v>0.97582794321230504</v>
      </c>
      <c r="AR267" s="14"/>
      <c r="AS267" s="14">
        <v>0.97249547984852203</v>
      </c>
      <c r="AT267" s="14">
        <v>0.95514910055569402</v>
      </c>
      <c r="AU267" s="14">
        <v>0.97692049325405805</v>
      </c>
      <c r="AV267" s="14"/>
      <c r="AW267" s="14">
        <v>0.97756287110478302</v>
      </c>
      <c r="AX267" s="14">
        <v>0.96522845815012304</v>
      </c>
      <c r="AY267" s="14"/>
      <c r="AZ267" s="14">
        <v>0.97308902773583095</v>
      </c>
      <c r="BA267" s="14">
        <v>0.978335336407401</v>
      </c>
    </row>
    <row r="268" spans="2:53" x14ac:dyDescent="0.35"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</row>
    <row r="269" spans="2:53" x14ac:dyDescent="0.35">
      <c r="B269" s="6" t="s">
        <v>137</v>
      </c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</row>
    <row r="270" spans="2:53" x14ac:dyDescent="0.35">
      <c r="B270" s="24" t="s">
        <v>118</v>
      </c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</row>
    <row r="271" spans="2:53" x14ac:dyDescent="0.35">
      <c r="B271" t="s">
        <v>76</v>
      </c>
      <c r="C271" s="14">
        <v>0.69589052844417698</v>
      </c>
      <c r="D271" s="14">
        <v>0.63779779262171099</v>
      </c>
      <c r="E271" s="14">
        <v>0.75373487644356796</v>
      </c>
      <c r="F271" s="14"/>
      <c r="G271" s="14">
        <v>0.54120143348295402</v>
      </c>
      <c r="H271" s="14">
        <v>0.68020775965256897</v>
      </c>
      <c r="I271" s="14">
        <v>0.69676577828915498</v>
      </c>
      <c r="J271" s="14">
        <v>0.73975728696785203</v>
      </c>
      <c r="K271" s="14">
        <v>0.62190973765705004</v>
      </c>
      <c r="L271" s="14">
        <v>0.45869717884017502</v>
      </c>
      <c r="M271" s="14"/>
      <c r="N271" s="14">
        <v>0.703070817833925</v>
      </c>
      <c r="O271" s="14">
        <v>0.70885333803016404</v>
      </c>
      <c r="P271" s="14">
        <v>0.67634266722499703</v>
      </c>
      <c r="Q271" s="14">
        <v>0.69420157131516103</v>
      </c>
      <c r="R271" s="14"/>
      <c r="S271" s="14">
        <v>0.65069417228580095</v>
      </c>
      <c r="T271" s="14">
        <v>0.75036031071090203</v>
      </c>
      <c r="U271" s="14">
        <v>0.780772376281058</v>
      </c>
      <c r="V271" s="14">
        <v>0.70475462588854298</v>
      </c>
      <c r="W271" s="14">
        <v>0.65670738552115204</v>
      </c>
      <c r="X271" s="14">
        <v>0.71096886222290101</v>
      </c>
      <c r="Y271" s="14">
        <v>0.66238292428178103</v>
      </c>
      <c r="Z271" s="14">
        <v>0.70336311223235104</v>
      </c>
      <c r="AA271" s="14">
        <v>0.64993624461967803</v>
      </c>
      <c r="AB271" s="14"/>
      <c r="AC271" s="14">
        <v>0.70072186210041998</v>
      </c>
      <c r="AD271" s="14">
        <v>0.71296575282206598</v>
      </c>
      <c r="AE271" s="14">
        <v>0.68529719232932496</v>
      </c>
      <c r="AF271" s="14">
        <v>0.71244338080532099</v>
      </c>
      <c r="AG271" s="14">
        <v>0.61492375637093999</v>
      </c>
      <c r="AH271" s="14"/>
      <c r="AI271" s="14">
        <v>0.65267884891667405</v>
      </c>
      <c r="AJ271" s="14">
        <v>0.70247235267831198</v>
      </c>
      <c r="AK271" s="14">
        <v>0.73496597620963</v>
      </c>
      <c r="AL271" s="14">
        <v>0.71263455194658698</v>
      </c>
      <c r="AM271" s="14">
        <v>0.66930160133844196</v>
      </c>
      <c r="AN271" s="14">
        <v>0.76681181131976495</v>
      </c>
      <c r="AO271" s="14"/>
      <c r="AP271" s="14">
        <v>0.68663440347078797</v>
      </c>
      <c r="AQ271" s="14">
        <v>0.70735182147412201</v>
      </c>
      <c r="AR271" s="14"/>
      <c r="AS271" s="14">
        <v>0.68250108303095003</v>
      </c>
      <c r="AT271" s="14">
        <v>0.68914456398798196</v>
      </c>
      <c r="AU271" s="14">
        <v>0.70148884441155201</v>
      </c>
      <c r="AV271" s="14"/>
      <c r="AW271" s="14">
        <v>0.69697992496750005</v>
      </c>
      <c r="AX271" s="14">
        <v>0.68587108656177898</v>
      </c>
      <c r="AY271" s="14"/>
      <c r="AZ271" s="14">
        <v>0.69085410064231501</v>
      </c>
      <c r="BA271" s="14">
        <v>0.72394890136981904</v>
      </c>
    </row>
    <row r="272" spans="2:53" x14ac:dyDescent="0.35">
      <c r="B272" t="s">
        <v>77</v>
      </c>
      <c r="C272" s="14">
        <v>0.271870512553886</v>
      </c>
      <c r="D272" s="14">
        <v>0.31675410687338301</v>
      </c>
      <c r="E272" s="14">
        <v>0.22721461189402301</v>
      </c>
      <c r="F272" s="14"/>
      <c r="G272" s="14">
        <v>0.37771030811869</v>
      </c>
      <c r="H272" s="14">
        <v>0.28032367425298599</v>
      </c>
      <c r="I272" s="14">
        <v>0.26964858307055201</v>
      </c>
      <c r="J272" s="14">
        <v>0.23054862609820101</v>
      </c>
      <c r="K272" s="14">
        <v>0.37809026234295001</v>
      </c>
      <c r="L272" s="14">
        <v>0.38993818837208999</v>
      </c>
      <c r="M272" s="14"/>
      <c r="N272" s="14">
        <v>0.266367536641751</v>
      </c>
      <c r="O272" s="14">
        <v>0.27142489607111298</v>
      </c>
      <c r="P272" s="14">
        <v>0.28462750322826802</v>
      </c>
      <c r="Q272" s="14">
        <v>0.26434305400491498</v>
      </c>
      <c r="R272" s="14"/>
      <c r="S272" s="14">
        <v>0.29603879219325402</v>
      </c>
      <c r="T272" s="14">
        <v>0.22407559012161099</v>
      </c>
      <c r="U272" s="14">
        <v>0.20332619411901801</v>
      </c>
      <c r="V272" s="14">
        <v>0.28109432990939398</v>
      </c>
      <c r="W272" s="14">
        <v>0.29281630954214</v>
      </c>
      <c r="X272" s="14">
        <v>0.26411346322385598</v>
      </c>
      <c r="Y272" s="14">
        <v>0.29653006727765702</v>
      </c>
      <c r="Z272" s="14">
        <v>0.27736350620056899</v>
      </c>
      <c r="AA272" s="14">
        <v>0.31640195094738799</v>
      </c>
      <c r="AB272" s="14"/>
      <c r="AC272" s="14">
        <v>0.27749662610299097</v>
      </c>
      <c r="AD272" s="14">
        <v>0.24224162203024899</v>
      </c>
      <c r="AE272" s="14">
        <v>0.28547452776415899</v>
      </c>
      <c r="AF272" s="14">
        <v>0.27397165483485902</v>
      </c>
      <c r="AG272" s="14">
        <v>0.37849334558890302</v>
      </c>
      <c r="AH272" s="14"/>
      <c r="AI272" s="14">
        <v>0.29848932272601603</v>
      </c>
      <c r="AJ272" s="14">
        <v>0.28258214059810499</v>
      </c>
      <c r="AK272" s="14">
        <v>0.221450176347087</v>
      </c>
      <c r="AL272" s="14">
        <v>0.28377066624240299</v>
      </c>
      <c r="AM272" s="14">
        <v>0.30359853236864198</v>
      </c>
      <c r="AN272" s="14">
        <v>0.20495999032352699</v>
      </c>
      <c r="AO272" s="14"/>
      <c r="AP272" s="14">
        <v>0.27550244745302699</v>
      </c>
      <c r="AQ272" s="14">
        <v>0.26663332328918998</v>
      </c>
      <c r="AR272" s="14"/>
      <c r="AS272" s="14">
        <v>0.29267959138424798</v>
      </c>
      <c r="AT272" s="14">
        <v>0.27881931984257302</v>
      </c>
      <c r="AU272" s="14">
        <v>0.26421533489014398</v>
      </c>
      <c r="AV272" s="14"/>
      <c r="AW272" s="14">
        <v>0.27323044942317998</v>
      </c>
      <c r="AX272" s="14">
        <v>0.27824530360562699</v>
      </c>
      <c r="AY272" s="14"/>
      <c r="AZ272" s="14">
        <v>0.27999104936462299</v>
      </c>
      <c r="BA272" s="14">
        <v>0.247308034113942</v>
      </c>
    </row>
    <row r="273" spans="2:53" x14ac:dyDescent="0.35">
      <c r="B273" t="s">
        <v>78</v>
      </c>
      <c r="C273" s="14">
        <v>2.6489005781368501E-2</v>
      </c>
      <c r="D273" s="14">
        <v>3.8455507476697903E-2</v>
      </c>
      <c r="E273" s="14">
        <v>1.45386171962386E-2</v>
      </c>
      <c r="F273" s="14"/>
      <c r="G273" s="14">
        <v>8.1088258398355997E-2</v>
      </c>
      <c r="H273" s="14">
        <v>3.1215400211803902E-2</v>
      </c>
      <c r="I273" s="14">
        <v>2.6614122085257201E-2</v>
      </c>
      <c r="J273" s="14">
        <v>2.4806182933738902E-2</v>
      </c>
      <c r="K273" s="14">
        <v>0</v>
      </c>
      <c r="L273" s="14">
        <v>0.15136463278773499</v>
      </c>
      <c r="M273" s="14"/>
      <c r="N273" s="14">
        <v>3.0561645524323899E-2</v>
      </c>
      <c r="O273" s="14">
        <v>1.7225393499248402E-2</v>
      </c>
      <c r="P273" s="14">
        <v>3.6064931115513899E-2</v>
      </c>
      <c r="Q273" s="14">
        <v>2.36010149494894E-2</v>
      </c>
      <c r="R273" s="14"/>
      <c r="S273" s="14">
        <v>4.9618887324843999E-2</v>
      </c>
      <c r="T273" s="14">
        <v>1.9477090322321401E-2</v>
      </c>
      <c r="U273" s="14">
        <v>1.59014295999233E-2</v>
      </c>
      <c r="V273" s="14">
        <v>8.2350201951448404E-3</v>
      </c>
      <c r="W273" s="14">
        <v>3.9631709533722699E-2</v>
      </c>
      <c r="X273" s="14">
        <v>1.96729864425104E-2</v>
      </c>
      <c r="Y273" s="14">
        <v>3.6150211602076501E-2</v>
      </c>
      <c r="Z273" s="14">
        <v>1.9273381567080101E-2</v>
      </c>
      <c r="AA273" s="14">
        <v>2.1745748918485401E-2</v>
      </c>
      <c r="AB273" s="14"/>
      <c r="AC273" s="14">
        <v>1.3975987823924001E-2</v>
      </c>
      <c r="AD273" s="14">
        <v>4.1745390002556101E-2</v>
      </c>
      <c r="AE273" s="14">
        <v>2.6999840884197102E-2</v>
      </c>
      <c r="AF273" s="14">
        <v>1.3584964359820101E-2</v>
      </c>
      <c r="AG273" s="14">
        <v>6.5828980401571001E-3</v>
      </c>
      <c r="AH273" s="14"/>
      <c r="AI273" s="14">
        <v>4.1644328314254998E-2</v>
      </c>
      <c r="AJ273" s="14">
        <v>1.4945506723583E-2</v>
      </c>
      <c r="AK273" s="14">
        <v>3.2751092046140698E-2</v>
      </c>
      <c r="AL273" s="14">
        <v>3.5947818110103899E-3</v>
      </c>
      <c r="AM273" s="14">
        <v>2.7099866292915799E-2</v>
      </c>
      <c r="AN273" s="14">
        <v>1.3698896338858501E-2</v>
      </c>
      <c r="AO273" s="14"/>
      <c r="AP273" s="14">
        <v>3.1249967553033001E-2</v>
      </c>
      <c r="AQ273" s="14">
        <v>2.1217624136089699E-2</v>
      </c>
      <c r="AR273" s="14"/>
      <c r="AS273" s="14">
        <v>2.1037642015287999E-2</v>
      </c>
      <c r="AT273" s="14">
        <v>2.0381058304536698E-2</v>
      </c>
      <c r="AU273" s="14">
        <v>2.9762248646980301E-2</v>
      </c>
      <c r="AV273" s="14"/>
      <c r="AW273" s="14">
        <v>2.5987973512918799E-2</v>
      </c>
      <c r="AX273" s="14">
        <v>2.7424665629982602E-2</v>
      </c>
      <c r="AY273" s="14"/>
      <c r="AZ273" s="14">
        <v>2.4071099700280998E-2</v>
      </c>
      <c r="BA273" s="14">
        <v>2.59747462994309E-2</v>
      </c>
    </row>
    <row r="274" spans="2:53" x14ac:dyDescent="0.35">
      <c r="B274" t="s">
        <v>79</v>
      </c>
      <c r="C274" s="14">
        <v>3.3441499956749698E-3</v>
      </c>
      <c r="D274" s="14">
        <v>5.6989633750924402E-3</v>
      </c>
      <c r="E274" s="14">
        <v>9.906959192799551E-4</v>
      </c>
      <c r="F274" s="14"/>
      <c r="G274" s="14">
        <v>0</v>
      </c>
      <c r="H274" s="14">
        <v>0</v>
      </c>
      <c r="I274" s="14">
        <v>4.2869587203073403E-3</v>
      </c>
      <c r="J274" s="14">
        <v>4.8879040002081401E-3</v>
      </c>
      <c r="K274" s="14">
        <v>0</v>
      </c>
      <c r="L274" s="14">
        <v>0</v>
      </c>
      <c r="M274" s="14"/>
      <c r="N274" s="14">
        <v>0</v>
      </c>
      <c r="O274" s="14">
        <v>0</v>
      </c>
      <c r="P274" s="14">
        <v>0</v>
      </c>
      <c r="Q274" s="14">
        <v>1.34090675829391E-2</v>
      </c>
      <c r="R274" s="14"/>
      <c r="S274" s="14">
        <v>0</v>
      </c>
      <c r="T274" s="14">
        <v>6.0870088451657096E-3</v>
      </c>
      <c r="U274" s="14">
        <v>0</v>
      </c>
      <c r="V274" s="14">
        <v>0</v>
      </c>
      <c r="W274" s="14">
        <v>1.08445954029851E-2</v>
      </c>
      <c r="X274" s="14">
        <v>0</v>
      </c>
      <c r="Y274" s="14">
        <v>4.9367968384857403E-3</v>
      </c>
      <c r="Z274" s="14">
        <v>0</v>
      </c>
      <c r="AA274" s="14">
        <v>6.9324133952523102E-3</v>
      </c>
      <c r="AB274" s="14"/>
      <c r="AC274" s="14">
        <v>4.8885798740180902E-3</v>
      </c>
      <c r="AD274" s="14">
        <v>0</v>
      </c>
      <c r="AE274" s="14">
        <v>0</v>
      </c>
      <c r="AF274" s="14">
        <v>0</v>
      </c>
      <c r="AG274" s="14">
        <v>0</v>
      </c>
      <c r="AH274" s="14"/>
      <c r="AI274" s="14">
        <v>5.3451817651918899E-3</v>
      </c>
      <c r="AJ274" s="14">
        <v>0</v>
      </c>
      <c r="AK274" s="14">
        <v>1.08327553971419E-2</v>
      </c>
      <c r="AL274" s="14">
        <v>0</v>
      </c>
      <c r="AM274" s="14">
        <v>0</v>
      </c>
      <c r="AN274" s="14">
        <v>6.6719317493672001E-3</v>
      </c>
      <c r="AO274" s="14"/>
      <c r="AP274" s="14">
        <v>5.3897429953727099E-3</v>
      </c>
      <c r="AQ274" s="14">
        <v>1.0533485015750701E-3</v>
      </c>
      <c r="AR274" s="14"/>
      <c r="AS274" s="14">
        <v>0</v>
      </c>
      <c r="AT274" s="14">
        <v>5.14795030146235E-3</v>
      </c>
      <c r="AU274" s="14">
        <v>3.71080224525274E-3</v>
      </c>
      <c r="AV274" s="14"/>
      <c r="AW274" s="14">
        <v>1.2998600627565299E-3</v>
      </c>
      <c r="AX274" s="14">
        <v>8.4589442026110195E-3</v>
      </c>
      <c r="AY274" s="14"/>
      <c r="AZ274" s="14">
        <v>4.2598865596251197E-3</v>
      </c>
      <c r="BA274" s="14">
        <v>0</v>
      </c>
    </row>
    <row r="275" spans="2:53" x14ac:dyDescent="0.35">
      <c r="B275" t="s">
        <v>80</v>
      </c>
      <c r="C275" s="14">
        <v>2.4058032248934699E-3</v>
      </c>
      <c r="D275" s="14">
        <v>1.2936296531159701E-3</v>
      </c>
      <c r="E275" s="14">
        <v>3.5211985468902199E-3</v>
      </c>
      <c r="F275" s="14"/>
      <c r="G275" s="14">
        <v>0</v>
      </c>
      <c r="H275" s="14">
        <v>8.2531658826417009E-3</v>
      </c>
      <c r="I275" s="14">
        <v>2.6845578347284901E-3</v>
      </c>
      <c r="J275" s="14">
        <v>0</v>
      </c>
      <c r="K275" s="14">
        <v>0</v>
      </c>
      <c r="L275" s="14">
        <v>0</v>
      </c>
      <c r="M275" s="14"/>
      <c r="N275" s="14">
        <v>0</v>
      </c>
      <c r="O275" s="14">
        <v>2.4963723994747698E-3</v>
      </c>
      <c r="P275" s="14">
        <v>2.9648984312212199E-3</v>
      </c>
      <c r="Q275" s="14">
        <v>4.4452921474949997E-3</v>
      </c>
      <c r="R275" s="14"/>
      <c r="S275" s="14">
        <v>3.6481481961010802E-3</v>
      </c>
      <c r="T275" s="14">
        <v>0</v>
      </c>
      <c r="U275" s="14">
        <v>0</v>
      </c>
      <c r="V275" s="14">
        <v>5.9160240069183103E-3</v>
      </c>
      <c r="W275" s="14">
        <v>0</v>
      </c>
      <c r="X275" s="14">
        <v>5.2446881107329297E-3</v>
      </c>
      <c r="Y275" s="14">
        <v>0</v>
      </c>
      <c r="Z275" s="14">
        <v>0</v>
      </c>
      <c r="AA275" s="14">
        <v>4.9836421191954503E-3</v>
      </c>
      <c r="AB275" s="14"/>
      <c r="AC275" s="14">
        <v>2.9169440986468302E-3</v>
      </c>
      <c r="AD275" s="14">
        <v>3.04723514512905E-3</v>
      </c>
      <c r="AE275" s="14">
        <v>2.22843902231882E-3</v>
      </c>
      <c r="AF275" s="14">
        <v>0</v>
      </c>
      <c r="AG275" s="14">
        <v>0</v>
      </c>
      <c r="AH275" s="14"/>
      <c r="AI275" s="14">
        <v>1.84231827786296E-3</v>
      </c>
      <c r="AJ275" s="14">
        <v>0</v>
      </c>
      <c r="AK275" s="14">
        <v>0</v>
      </c>
      <c r="AL275" s="14">
        <v>0</v>
      </c>
      <c r="AM275" s="14">
        <v>0</v>
      </c>
      <c r="AN275" s="14">
        <v>7.8573702684819197E-3</v>
      </c>
      <c r="AO275" s="14"/>
      <c r="AP275" s="14">
        <v>1.22343852777877E-3</v>
      </c>
      <c r="AQ275" s="14">
        <v>3.7438825990228001E-3</v>
      </c>
      <c r="AR275" s="14"/>
      <c r="AS275" s="14">
        <v>3.78168356951394E-3</v>
      </c>
      <c r="AT275" s="14">
        <v>6.5071075634459598E-3</v>
      </c>
      <c r="AU275" s="14">
        <v>8.2276980607152701E-4</v>
      </c>
      <c r="AV275" s="14"/>
      <c r="AW275" s="14">
        <v>2.5017920336449099E-3</v>
      </c>
      <c r="AX275" s="14">
        <v>0</v>
      </c>
      <c r="AY275" s="14"/>
      <c r="AZ275" s="14">
        <v>8.2386373315577403E-4</v>
      </c>
      <c r="BA275" s="14">
        <v>2.7683182168082598E-3</v>
      </c>
    </row>
    <row r="276" spans="2:53" x14ac:dyDescent="0.35">
      <c r="B276" t="s">
        <v>81</v>
      </c>
      <c r="C276" s="14">
        <v>0.96776104099806304</v>
      </c>
      <c r="D276" s="14">
        <v>0.954551899495094</v>
      </c>
      <c r="E276" s="14">
        <v>0.98094948833759099</v>
      </c>
      <c r="F276" s="14"/>
      <c r="G276" s="14">
        <v>0.91891174160164402</v>
      </c>
      <c r="H276" s="14">
        <v>0.96053143390555495</v>
      </c>
      <c r="I276" s="14">
        <v>0.96641436135970704</v>
      </c>
      <c r="J276" s="14">
        <v>0.97030591306605296</v>
      </c>
      <c r="K276" s="14">
        <v>1</v>
      </c>
      <c r="L276" s="14">
        <v>0.84863536721226496</v>
      </c>
      <c r="M276" s="14"/>
      <c r="N276" s="14">
        <v>0.96943835447567595</v>
      </c>
      <c r="O276" s="14">
        <v>0.98027823410127701</v>
      </c>
      <c r="P276" s="14">
        <v>0.96097017045326505</v>
      </c>
      <c r="Q276" s="14">
        <v>0.958544625320076</v>
      </c>
      <c r="R276" s="14"/>
      <c r="S276" s="14">
        <v>0.94673296447905497</v>
      </c>
      <c r="T276" s="14">
        <v>0.97443590083251297</v>
      </c>
      <c r="U276" s="14">
        <v>0.98409857040007698</v>
      </c>
      <c r="V276" s="14">
        <v>0.98584895579793697</v>
      </c>
      <c r="W276" s="14">
        <v>0.94952369506329204</v>
      </c>
      <c r="X276" s="14">
        <v>0.97508232544675699</v>
      </c>
      <c r="Y276" s="14">
        <v>0.95891299155943799</v>
      </c>
      <c r="Z276" s="14">
        <v>0.98072661843291997</v>
      </c>
      <c r="AA276" s="14">
        <v>0.96633819556706702</v>
      </c>
      <c r="AB276" s="14"/>
      <c r="AC276" s="14">
        <v>0.97821848820341095</v>
      </c>
      <c r="AD276" s="14">
        <v>0.95520737485231499</v>
      </c>
      <c r="AE276" s="14">
        <v>0.970771720093484</v>
      </c>
      <c r="AF276" s="14">
        <v>0.98641503564017996</v>
      </c>
      <c r="AG276" s="14">
        <v>0.99341710195984301</v>
      </c>
      <c r="AH276" s="14"/>
      <c r="AI276" s="14">
        <v>0.95116817164268996</v>
      </c>
      <c r="AJ276" s="14">
        <v>0.98505449327641703</v>
      </c>
      <c r="AK276" s="14">
        <v>0.95641615255671697</v>
      </c>
      <c r="AL276" s="14">
        <v>0.99640521818898997</v>
      </c>
      <c r="AM276" s="14">
        <v>0.97290013370708395</v>
      </c>
      <c r="AN276" s="14">
        <v>0.97177180164329202</v>
      </c>
      <c r="AO276" s="14"/>
      <c r="AP276" s="14">
        <v>0.96213685092381596</v>
      </c>
      <c r="AQ276" s="14">
        <v>0.97398514476331199</v>
      </c>
      <c r="AR276" s="14"/>
      <c r="AS276" s="14">
        <v>0.97518067441519796</v>
      </c>
      <c r="AT276" s="14">
        <v>0.96796388383055498</v>
      </c>
      <c r="AU276" s="14">
        <v>0.96570417930169505</v>
      </c>
      <c r="AV276" s="14"/>
      <c r="AW276" s="14">
        <v>0.97021037439068003</v>
      </c>
      <c r="AX276" s="14">
        <v>0.96411639016740602</v>
      </c>
      <c r="AY276" s="14"/>
      <c r="AZ276" s="14">
        <v>0.97084515000693805</v>
      </c>
      <c r="BA276" s="14">
        <v>0.97125693548376102</v>
      </c>
    </row>
    <row r="277" spans="2:53" x14ac:dyDescent="0.35"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</row>
    <row r="278" spans="2:53" x14ac:dyDescent="0.35">
      <c r="B278" s="6" t="s">
        <v>138</v>
      </c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</row>
    <row r="279" spans="2:53" x14ac:dyDescent="0.35">
      <c r="B279" s="24" t="s">
        <v>118</v>
      </c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</row>
    <row r="280" spans="2:53" x14ac:dyDescent="0.35">
      <c r="B280" t="s">
        <v>76</v>
      </c>
      <c r="C280" s="14">
        <v>0.72999759276680998</v>
      </c>
      <c r="D280" s="14">
        <v>0.73452270855727497</v>
      </c>
      <c r="E280" s="14">
        <v>0.72520708747838303</v>
      </c>
      <c r="F280" s="14"/>
      <c r="G280" s="14">
        <v>0.70545197503024704</v>
      </c>
      <c r="H280" s="14">
        <v>0.63890687195342499</v>
      </c>
      <c r="I280" s="14">
        <v>0.70567603444556704</v>
      </c>
      <c r="J280" s="14">
        <v>0.77876425069270205</v>
      </c>
      <c r="K280" s="14">
        <v>0.82140442776534595</v>
      </c>
      <c r="L280" s="14">
        <v>0.81293927491995199</v>
      </c>
      <c r="M280" s="14"/>
      <c r="N280" s="14">
        <v>0.791440934760264</v>
      </c>
      <c r="O280" s="14">
        <v>0.77066794705575803</v>
      </c>
      <c r="P280" s="14">
        <v>0.65343731610575195</v>
      </c>
      <c r="Q280" s="14">
        <v>0.68750420733596196</v>
      </c>
      <c r="R280" s="14"/>
      <c r="S280" s="14">
        <v>0.67175022532894102</v>
      </c>
      <c r="T280" s="14">
        <v>0.77436061764366704</v>
      </c>
      <c r="U280" s="14">
        <v>0.77158792411471899</v>
      </c>
      <c r="V280" s="14">
        <v>0.73978875459534099</v>
      </c>
      <c r="W280" s="14">
        <v>0.76029216138743605</v>
      </c>
      <c r="X280" s="14">
        <v>0.73166380816027499</v>
      </c>
      <c r="Y280" s="14">
        <v>0.70203466208814902</v>
      </c>
      <c r="Z280" s="14">
        <v>0.75449924927575496</v>
      </c>
      <c r="AA280" s="14">
        <v>0.69652141237221099</v>
      </c>
      <c r="AB280" s="14"/>
      <c r="AC280" s="14">
        <v>0.72166301130035604</v>
      </c>
      <c r="AD280" s="14">
        <v>0.71862599594317</v>
      </c>
      <c r="AE280" s="14">
        <v>0.75851480217951495</v>
      </c>
      <c r="AF280" s="14">
        <v>0.75671645883288596</v>
      </c>
      <c r="AG280" s="14">
        <v>0.75644706086540203</v>
      </c>
      <c r="AH280" s="14"/>
      <c r="AI280" s="14">
        <v>0.73943701573161102</v>
      </c>
      <c r="AJ280" s="14">
        <v>0.72912072904352698</v>
      </c>
      <c r="AK280" s="14">
        <v>0.73418385108377104</v>
      </c>
      <c r="AL280" s="14">
        <v>0.71077744360926998</v>
      </c>
      <c r="AM280" s="14">
        <v>0.73431987362970297</v>
      </c>
      <c r="AN280" s="14">
        <v>0.7719018812781</v>
      </c>
      <c r="AO280" s="14"/>
      <c r="AP280" s="14">
        <v>0.72084801179167401</v>
      </c>
      <c r="AQ280" s="14">
        <v>0.74128464303526798</v>
      </c>
      <c r="AR280" s="14"/>
      <c r="AS280" s="14">
        <v>0.70127592394362004</v>
      </c>
      <c r="AT280" s="14">
        <v>0.73494922307613397</v>
      </c>
      <c r="AU280" s="14">
        <v>0.73626342188142002</v>
      </c>
      <c r="AV280" s="14"/>
      <c r="AW280" s="14">
        <v>0.744463842019498</v>
      </c>
      <c r="AX280" s="14">
        <v>0.720706266763666</v>
      </c>
      <c r="AY280" s="14"/>
      <c r="AZ280" s="14">
        <v>0.74085270030408801</v>
      </c>
      <c r="BA280" s="14">
        <v>0.69433685992824001</v>
      </c>
    </row>
    <row r="281" spans="2:53" x14ac:dyDescent="0.35">
      <c r="B281" t="s">
        <v>77</v>
      </c>
      <c r="C281" s="14">
        <v>0.22758171998678001</v>
      </c>
      <c r="D281" s="14">
        <v>0.227689436071708</v>
      </c>
      <c r="E281" s="14">
        <v>0.22769456153808301</v>
      </c>
      <c r="F281" s="14"/>
      <c r="G281" s="14">
        <v>0.18127959358201301</v>
      </c>
      <c r="H281" s="14">
        <v>0.27800261101368501</v>
      </c>
      <c r="I281" s="14">
        <v>0.25018312713894097</v>
      </c>
      <c r="J281" s="14">
        <v>0.191636297067872</v>
      </c>
      <c r="K281" s="14">
        <v>0.165521618950211</v>
      </c>
      <c r="L281" s="14">
        <v>0.18706072508004801</v>
      </c>
      <c r="M281" s="14"/>
      <c r="N281" s="14">
        <v>0.18187120079900099</v>
      </c>
      <c r="O281" s="14">
        <v>0.201788753723847</v>
      </c>
      <c r="P281" s="14">
        <v>0.28815267655979498</v>
      </c>
      <c r="Q281" s="14">
        <v>0.25120478621308601</v>
      </c>
      <c r="R281" s="14"/>
      <c r="S281" s="14">
        <v>0.27784808310787501</v>
      </c>
      <c r="T281" s="14">
        <v>0.18897845322439899</v>
      </c>
      <c r="U281" s="14">
        <v>0.194332870869414</v>
      </c>
      <c r="V281" s="14">
        <v>0.213495618575755</v>
      </c>
      <c r="W281" s="14">
        <v>0.19568730506130699</v>
      </c>
      <c r="X281" s="14">
        <v>0.216541954414573</v>
      </c>
      <c r="Y281" s="14">
        <v>0.24238238646738799</v>
      </c>
      <c r="Z281" s="14">
        <v>0.22622736915716499</v>
      </c>
      <c r="AA281" s="14">
        <v>0.27060637983524999</v>
      </c>
      <c r="AB281" s="14"/>
      <c r="AC281" s="14">
        <v>0.235195340873942</v>
      </c>
      <c r="AD281" s="14">
        <v>0.229343810971155</v>
      </c>
      <c r="AE281" s="14">
        <v>0.21611478483316801</v>
      </c>
      <c r="AF281" s="14">
        <v>0.20293879224612599</v>
      </c>
      <c r="AG281" s="14">
        <v>0.215948236468614</v>
      </c>
      <c r="AH281" s="14"/>
      <c r="AI281" s="14">
        <v>0.210801198741218</v>
      </c>
      <c r="AJ281" s="14">
        <v>0.234467209402835</v>
      </c>
      <c r="AK281" s="14">
        <v>0.22769675006318399</v>
      </c>
      <c r="AL281" s="14">
        <v>0.24256475480967199</v>
      </c>
      <c r="AM281" s="14">
        <v>0.224985883309367</v>
      </c>
      <c r="AN281" s="14">
        <v>0.203945977779181</v>
      </c>
      <c r="AO281" s="14"/>
      <c r="AP281" s="14">
        <v>0.24292316264432401</v>
      </c>
      <c r="AQ281" s="14">
        <v>0.20919124546307499</v>
      </c>
      <c r="AR281" s="14"/>
      <c r="AS281" s="14">
        <v>0.25561936124427098</v>
      </c>
      <c r="AT281" s="14">
        <v>0.21109842701745901</v>
      </c>
      <c r="AU281" s="14">
        <v>0.22490984394973801</v>
      </c>
      <c r="AV281" s="14"/>
      <c r="AW281" s="14">
        <v>0.21831475980701601</v>
      </c>
      <c r="AX281" s="14">
        <v>0.23366413851845</v>
      </c>
      <c r="AY281" s="14"/>
      <c r="AZ281" s="14">
        <v>0.22233816512023699</v>
      </c>
      <c r="BA281" s="14">
        <v>0.25191808592054998</v>
      </c>
    </row>
    <row r="282" spans="2:53" x14ac:dyDescent="0.35">
      <c r="B282" t="s">
        <v>78</v>
      </c>
      <c r="C282" s="14">
        <v>2.83977251694616E-2</v>
      </c>
      <c r="D282" s="14">
        <v>2.8064791443256701E-2</v>
      </c>
      <c r="E282" s="14">
        <v>2.8758457112883499E-2</v>
      </c>
      <c r="F282" s="14"/>
      <c r="G282" s="14">
        <v>0</v>
      </c>
      <c r="H282" s="14">
        <v>5.9362908870941103E-2</v>
      </c>
      <c r="I282" s="14">
        <v>2.7916048553929599E-2</v>
      </c>
      <c r="J282" s="14">
        <v>2.0356489296177799E-2</v>
      </c>
      <c r="K282" s="14">
        <v>1.30739532844434E-2</v>
      </c>
      <c r="L282" s="14">
        <v>0</v>
      </c>
      <c r="M282" s="14"/>
      <c r="N282" s="14">
        <v>2.1359877441252201E-2</v>
      </c>
      <c r="O282" s="14">
        <v>2.4898017016953398E-2</v>
      </c>
      <c r="P282" s="14">
        <v>3.02243263284824E-2</v>
      </c>
      <c r="Q282" s="14">
        <v>3.8355634489363799E-2</v>
      </c>
      <c r="R282" s="14"/>
      <c r="S282" s="14">
        <v>2.9214327743626499E-2</v>
      </c>
      <c r="T282" s="14">
        <v>1.92492760141919E-2</v>
      </c>
      <c r="U282" s="14">
        <v>3.4079205015867302E-2</v>
      </c>
      <c r="V282" s="14">
        <v>1.2901752387661201E-2</v>
      </c>
      <c r="W282" s="14">
        <v>3.0524437421842899E-2</v>
      </c>
      <c r="X282" s="14">
        <v>4.6549549314419097E-2</v>
      </c>
      <c r="Y282" s="14">
        <v>3.16778910824582E-2</v>
      </c>
      <c r="Z282" s="14">
        <v>1.9273381567080101E-2</v>
      </c>
      <c r="AA282" s="14">
        <v>3.28722077925395E-2</v>
      </c>
      <c r="AB282" s="14"/>
      <c r="AC282" s="14">
        <v>2.5574106929874298E-2</v>
      </c>
      <c r="AD282" s="14">
        <v>3.3996228612479099E-2</v>
      </c>
      <c r="AE282" s="14">
        <v>2.1391712586908501E-2</v>
      </c>
      <c r="AF282" s="14">
        <v>2.9698538884670299E-2</v>
      </c>
      <c r="AG282" s="14">
        <v>2.7604702665984499E-2</v>
      </c>
      <c r="AH282" s="14"/>
      <c r="AI282" s="14">
        <v>3.8372844485699803E-2</v>
      </c>
      <c r="AJ282" s="14">
        <v>2.3211982119433001E-2</v>
      </c>
      <c r="AK282" s="14">
        <v>3.2296469803484301E-2</v>
      </c>
      <c r="AL282" s="14">
        <v>3.1267145953615398E-2</v>
      </c>
      <c r="AM282" s="14">
        <v>2.2098272089004601E-2</v>
      </c>
      <c r="AN282" s="14">
        <v>0</v>
      </c>
      <c r="AO282" s="14"/>
      <c r="AP282" s="14">
        <v>2.4775798486446399E-2</v>
      </c>
      <c r="AQ282" s="14">
        <v>3.2564419586301102E-2</v>
      </c>
      <c r="AR282" s="14"/>
      <c r="AS282" s="14">
        <v>2.1626508472614599E-2</v>
      </c>
      <c r="AT282" s="14">
        <v>4.6078232842520099E-2</v>
      </c>
      <c r="AU282" s="14">
        <v>2.4992054237715101E-2</v>
      </c>
      <c r="AV282" s="14"/>
      <c r="AW282" s="14">
        <v>2.6086091074864402E-2</v>
      </c>
      <c r="AX282" s="14">
        <v>3.2673395199673903E-2</v>
      </c>
      <c r="AY282" s="14"/>
      <c r="AZ282" s="14">
        <v>2.7452159923509301E-2</v>
      </c>
      <c r="BA282" s="14">
        <v>2.76159847333039E-2</v>
      </c>
    </row>
    <row r="283" spans="2:53" x14ac:dyDescent="0.35">
      <c r="B283" t="s">
        <v>79</v>
      </c>
      <c r="C283" s="14">
        <v>5.2137264329389799E-3</v>
      </c>
      <c r="D283" s="14">
        <v>4.3760856992460699E-3</v>
      </c>
      <c r="E283" s="14">
        <v>6.0570917236852798E-3</v>
      </c>
      <c r="F283" s="14"/>
      <c r="G283" s="14">
        <v>0.11326843138774099</v>
      </c>
      <c r="H283" s="14">
        <v>1.12121735968196E-2</v>
      </c>
      <c r="I283" s="14">
        <v>5.5762946728768999E-3</v>
      </c>
      <c r="J283" s="14">
        <v>1.6437134817880799E-3</v>
      </c>
      <c r="K283" s="14">
        <v>0</v>
      </c>
      <c r="L283" s="14">
        <v>0</v>
      </c>
      <c r="M283" s="14"/>
      <c r="N283" s="14">
        <v>1.90323018039794E-3</v>
      </c>
      <c r="O283" s="14">
        <v>2.64528220344161E-3</v>
      </c>
      <c r="P283" s="14">
        <v>1.00546999580835E-2</v>
      </c>
      <c r="Q283" s="14">
        <v>7.2585321895499797E-3</v>
      </c>
      <c r="R283" s="14"/>
      <c r="S283" s="14">
        <v>1.1572108513249401E-2</v>
      </c>
      <c r="T283" s="14">
        <v>1.03520657242694E-2</v>
      </c>
      <c r="U283" s="14">
        <v>0</v>
      </c>
      <c r="V283" s="14">
        <v>0</v>
      </c>
      <c r="W283" s="14">
        <v>1.34960961294149E-2</v>
      </c>
      <c r="X283" s="14">
        <v>0</v>
      </c>
      <c r="Y283" s="14">
        <v>4.9367968384857403E-3</v>
      </c>
      <c r="Z283" s="14">
        <v>0</v>
      </c>
      <c r="AA283" s="14">
        <v>0</v>
      </c>
      <c r="AB283" s="14"/>
      <c r="AC283" s="14">
        <v>3.0419183262921298E-3</v>
      </c>
      <c r="AD283" s="14">
        <v>2.8476684336649701E-3</v>
      </c>
      <c r="AE283" s="14">
        <v>2.2431377548021501E-3</v>
      </c>
      <c r="AF283" s="14">
        <v>7.9848661696594204E-3</v>
      </c>
      <c r="AG283" s="14">
        <v>0</v>
      </c>
      <c r="AH283" s="14"/>
      <c r="AI283" s="14">
        <v>3.31418363663518E-3</v>
      </c>
      <c r="AJ283" s="14">
        <v>1.3200079434204299E-2</v>
      </c>
      <c r="AK283" s="14">
        <v>0</v>
      </c>
      <c r="AL283" s="14">
        <v>7.8950593418523392E-3</v>
      </c>
      <c r="AM283" s="14">
        <v>0</v>
      </c>
      <c r="AN283" s="14">
        <v>6.6719317493672001E-3</v>
      </c>
      <c r="AO283" s="14"/>
      <c r="AP283" s="14">
        <v>2.84222619567221E-3</v>
      </c>
      <c r="AQ283" s="14">
        <v>7.8987992662421895E-3</v>
      </c>
      <c r="AR283" s="14"/>
      <c r="AS283" s="14">
        <v>5.7565848853449904E-3</v>
      </c>
      <c r="AT283" s="14">
        <v>0</v>
      </c>
      <c r="AU283" s="14">
        <v>6.60929822820758E-3</v>
      </c>
      <c r="AV283" s="14"/>
      <c r="AW283" s="14">
        <v>2.40276364239573E-3</v>
      </c>
      <c r="AX283" s="14">
        <v>1.29561995182093E-2</v>
      </c>
      <c r="AY283" s="14"/>
      <c r="AZ283" s="14">
        <v>4.50721754429951E-3</v>
      </c>
      <c r="BA283" s="14">
        <v>7.9576716772406103E-3</v>
      </c>
    </row>
    <row r="284" spans="2:53" x14ac:dyDescent="0.35">
      <c r="B284" t="s">
        <v>80</v>
      </c>
      <c r="C284" s="14">
        <v>8.8092356440090495E-3</v>
      </c>
      <c r="D284" s="14">
        <v>5.34697822851413E-3</v>
      </c>
      <c r="E284" s="14">
        <v>1.22828021469651E-2</v>
      </c>
      <c r="F284" s="14"/>
      <c r="G284" s="14">
        <v>0</v>
      </c>
      <c r="H284" s="14">
        <v>1.2515434565128899E-2</v>
      </c>
      <c r="I284" s="14">
        <v>1.0648495188685599E-2</v>
      </c>
      <c r="J284" s="14">
        <v>7.59924946146023E-3</v>
      </c>
      <c r="K284" s="14">
        <v>0</v>
      </c>
      <c r="L284" s="14">
        <v>0</v>
      </c>
      <c r="M284" s="14"/>
      <c r="N284" s="14">
        <v>3.42475681908503E-3</v>
      </c>
      <c r="O284" s="14">
        <v>0</v>
      </c>
      <c r="P284" s="14">
        <v>1.8130981047886699E-2</v>
      </c>
      <c r="Q284" s="14">
        <v>1.5676839772038102E-2</v>
      </c>
      <c r="R284" s="14"/>
      <c r="S284" s="14">
        <v>9.6152553063079196E-3</v>
      </c>
      <c r="T284" s="14">
        <v>7.0595873934723597E-3</v>
      </c>
      <c r="U284" s="14">
        <v>0</v>
      </c>
      <c r="V284" s="14">
        <v>3.3813874441243098E-2</v>
      </c>
      <c r="W284" s="14">
        <v>0</v>
      </c>
      <c r="X284" s="14">
        <v>5.2446881107329297E-3</v>
      </c>
      <c r="Y284" s="14">
        <v>1.8968263523519002E-2</v>
      </c>
      <c r="Z284" s="14">
        <v>0</v>
      </c>
      <c r="AA284" s="14">
        <v>0</v>
      </c>
      <c r="AB284" s="14"/>
      <c r="AC284" s="14">
        <v>1.4525622569535501E-2</v>
      </c>
      <c r="AD284" s="14">
        <v>1.51862960395313E-2</v>
      </c>
      <c r="AE284" s="14">
        <v>1.73556264560704E-3</v>
      </c>
      <c r="AF284" s="14">
        <v>2.6613438666584599E-3</v>
      </c>
      <c r="AG284" s="14">
        <v>0</v>
      </c>
      <c r="AH284" s="14"/>
      <c r="AI284" s="14">
        <v>8.0747574048358403E-3</v>
      </c>
      <c r="AJ284" s="14">
        <v>0</v>
      </c>
      <c r="AK284" s="14">
        <v>5.8229290495604002E-3</v>
      </c>
      <c r="AL284" s="14">
        <v>7.49559628559026E-3</v>
      </c>
      <c r="AM284" s="14">
        <v>1.8595970971925301E-2</v>
      </c>
      <c r="AN284" s="14">
        <v>1.74802091933513E-2</v>
      </c>
      <c r="AO284" s="14"/>
      <c r="AP284" s="14">
        <v>8.6108008818835593E-3</v>
      </c>
      <c r="AQ284" s="14">
        <v>9.0608926491137394E-3</v>
      </c>
      <c r="AR284" s="14"/>
      <c r="AS284" s="14">
        <v>1.57216214541488E-2</v>
      </c>
      <c r="AT284" s="14">
        <v>7.8741170638871507E-3</v>
      </c>
      <c r="AU284" s="14">
        <v>7.2253817029186498E-3</v>
      </c>
      <c r="AV284" s="14"/>
      <c r="AW284" s="14">
        <v>8.7325434562255805E-3</v>
      </c>
      <c r="AX284" s="14">
        <v>0</v>
      </c>
      <c r="AY284" s="14"/>
      <c r="AZ284" s="14">
        <v>4.8497571078662503E-3</v>
      </c>
      <c r="BA284" s="14">
        <v>1.8171397740665299E-2</v>
      </c>
    </row>
    <row r="285" spans="2:53" x14ac:dyDescent="0.35">
      <c r="B285" t="s">
        <v>81</v>
      </c>
      <c r="C285" s="14">
        <v>0.95757931275358998</v>
      </c>
      <c r="D285" s="14">
        <v>0.96221214462898297</v>
      </c>
      <c r="E285" s="14">
        <v>0.95290164901646601</v>
      </c>
      <c r="F285" s="14"/>
      <c r="G285" s="14">
        <v>0.88673156861225899</v>
      </c>
      <c r="H285" s="14">
        <v>0.91690948296711094</v>
      </c>
      <c r="I285" s="14">
        <v>0.95585916158450801</v>
      </c>
      <c r="J285" s="14">
        <v>0.97040054776057405</v>
      </c>
      <c r="K285" s="14">
        <v>0.98692604671555695</v>
      </c>
      <c r="L285" s="14">
        <v>1</v>
      </c>
      <c r="M285" s="14"/>
      <c r="N285" s="14">
        <v>0.97331213555926499</v>
      </c>
      <c r="O285" s="14">
        <v>0.972456700779605</v>
      </c>
      <c r="P285" s="14">
        <v>0.94158999266554699</v>
      </c>
      <c r="Q285" s="14">
        <v>0.93870899354904802</v>
      </c>
      <c r="R285" s="14"/>
      <c r="S285" s="14">
        <v>0.94959830843681603</v>
      </c>
      <c r="T285" s="14">
        <v>0.96333907086806603</v>
      </c>
      <c r="U285" s="14">
        <v>0.96592079498413297</v>
      </c>
      <c r="V285" s="14">
        <v>0.95328437317109604</v>
      </c>
      <c r="W285" s="14">
        <v>0.95597946644874199</v>
      </c>
      <c r="X285" s="14">
        <v>0.94820576257484801</v>
      </c>
      <c r="Y285" s="14">
        <v>0.94441704855553699</v>
      </c>
      <c r="Z285" s="14">
        <v>0.98072661843291997</v>
      </c>
      <c r="AA285" s="14">
        <v>0.96712779220746004</v>
      </c>
      <c r="AB285" s="14"/>
      <c r="AC285" s="14">
        <v>0.95685835217429804</v>
      </c>
      <c r="AD285" s="14">
        <v>0.94796980691432498</v>
      </c>
      <c r="AE285" s="14">
        <v>0.97462958701268199</v>
      </c>
      <c r="AF285" s="14">
        <v>0.95965525107901195</v>
      </c>
      <c r="AG285" s="14">
        <v>0.97239529733401597</v>
      </c>
      <c r="AH285" s="14"/>
      <c r="AI285" s="14">
        <v>0.95023821447282897</v>
      </c>
      <c r="AJ285" s="14">
        <v>0.96358793844636303</v>
      </c>
      <c r="AK285" s="14">
        <v>0.96188060114695495</v>
      </c>
      <c r="AL285" s="14">
        <v>0.95334219841894197</v>
      </c>
      <c r="AM285" s="14">
        <v>0.95930575693907005</v>
      </c>
      <c r="AN285" s="14">
        <v>0.975847859057281</v>
      </c>
      <c r="AO285" s="14"/>
      <c r="AP285" s="14">
        <v>0.96377117443599802</v>
      </c>
      <c r="AQ285" s="14">
        <v>0.95047588849834297</v>
      </c>
      <c r="AR285" s="14"/>
      <c r="AS285" s="14">
        <v>0.95689528518789202</v>
      </c>
      <c r="AT285" s="14">
        <v>0.94604765009359304</v>
      </c>
      <c r="AU285" s="14">
        <v>0.96117326583115903</v>
      </c>
      <c r="AV285" s="14"/>
      <c r="AW285" s="14">
        <v>0.96277860182651398</v>
      </c>
      <c r="AX285" s="14">
        <v>0.95437040528211703</v>
      </c>
      <c r="AY285" s="14"/>
      <c r="AZ285" s="14">
        <v>0.96319086542432497</v>
      </c>
      <c r="BA285" s="14">
        <v>0.94625494584879</v>
      </c>
    </row>
    <row r="286" spans="2:53" x14ac:dyDescent="0.35"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</row>
    <row r="287" spans="2:53" x14ac:dyDescent="0.35">
      <c r="B287" s="6" t="s">
        <v>146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</row>
    <row r="288" spans="2:53" x14ac:dyDescent="0.35">
      <c r="B288" s="24" t="s">
        <v>118</v>
      </c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</row>
    <row r="289" spans="2:53" x14ac:dyDescent="0.35">
      <c r="B289" t="s">
        <v>139</v>
      </c>
      <c r="C289" s="14">
        <v>0.12745005473577101</v>
      </c>
      <c r="D289" s="14">
        <v>0.14448458273530901</v>
      </c>
      <c r="E289" s="14">
        <v>0.110525470669873</v>
      </c>
      <c r="F289" s="14"/>
      <c r="G289" s="14">
        <v>0</v>
      </c>
      <c r="H289" s="14">
        <v>0.11986969596508</v>
      </c>
      <c r="I289" s="14">
        <v>0.14267603556303299</v>
      </c>
      <c r="J289" s="14">
        <v>0.10805109469221499</v>
      </c>
      <c r="K289" s="14">
        <v>0.14535765126087</v>
      </c>
      <c r="L289" s="14">
        <v>8.5039403679576894E-2</v>
      </c>
      <c r="M289" s="14"/>
      <c r="N289" s="14">
        <v>0.10481214199328</v>
      </c>
      <c r="O289" s="14">
        <v>0.114705861347285</v>
      </c>
      <c r="P289" s="14">
        <v>0.12975846812150299</v>
      </c>
      <c r="Q289" s="14">
        <v>0.163144665083297</v>
      </c>
      <c r="R289" s="14"/>
      <c r="S289" s="14">
        <v>0.15406622838783801</v>
      </c>
      <c r="T289" s="14">
        <v>0.120147453739337</v>
      </c>
      <c r="U289" s="14">
        <v>0.134972043703214</v>
      </c>
      <c r="V289" s="14">
        <v>6.6798995644864106E-2</v>
      </c>
      <c r="W289" s="14">
        <v>0.118104555151914</v>
      </c>
      <c r="X289" s="14">
        <v>0.20700634150785799</v>
      </c>
      <c r="Y289" s="14">
        <v>9.2379142951372395E-2</v>
      </c>
      <c r="Z289" s="14">
        <v>0.14993106176719301</v>
      </c>
      <c r="AA289" s="14">
        <v>0.112725834864813</v>
      </c>
      <c r="AB289" s="14"/>
      <c r="AC289" s="14">
        <v>0.12321173755529601</v>
      </c>
      <c r="AD289" s="14">
        <v>0.161254028620926</v>
      </c>
      <c r="AE289" s="14">
        <v>9.0122614192158598E-2</v>
      </c>
      <c r="AF289" s="14">
        <v>0.16712474590066201</v>
      </c>
      <c r="AG289" s="14">
        <v>0.15672517818300499</v>
      </c>
      <c r="AH289" s="14"/>
      <c r="AI289" s="14">
        <v>0.13967283422606</v>
      </c>
      <c r="AJ289" s="14">
        <v>0.13412787189790101</v>
      </c>
      <c r="AK289" s="14">
        <v>0.10403167482483</v>
      </c>
      <c r="AL289" s="14">
        <v>0.11574919364782101</v>
      </c>
      <c r="AM289" s="14">
        <v>0.13363652802863299</v>
      </c>
      <c r="AN289" s="14">
        <v>0.14910544747955901</v>
      </c>
      <c r="AO289" s="14"/>
      <c r="AP289" s="14">
        <v>0.12873523067261</v>
      </c>
      <c r="AQ289" s="14">
        <v>0.126414792963738</v>
      </c>
      <c r="AR289" s="14"/>
      <c r="AS289" s="14">
        <v>0.14866024717214599</v>
      </c>
      <c r="AT289" s="14">
        <v>0.12270457852727699</v>
      </c>
      <c r="AU289" s="14">
        <v>0.12314486702878601</v>
      </c>
      <c r="AV289" s="14"/>
      <c r="AW289" s="14">
        <v>0.12745505202298901</v>
      </c>
      <c r="AX289" s="14">
        <v>0.16135190397369301</v>
      </c>
      <c r="AY289" s="14"/>
      <c r="AZ289" s="14">
        <v>0.131956621316213</v>
      </c>
      <c r="BA289" s="14">
        <v>0.11332632130555099</v>
      </c>
    </row>
    <row r="290" spans="2:53" x14ac:dyDescent="0.35">
      <c r="B290" t="s">
        <v>140</v>
      </c>
      <c r="C290" s="14">
        <v>0.15681141434531601</v>
      </c>
      <c r="D290" s="14">
        <v>0.179855559954787</v>
      </c>
      <c r="E290" s="14">
        <v>0.13390087366727499</v>
      </c>
      <c r="F290" s="14"/>
      <c r="G290" s="14">
        <v>0.11326843138774099</v>
      </c>
      <c r="H290" s="14">
        <v>0.16149845010129399</v>
      </c>
      <c r="I290" s="14">
        <v>0.14637966012567699</v>
      </c>
      <c r="J290" s="14">
        <v>0.14608334341333201</v>
      </c>
      <c r="K290" s="14">
        <v>0.21107856543585499</v>
      </c>
      <c r="L290" s="14">
        <v>0.30962402199044597</v>
      </c>
      <c r="M290" s="14"/>
      <c r="N290" s="14">
        <v>0.15696378370240999</v>
      </c>
      <c r="O290" s="14">
        <v>0.134930628755668</v>
      </c>
      <c r="P290" s="14">
        <v>0.20955826118673501</v>
      </c>
      <c r="Q290" s="14">
        <v>0.13480762742202701</v>
      </c>
      <c r="R290" s="14"/>
      <c r="S290" s="14">
        <v>0.20607002870552901</v>
      </c>
      <c r="T290" s="14">
        <v>0.121344663130715</v>
      </c>
      <c r="U290" s="14">
        <v>0.14023110833403499</v>
      </c>
      <c r="V290" s="14">
        <v>0.170714586864262</v>
      </c>
      <c r="W290" s="14">
        <v>0.177019033658358</v>
      </c>
      <c r="X290" s="14">
        <v>0.157066506056075</v>
      </c>
      <c r="Y290" s="14">
        <v>0.13339101524764199</v>
      </c>
      <c r="Z290" s="14">
        <v>0.110722578829203</v>
      </c>
      <c r="AA290" s="14">
        <v>0.16246102853872199</v>
      </c>
      <c r="AB290" s="14"/>
      <c r="AC290" s="14">
        <v>0.163095323710608</v>
      </c>
      <c r="AD290" s="14">
        <v>0.15718626054670701</v>
      </c>
      <c r="AE290" s="14">
        <v>0.15263513310957</v>
      </c>
      <c r="AF290" s="14">
        <v>0.15804083674582001</v>
      </c>
      <c r="AG290" s="14">
        <v>0.177392664998612</v>
      </c>
      <c r="AH290" s="14"/>
      <c r="AI290" s="14">
        <v>0.17763660528342901</v>
      </c>
      <c r="AJ290" s="14">
        <v>0.16865803823396799</v>
      </c>
      <c r="AK290" s="14">
        <v>0.10603989226769001</v>
      </c>
      <c r="AL290" s="14">
        <v>0.14180687575303999</v>
      </c>
      <c r="AM290" s="14">
        <v>0.168006800521776</v>
      </c>
      <c r="AN290" s="14">
        <v>0.112500941193627</v>
      </c>
      <c r="AO290" s="14"/>
      <c r="AP290" s="14">
        <v>0.16999592346204201</v>
      </c>
      <c r="AQ290" s="14">
        <v>0.141815551972516</v>
      </c>
      <c r="AR290" s="14"/>
      <c r="AS290" s="14">
        <v>0.138125716691649</v>
      </c>
      <c r="AT290" s="14">
        <v>0.18751525119840101</v>
      </c>
      <c r="AU290" s="14">
        <v>0.152761409589106</v>
      </c>
      <c r="AV290" s="14"/>
      <c r="AW290" s="14">
        <v>0.157772536090172</v>
      </c>
      <c r="AX290" s="14">
        <v>0.174951576087292</v>
      </c>
      <c r="AY290" s="14"/>
      <c r="AZ290" s="14">
        <v>0.164051149227706</v>
      </c>
      <c r="BA290" s="14">
        <v>0.13311398308882599</v>
      </c>
    </row>
    <row r="291" spans="2:53" x14ac:dyDescent="0.35">
      <c r="B291" t="s">
        <v>141</v>
      </c>
      <c r="C291" s="14">
        <v>0.57316617147623905</v>
      </c>
      <c r="D291" s="14">
        <v>0.52305895930026902</v>
      </c>
      <c r="E291" s="14">
        <v>0.62289962760139805</v>
      </c>
      <c r="F291" s="14"/>
      <c r="G291" s="14">
        <v>0.79123592895323303</v>
      </c>
      <c r="H291" s="14">
        <v>0.59594351692060399</v>
      </c>
      <c r="I291" s="14">
        <v>0.57530423073284698</v>
      </c>
      <c r="J291" s="14">
        <v>0.60126091611862598</v>
      </c>
      <c r="K291" s="14">
        <v>0.44820241810335298</v>
      </c>
      <c r="L291" s="14">
        <v>0.41171935819543698</v>
      </c>
      <c r="M291" s="14"/>
      <c r="N291" s="14">
        <v>0.59475252155813296</v>
      </c>
      <c r="O291" s="14">
        <v>0.62584443906465903</v>
      </c>
      <c r="P291" s="14">
        <v>0.54294008333243904</v>
      </c>
      <c r="Q291" s="14">
        <v>0.51819067392367602</v>
      </c>
      <c r="R291" s="14"/>
      <c r="S291" s="14">
        <v>0.48402761745553002</v>
      </c>
      <c r="T291" s="14">
        <v>0.63215488722222801</v>
      </c>
      <c r="U291" s="14">
        <v>0.62215149902183597</v>
      </c>
      <c r="V291" s="14">
        <v>0.55313337642087701</v>
      </c>
      <c r="W291" s="14">
        <v>0.52062713001865002</v>
      </c>
      <c r="X291" s="14">
        <v>0.52964255621794598</v>
      </c>
      <c r="Y291" s="14">
        <v>0.61176244509450695</v>
      </c>
      <c r="Z291" s="14">
        <v>0.65730863681569796</v>
      </c>
      <c r="AA291" s="14">
        <v>0.59732071226416095</v>
      </c>
      <c r="AB291" s="14"/>
      <c r="AC291" s="14">
        <v>0.56069398442624496</v>
      </c>
      <c r="AD291" s="14">
        <v>0.56503679964146403</v>
      </c>
      <c r="AE291" s="14">
        <v>0.61500540470908405</v>
      </c>
      <c r="AF291" s="14">
        <v>0.54013093623994002</v>
      </c>
      <c r="AG291" s="14">
        <v>0.59785182012499904</v>
      </c>
      <c r="AH291" s="14"/>
      <c r="AI291" s="14">
        <v>0.55285429444638101</v>
      </c>
      <c r="AJ291" s="14">
        <v>0.56237145224332996</v>
      </c>
      <c r="AK291" s="14">
        <v>0.64097844121712</v>
      </c>
      <c r="AL291" s="14">
        <v>0.56303983501876997</v>
      </c>
      <c r="AM291" s="14">
        <v>0.61907791435280402</v>
      </c>
      <c r="AN291" s="14">
        <v>0.63018475357027803</v>
      </c>
      <c r="AO291" s="14"/>
      <c r="AP291" s="14">
        <v>0.56479392791153504</v>
      </c>
      <c r="AQ291" s="14">
        <v>0.58187734221253595</v>
      </c>
      <c r="AR291" s="14"/>
      <c r="AS291" s="14">
        <v>0.568896266612269</v>
      </c>
      <c r="AT291" s="14">
        <v>0.56342377847647795</v>
      </c>
      <c r="AU291" s="14">
        <v>0.57719613069076503</v>
      </c>
      <c r="AV291" s="14"/>
      <c r="AW291" s="14">
        <v>0.58059515280568397</v>
      </c>
      <c r="AX291" s="14">
        <v>0.54488903934534205</v>
      </c>
      <c r="AY291" s="14"/>
      <c r="AZ291" s="14">
        <v>0.57099180841958097</v>
      </c>
      <c r="BA291" s="14">
        <v>0.58826172794909004</v>
      </c>
    </row>
    <row r="292" spans="2:53" x14ac:dyDescent="0.35">
      <c r="B292" t="s">
        <v>142</v>
      </c>
      <c r="C292" s="14">
        <v>0.103506280256931</v>
      </c>
      <c r="D292" s="14">
        <v>0.119871244704264</v>
      </c>
      <c r="E292" s="14">
        <v>8.7228581288102902E-2</v>
      </c>
      <c r="F292" s="14"/>
      <c r="G292" s="14">
        <v>9.5495639659026202E-2</v>
      </c>
      <c r="H292" s="14">
        <v>7.9881623932458498E-2</v>
      </c>
      <c r="I292" s="14">
        <v>9.4525739080357205E-2</v>
      </c>
      <c r="J292" s="14">
        <v>0.112698816693903</v>
      </c>
      <c r="K292" s="14">
        <v>0.164476554254611</v>
      </c>
      <c r="L292" s="14">
        <v>4.4722118997196497E-2</v>
      </c>
      <c r="M292" s="14"/>
      <c r="N292" s="14">
        <v>0.12175728382956801</v>
      </c>
      <c r="O292" s="14">
        <v>0.100696970193017</v>
      </c>
      <c r="P292" s="14">
        <v>9.2928161607511495E-2</v>
      </c>
      <c r="Q292" s="14">
        <v>9.7231228147172805E-2</v>
      </c>
      <c r="R292" s="14"/>
      <c r="S292" s="14">
        <v>0.120313327577057</v>
      </c>
      <c r="T292" s="14">
        <v>0.108963753427003</v>
      </c>
      <c r="U292" s="14">
        <v>8.3350140371876699E-2</v>
      </c>
      <c r="V292" s="14">
        <v>0.13074327794034599</v>
      </c>
      <c r="W292" s="14">
        <v>0.114761448896064</v>
      </c>
      <c r="X292" s="14">
        <v>7.0222826274412703E-2</v>
      </c>
      <c r="Y292" s="14">
        <v>0.123473897487268</v>
      </c>
      <c r="Z292" s="14">
        <v>8.2037722587906606E-2</v>
      </c>
      <c r="AA292" s="14">
        <v>7.9318585038386097E-2</v>
      </c>
      <c r="AB292" s="14"/>
      <c r="AC292" s="14">
        <v>0.11769890560744201</v>
      </c>
      <c r="AD292" s="14">
        <v>8.8614155603578298E-2</v>
      </c>
      <c r="AE292" s="14">
        <v>0.111816909087549</v>
      </c>
      <c r="AF292" s="14">
        <v>0.10555644342192699</v>
      </c>
      <c r="AG292" s="14">
        <v>5.1750991792536102E-2</v>
      </c>
      <c r="AH292" s="14"/>
      <c r="AI292" s="14">
        <v>9.3593657926722904E-2</v>
      </c>
      <c r="AJ292" s="14">
        <v>0.103184998326178</v>
      </c>
      <c r="AK292" s="14">
        <v>0.126805122431567</v>
      </c>
      <c r="AL292" s="14">
        <v>0.14086242502740601</v>
      </c>
      <c r="AM292" s="14">
        <v>6.16737358626658E-2</v>
      </c>
      <c r="AN292" s="14">
        <v>4.1664121268669599E-2</v>
      </c>
      <c r="AO292" s="14"/>
      <c r="AP292" s="14">
        <v>0.102396399544481</v>
      </c>
      <c r="AQ292" s="14">
        <v>0.105088627867747</v>
      </c>
      <c r="AR292" s="14"/>
      <c r="AS292" s="14">
        <v>0.119635103670317</v>
      </c>
      <c r="AT292" s="14">
        <v>9.1923708310447202E-2</v>
      </c>
      <c r="AU292" s="14">
        <v>0.10259036257823</v>
      </c>
      <c r="AV292" s="14"/>
      <c r="AW292" s="14">
        <v>0.10236664002845899</v>
      </c>
      <c r="AX292" s="14">
        <v>8.5502231111455398E-2</v>
      </c>
      <c r="AY292" s="14"/>
      <c r="AZ292" s="14">
        <v>0.102032771220984</v>
      </c>
      <c r="BA292" s="14">
        <v>0.111176734672851</v>
      </c>
    </row>
    <row r="293" spans="2:53" x14ac:dyDescent="0.35">
      <c r="B293" t="s">
        <v>143</v>
      </c>
      <c r="C293" s="14">
        <v>2.1543310747492401E-2</v>
      </c>
      <c r="D293" s="14">
        <v>2.0207677509170401E-2</v>
      </c>
      <c r="E293" s="14">
        <v>2.2900898503463399E-2</v>
      </c>
      <c r="F293" s="14"/>
      <c r="G293" s="14">
        <v>0</v>
      </c>
      <c r="H293" s="14">
        <v>2.2522234625381801E-2</v>
      </c>
      <c r="I293" s="14">
        <v>2.0770622485626701E-2</v>
      </c>
      <c r="J293" s="14">
        <v>2.0788114887908399E-2</v>
      </c>
      <c r="K293" s="14">
        <v>3.0884810945311199E-2</v>
      </c>
      <c r="L293" s="14">
        <v>0</v>
      </c>
      <c r="M293" s="14"/>
      <c r="N293" s="14">
        <v>2.0726229366656201E-2</v>
      </c>
      <c r="O293" s="14">
        <v>1.4762735276289201E-2</v>
      </c>
      <c r="P293" s="14">
        <v>8.2259683969526601E-3</v>
      </c>
      <c r="Q293" s="14">
        <v>4.1434419797136898E-2</v>
      </c>
      <c r="R293" s="14"/>
      <c r="S293" s="14">
        <v>2.77997333245526E-2</v>
      </c>
      <c r="T293" s="14">
        <v>9.4448072084551693E-3</v>
      </c>
      <c r="U293" s="14">
        <v>3.8812116460471601E-3</v>
      </c>
      <c r="V293" s="14">
        <v>2.7613868197066498E-2</v>
      </c>
      <c r="W293" s="14">
        <v>4.3996435110698E-2</v>
      </c>
      <c r="X293" s="14">
        <v>1.5272356161642801E-2</v>
      </c>
      <c r="Y293" s="14">
        <v>3.6339822999804899E-2</v>
      </c>
      <c r="Z293" s="14">
        <v>0</v>
      </c>
      <c r="AA293" s="14">
        <v>2.3352120133841001E-2</v>
      </c>
      <c r="AB293" s="14"/>
      <c r="AC293" s="14">
        <v>1.74579301159405E-2</v>
      </c>
      <c r="AD293" s="14">
        <v>1.06404703629233E-2</v>
      </c>
      <c r="AE293" s="14">
        <v>2.5031747624987E-2</v>
      </c>
      <c r="AF293" s="14">
        <v>2.2475859177412301E-2</v>
      </c>
      <c r="AG293" s="14">
        <v>1.6279344900847901E-2</v>
      </c>
      <c r="AH293" s="14"/>
      <c r="AI293" s="14">
        <v>2.0334022050316598E-2</v>
      </c>
      <c r="AJ293" s="14">
        <v>2.80523116669847E-2</v>
      </c>
      <c r="AK293" s="14">
        <v>9.1432676186468803E-3</v>
      </c>
      <c r="AL293" s="14">
        <v>1.5180233442868601E-2</v>
      </c>
      <c r="AM293" s="14">
        <v>1.7605021234121401E-2</v>
      </c>
      <c r="AN293" s="14">
        <v>1.8861964747818101E-2</v>
      </c>
      <c r="AO293" s="14"/>
      <c r="AP293" s="14">
        <v>1.9983777131118399E-2</v>
      </c>
      <c r="AQ293" s="14">
        <v>2.3367433683217802E-2</v>
      </c>
      <c r="AR293" s="14"/>
      <c r="AS293" s="14">
        <v>6.90387437533842E-3</v>
      </c>
      <c r="AT293" s="14">
        <v>1.5221009061975601E-2</v>
      </c>
      <c r="AU293" s="14">
        <v>2.7352767811688401E-2</v>
      </c>
      <c r="AV293" s="14"/>
      <c r="AW293" s="14">
        <v>1.7022687008199699E-2</v>
      </c>
      <c r="AX293" s="14">
        <v>2.5821081745057099E-2</v>
      </c>
      <c r="AY293" s="14"/>
      <c r="AZ293" s="14">
        <v>2.0458776847288099E-2</v>
      </c>
      <c r="BA293" s="14">
        <v>2.6040114161220401E-2</v>
      </c>
    </row>
    <row r="294" spans="2:53" x14ac:dyDescent="0.35">
      <c r="B294" t="s">
        <v>144</v>
      </c>
      <c r="C294" s="14">
        <v>1.3592397047682201E-3</v>
      </c>
      <c r="D294" s="14">
        <v>1.5029768641125799E-3</v>
      </c>
      <c r="E294" s="14">
        <v>1.2167054163372E-3</v>
      </c>
      <c r="F294" s="14"/>
      <c r="G294" s="14">
        <v>0</v>
      </c>
      <c r="H294" s="14">
        <v>0</v>
      </c>
      <c r="I294" s="14">
        <v>3.1119885845122498E-3</v>
      </c>
      <c r="J294" s="14">
        <v>0</v>
      </c>
      <c r="K294" s="14">
        <v>0</v>
      </c>
      <c r="L294" s="14">
        <v>0</v>
      </c>
      <c r="M294" s="14"/>
      <c r="N294" s="14">
        <v>0</v>
      </c>
      <c r="O294" s="14">
        <v>2.9003586548764998E-3</v>
      </c>
      <c r="P294" s="14">
        <v>2.7707242984387299E-3</v>
      </c>
      <c r="Q294" s="14">
        <v>0</v>
      </c>
      <c r="R294" s="14"/>
      <c r="S294" s="14">
        <v>0</v>
      </c>
      <c r="T294" s="14">
        <v>0</v>
      </c>
      <c r="U294" s="14">
        <v>0</v>
      </c>
      <c r="V294" s="14">
        <v>6.8348249479670102E-3</v>
      </c>
      <c r="W294" s="14">
        <v>6.7480483796308497E-3</v>
      </c>
      <c r="X294" s="14">
        <v>0</v>
      </c>
      <c r="Y294" s="14">
        <v>0</v>
      </c>
      <c r="Z294" s="14">
        <v>0</v>
      </c>
      <c r="AA294" s="14">
        <v>0</v>
      </c>
      <c r="AB294" s="14"/>
      <c r="AC294" s="14">
        <v>3.0419183262921298E-3</v>
      </c>
      <c r="AD294" s="14">
        <v>0</v>
      </c>
      <c r="AE294" s="14">
        <v>0</v>
      </c>
      <c r="AF294" s="14">
        <v>0</v>
      </c>
      <c r="AG294" s="14">
        <v>0</v>
      </c>
      <c r="AH294" s="14"/>
      <c r="AI294" s="14">
        <v>0</v>
      </c>
      <c r="AJ294" s="14">
        <v>0</v>
      </c>
      <c r="AK294" s="14">
        <v>0</v>
      </c>
      <c r="AL294" s="14">
        <v>8.8277498338068892E-3</v>
      </c>
      <c r="AM294" s="14">
        <v>0</v>
      </c>
      <c r="AN294" s="14">
        <v>0</v>
      </c>
      <c r="AO294" s="14"/>
      <c r="AP294" s="14">
        <v>1.4214267564803601E-3</v>
      </c>
      <c r="AQ294" s="14">
        <v>1.2936510610526699E-3</v>
      </c>
      <c r="AR294" s="14"/>
      <c r="AS294" s="14">
        <v>4.36900613925919E-3</v>
      </c>
      <c r="AT294" s="14">
        <v>0</v>
      </c>
      <c r="AU294" s="14">
        <v>9.5112728975818605E-4</v>
      </c>
      <c r="AV294" s="14"/>
      <c r="AW294" s="14">
        <v>9.9994338030468606E-4</v>
      </c>
      <c r="AX294" s="14">
        <v>0</v>
      </c>
      <c r="AY294" s="14"/>
      <c r="AZ294" s="14">
        <v>1.7314435528129699E-3</v>
      </c>
      <c r="BA294" s="14">
        <v>0</v>
      </c>
    </row>
    <row r="295" spans="2:53" x14ac:dyDescent="0.35">
      <c r="B295" t="s">
        <v>80</v>
      </c>
      <c r="C295" s="14">
        <v>1.6163528733482299E-2</v>
      </c>
      <c r="D295" s="14">
        <v>1.10189989320884E-2</v>
      </c>
      <c r="E295" s="14">
        <v>2.1327842853549599E-2</v>
      </c>
      <c r="F295" s="14"/>
      <c r="G295" s="14">
        <v>0</v>
      </c>
      <c r="H295" s="14">
        <v>2.0284478455182501E-2</v>
      </c>
      <c r="I295" s="14">
        <v>1.72317234279468E-2</v>
      </c>
      <c r="J295" s="14">
        <v>1.11177141940146E-2</v>
      </c>
      <c r="K295" s="14">
        <v>0</v>
      </c>
      <c r="L295" s="14">
        <v>0.148895097137344</v>
      </c>
      <c r="M295" s="14"/>
      <c r="N295" s="14">
        <v>9.880395499525681E-4</v>
      </c>
      <c r="O295" s="14">
        <v>6.1590067082048601E-3</v>
      </c>
      <c r="P295" s="14">
        <v>1.38183330564209E-2</v>
      </c>
      <c r="Q295" s="14">
        <v>4.5191385626689798E-2</v>
      </c>
      <c r="R295" s="14"/>
      <c r="S295" s="14">
        <v>7.7230645494941299E-3</v>
      </c>
      <c r="T295" s="14">
        <v>7.9444352722605905E-3</v>
      </c>
      <c r="U295" s="14">
        <v>1.54139969229918E-2</v>
      </c>
      <c r="V295" s="14">
        <v>4.4161069984616899E-2</v>
      </c>
      <c r="W295" s="14">
        <v>1.8743348784685001E-2</v>
      </c>
      <c r="X295" s="14">
        <v>2.0789413782065499E-2</v>
      </c>
      <c r="Y295" s="14">
        <v>2.6536762194060001E-3</v>
      </c>
      <c r="Z295" s="14">
        <v>0</v>
      </c>
      <c r="AA295" s="14">
        <v>2.4821719160076201E-2</v>
      </c>
      <c r="AB295" s="14"/>
      <c r="AC295" s="14">
        <v>1.48002002581756E-2</v>
      </c>
      <c r="AD295" s="14">
        <v>1.7268285224401599E-2</v>
      </c>
      <c r="AE295" s="14">
        <v>5.3881912766511096E-3</v>
      </c>
      <c r="AF295" s="14">
        <v>6.6711785142391997E-3</v>
      </c>
      <c r="AG295" s="14">
        <v>0</v>
      </c>
      <c r="AH295" s="14"/>
      <c r="AI295" s="14">
        <v>1.5908586067090301E-2</v>
      </c>
      <c r="AJ295" s="14">
        <v>3.6053276316378698E-3</v>
      </c>
      <c r="AK295" s="14">
        <v>1.3001601640146101E-2</v>
      </c>
      <c r="AL295" s="14">
        <v>1.4533687276287399E-2</v>
      </c>
      <c r="AM295" s="14">
        <v>0</v>
      </c>
      <c r="AN295" s="14">
        <v>4.7682771740048202E-2</v>
      </c>
      <c r="AO295" s="14"/>
      <c r="AP295" s="14">
        <v>1.26733145217346E-2</v>
      </c>
      <c r="AQ295" s="14">
        <v>2.0142600239192E-2</v>
      </c>
      <c r="AR295" s="14"/>
      <c r="AS295" s="14">
        <v>1.3409785339021801E-2</v>
      </c>
      <c r="AT295" s="14">
        <v>1.92116744254206E-2</v>
      </c>
      <c r="AU295" s="14">
        <v>1.60033350116673E-2</v>
      </c>
      <c r="AV295" s="14"/>
      <c r="AW295" s="14">
        <v>1.3787988664192201E-2</v>
      </c>
      <c r="AX295" s="14">
        <v>7.4841677371606996E-3</v>
      </c>
      <c r="AY295" s="14"/>
      <c r="AZ295" s="14">
        <v>8.7774294154161301E-3</v>
      </c>
      <c r="BA295" s="14">
        <v>2.8081118822461101E-2</v>
      </c>
    </row>
    <row r="296" spans="2:53" x14ac:dyDescent="0.35"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</row>
    <row r="297" spans="2:53" x14ac:dyDescent="0.35">
      <c r="B297" s="6" t="s">
        <v>147</v>
      </c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</row>
    <row r="298" spans="2:53" x14ac:dyDescent="0.35">
      <c r="B298" s="24" t="s">
        <v>118</v>
      </c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</row>
    <row r="299" spans="2:53" x14ac:dyDescent="0.35">
      <c r="B299" t="s">
        <v>139</v>
      </c>
      <c r="C299" s="14">
        <v>0.25721849867122698</v>
      </c>
      <c r="D299" s="14">
        <v>0.30342301233564201</v>
      </c>
      <c r="E299" s="14">
        <v>0.21025690267817301</v>
      </c>
      <c r="F299" s="14"/>
      <c r="G299" s="14">
        <v>0.14264816943094299</v>
      </c>
      <c r="H299" s="14">
        <v>0.24047627830905499</v>
      </c>
      <c r="I299" s="14">
        <v>0.24895267887587999</v>
      </c>
      <c r="J299" s="14">
        <v>0.24721485290539</v>
      </c>
      <c r="K299" s="14">
        <v>0.36878618696451199</v>
      </c>
      <c r="L299" s="14">
        <v>0.22134593137911801</v>
      </c>
      <c r="M299" s="14"/>
      <c r="N299" s="14">
        <v>0.24490380940200701</v>
      </c>
      <c r="O299" s="14">
        <v>0.209911861622669</v>
      </c>
      <c r="P299" s="14">
        <v>0.27824244258502501</v>
      </c>
      <c r="Q299" s="14">
        <v>0.29694937634650898</v>
      </c>
      <c r="R299" s="14"/>
      <c r="S299" s="14">
        <v>0.29083827470408402</v>
      </c>
      <c r="T299" s="14">
        <v>0.269731028482185</v>
      </c>
      <c r="U299" s="14">
        <v>0.24256064932973101</v>
      </c>
      <c r="V299" s="14">
        <v>0.230272983344921</v>
      </c>
      <c r="W299" s="14">
        <v>0.28115501773393398</v>
      </c>
      <c r="X299" s="14">
        <v>0.28227816859941302</v>
      </c>
      <c r="Y299" s="14">
        <v>0.214223304374066</v>
      </c>
      <c r="Z299" s="14">
        <v>0.24651935188834001</v>
      </c>
      <c r="AA299" s="14">
        <v>0.23592506675554101</v>
      </c>
      <c r="AB299" s="14"/>
      <c r="AC299" s="14">
        <v>0.29845223334272702</v>
      </c>
      <c r="AD299" s="14">
        <v>0.240895597252588</v>
      </c>
      <c r="AE299" s="14">
        <v>0.24091503932539099</v>
      </c>
      <c r="AF299" s="14">
        <v>0.268953004460317</v>
      </c>
      <c r="AG299" s="14">
        <v>0.28016997650876302</v>
      </c>
      <c r="AH299" s="14"/>
      <c r="AI299" s="14">
        <v>0.26935167466062798</v>
      </c>
      <c r="AJ299" s="14">
        <v>0.26679538508286499</v>
      </c>
      <c r="AK299" s="14">
        <v>0.249257138142496</v>
      </c>
      <c r="AL299" s="14">
        <v>0.248795615945826</v>
      </c>
      <c r="AM299" s="14">
        <v>0.22993664829738999</v>
      </c>
      <c r="AN299" s="14">
        <v>0.25798423658961001</v>
      </c>
      <c r="AO299" s="14"/>
      <c r="AP299" s="14">
        <v>0.25457834044012301</v>
      </c>
      <c r="AQ299" s="14">
        <v>0.26101800107745099</v>
      </c>
      <c r="AR299" s="14"/>
      <c r="AS299" s="14">
        <v>0.23966289412233799</v>
      </c>
      <c r="AT299" s="14">
        <v>0.23292291872642601</v>
      </c>
      <c r="AU299" s="14">
        <v>0.26912741055297101</v>
      </c>
      <c r="AV299" s="14"/>
      <c r="AW299" s="14">
        <v>0.25218269867377302</v>
      </c>
      <c r="AX299" s="14">
        <v>0.32821303672994601</v>
      </c>
      <c r="AY299" s="14"/>
      <c r="AZ299" s="14">
        <v>0.26537165523720602</v>
      </c>
      <c r="BA299" s="14">
        <v>0.232226329114708</v>
      </c>
    </row>
    <row r="300" spans="2:53" x14ac:dyDescent="0.35">
      <c r="B300" t="s">
        <v>140</v>
      </c>
      <c r="C300" s="14">
        <v>0.34261557760935601</v>
      </c>
      <c r="D300" s="14">
        <v>0.34964619858571999</v>
      </c>
      <c r="E300" s="14">
        <v>0.33591150573099399</v>
      </c>
      <c r="F300" s="14"/>
      <c r="G300" s="14">
        <v>0.18127959358201301</v>
      </c>
      <c r="H300" s="14">
        <v>0.327959809703459</v>
      </c>
      <c r="I300" s="14">
        <v>0.34945705340197297</v>
      </c>
      <c r="J300" s="14">
        <v>0.33862311981257098</v>
      </c>
      <c r="K300" s="14">
        <v>0.36215197068976201</v>
      </c>
      <c r="L300" s="14">
        <v>0.307610533329985</v>
      </c>
      <c r="M300" s="14"/>
      <c r="N300" s="14">
        <v>0.38160890053281499</v>
      </c>
      <c r="O300" s="14">
        <v>0.37283993907864998</v>
      </c>
      <c r="P300" s="14">
        <v>0.31335351347358198</v>
      </c>
      <c r="Q300" s="14">
        <v>0.29885069789591001</v>
      </c>
      <c r="R300" s="14"/>
      <c r="S300" s="14">
        <v>0.34163046282198001</v>
      </c>
      <c r="T300" s="14">
        <v>0.34841582044352598</v>
      </c>
      <c r="U300" s="14">
        <v>0.32694564992102798</v>
      </c>
      <c r="V300" s="14">
        <v>0.365454227598701</v>
      </c>
      <c r="W300" s="14">
        <v>0.32950766592404901</v>
      </c>
      <c r="X300" s="14">
        <v>0.29984307323067699</v>
      </c>
      <c r="Y300" s="14">
        <v>0.32287023700675899</v>
      </c>
      <c r="Z300" s="14">
        <v>0.32072402354360702</v>
      </c>
      <c r="AA300" s="14">
        <v>0.39524943498901399</v>
      </c>
      <c r="AB300" s="14"/>
      <c r="AC300" s="14">
        <v>0.29228295420394701</v>
      </c>
      <c r="AD300" s="14">
        <v>0.36000467276499298</v>
      </c>
      <c r="AE300" s="14">
        <v>0.35671013591318401</v>
      </c>
      <c r="AF300" s="14">
        <v>0.34304166227402499</v>
      </c>
      <c r="AG300" s="14">
        <v>0.30597083551494098</v>
      </c>
      <c r="AH300" s="14"/>
      <c r="AI300" s="14">
        <v>0.35565895027477601</v>
      </c>
      <c r="AJ300" s="14">
        <v>0.36393319848091699</v>
      </c>
      <c r="AK300" s="14">
        <v>0.38393214255264702</v>
      </c>
      <c r="AL300" s="14">
        <v>0.34287193301086799</v>
      </c>
      <c r="AM300" s="14">
        <v>0.360119935039248</v>
      </c>
      <c r="AN300" s="14">
        <v>0.21316443607653399</v>
      </c>
      <c r="AO300" s="14"/>
      <c r="AP300" s="14">
        <v>0.36428233119824499</v>
      </c>
      <c r="AQ300" s="14">
        <v>0.31731468359176801</v>
      </c>
      <c r="AR300" s="14"/>
      <c r="AS300" s="14">
        <v>0.31945310616660899</v>
      </c>
      <c r="AT300" s="14">
        <v>0.36154338035654698</v>
      </c>
      <c r="AU300" s="14">
        <v>0.34325254564174101</v>
      </c>
      <c r="AV300" s="14"/>
      <c r="AW300" s="14">
        <v>0.35605748902332701</v>
      </c>
      <c r="AX300" s="14">
        <v>0.30152448838050699</v>
      </c>
      <c r="AY300" s="14"/>
      <c r="AZ300" s="14">
        <v>0.34030679690032201</v>
      </c>
      <c r="BA300" s="14">
        <v>0.35842782050789002</v>
      </c>
    </row>
    <row r="301" spans="2:53" x14ac:dyDescent="0.35">
      <c r="B301" t="s">
        <v>141</v>
      </c>
      <c r="C301" s="14">
        <v>0.35703872219301103</v>
      </c>
      <c r="D301" s="14">
        <v>0.30555578328977301</v>
      </c>
      <c r="E301" s="14">
        <v>0.40890898083369498</v>
      </c>
      <c r="F301" s="14"/>
      <c r="G301" s="14">
        <v>0.53660020964677602</v>
      </c>
      <c r="H301" s="14">
        <v>0.35706140018898702</v>
      </c>
      <c r="I301" s="14">
        <v>0.36175483739719899</v>
      </c>
      <c r="J301" s="14">
        <v>0.385287807309176</v>
      </c>
      <c r="K301" s="14">
        <v>0.24397185257162399</v>
      </c>
      <c r="L301" s="14">
        <v>0.28378472847854802</v>
      </c>
      <c r="M301" s="14"/>
      <c r="N301" s="14">
        <v>0.34200257195671602</v>
      </c>
      <c r="O301" s="14">
        <v>0.40404846742995199</v>
      </c>
      <c r="P301" s="14">
        <v>0.34514117300222502</v>
      </c>
      <c r="Q301" s="14">
        <v>0.33462277809101998</v>
      </c>
      <c r="R301" s="14"/>
      <c r="S301" s="14">
        <v>0.30916973621864902</v>
      </c>
      <c r="T301" s="14">
        <v>0.36029357096902098</v>
      </c>
      <c r="U301" s="14">
        <v>0.38986773866191798</v>
      </c>
      <c r="V301" s="14">
        <v>0.34435003075995702</v>
      </c>
      <c r="W301" s="14">
        <v>0.33460962543730299</v>
      </c>
      <c r="X301" s="14">
        <v>0.36255357926570803</v>
      </c>
      <c r="Y301" s="14">
        <v>0.39519413938527098</v>
      </c>
      <c r="Z301" s="14">
        <v>0.431069153064148</v>
      </c>
      <c r="AA301" s="14">
        <v>0.35072620319439302</v>
      </c>
      <c r="AB301" s="14"/>
      <c r="AC301" s="14">
        <v>0.35357115839001202</v>
      </c>
      <c r="AD301" s="14">
        <v>0.35566945941664402</v>
      </c>
      <c r="AE301" s="14">
        <v>0.38132978418984598</v>
      </c>
      <c r="AF301" s="14">
        <v>0.34571016765399498</v>
      </c>
      <c r="AG301" s="14">
        <v>0.38202973385213601</v>
      </c>
      <c r="AH301" s="14"/>
      <c r="AI301" s="14">
        <v>0.33696971680891402</v>
      </c>
      <c r="AJ301" s="14">
        <v>0.31858968583659603</v>
      </c>
      <c r="AK301" s="14">
        <v>0.33823343122288302</v>
      </c>
      <c r="AL301" s="14">
        <v>0.36330549088922498</v>
      </c>
      <c r="AM301" s="14">
        <v>0.38720514419143098</v>
      </c>
      <c r="AN301" s="14">
        <v>0.47368317869020399</v>
      </c>
      <c r="AO301" s="14"/>
      <c r="AP301" s="14">
        <v>0.34348167242998101</v>
      </c>
      <c r="AQ301" s="14">
        <v>0.372247119481388</v>
      </c>
      <c r="AR301" s="14"/>
      <c r="AS301" s="14">
        <v>0.39642241985857501</v>
      </c>
      <c r="AT301" s="14">
        <v>0.377063337370667</v>
      </c>
      <c r="AU301" s="14">
        <v>0.34051801322749697</v>
      </c>
      <c r="AV301" s="14"/>
      <c r="AW301" s="14">
        <v>0.355853575614198</v>
      </c>
      <c r="AX301" s="14">
        <v>0.31793466508208601</v>
      </c>
      <c r="AY301" s="14"/>
      <c r="AZ301" s="14">
        <v>0.35662395723954499</v>
      </c>
      <c r="BA301" s="14">
        <v>0.361029200677078</v>
      </c>
    </row>
    <row r="302" spans="2:53" x14ac:dyDescent="0.35">
      <c r="B302" t="s">
        <v>142</v>
      </c>
      <c r="C302" s="14">
        <v>2.10572768553807E-2</v>
      </c>
      <c r="D302" s="14">
        <v>2.6781944091684402E-2</v>
      </c>
      <c r="E302" s="14">
        <v>1.53484475337624E-2</v>
      </c>
      <c r="F302" s="14"/>
      <c r="G302" s="14">
        <v>8.1088258398355997E-2</v>
      </c>
      <c r="H302" s="14">
        <v>4.5131286890640901E-2</v>
      </c>
      <c r="I302" s="14">
        <v>1.6339556427714601E-2</v>
      </c>
      <c r="J302" s="14">
        <v>1.2777113227517E-2</v>
      </c>
      <c r="K302" s="14">
        <v>2.5089989774101699E-2</v>
      </c>
      <c r="L302" s="14">
        <v>3.83637096750045E-2</v>
      </c>
      <c r="M302" s="14"/>
      <c r="N302" s="14">
        <v>1.9457644615561102E-2</v>
      </c>
      <c r="O302" s="14">
        <v>7.9198346479473995E-3</v>
      </c>
      <c r="P302" s="14">
        <v>3.2807423090059899E-2</v>
      </c>
      <c r="Q302" s="14">
        <v>2.6341654700283702E-2</v>
      </c>
      <c r="R302" s="14"/>
      <c r="S302" s="14">
        <v>3.0874685664442101E-2</v>
      </c>
      <c r="T302" s="14">
        <v>1.3002841078549E-2</v>
      </c>
      <c r="U302" s="14">
        <v>2.5211965164331301E-2</v>
      </c>
      <c r="V302" s="14">
        <v>5.9160240069183103E-3</v>
      </c>
      <c r="W302" s="14">
        <v>2.3406998495227E-2</v>
      </c>
      <c r="X302" s="14">
        <v>2.7883578694292602E-2</v>
      </c>
      <c r="Y302" s="14">
        <v>4.8254342373449402E-2</v>
      </c>
      <c r="Z302" s="14">
        <v>1.6874715039051501E-3</v>
      </c>
      <c r="AA302" s="14">
        <v>8.0400748484844593E-3</v>
      </c>
      <c r="AB302" s="14"/>
      <c r="AC302" s="14">
        <v>2.9610379276921402E-2</v>
      </c>
      <c r="AD302" s="14">
        <v>2.3714947744600302E-2</v>
      </c>
      <c r="AE302" s="14">
        <v>1.39249503711695E-2</v>
      </c>
      <c r="AF302" s="14">
        <v>2.2529418787025E-2</v>
      </c>
      <c r="AG302" s="14">
        <v>2.5246555924539501E-2</v>
      </c>
      <c r="AH302" s="14"/>
      <c r="AI302" s="14">
        <v>2.4322877163512099E-2</v>
      </c>
      <c r="AJ302" s="14">
        <v>2.6216038819429702E-2</v>
      </c>
      <c r="AK302" s="14">
        <v>5.8705370114222697E-3</v>
      </c>
      <c r="AL302" s="14">
        <v>2.80281305493945E-2</v>
      </c>
      <c r="AM302" s="14">
        <v>1.1369135517788599E-2</v>
      </c>
      <c r="AN302" s="14">
        <v>6.9083011142054597E-3</v>
      </c>
      <c r="AO302" s="14"/>
      <c r="AP302" s="14">
        <v>1.8903344374736099E-2</v>
      </c>
      <c r="AQ302" s="14">
        <v>2.3548615470346899E-2</v>
      </c>
      <c r="AR302" s="14"/>
      <c r="AS302" s="14">
        <v>2.6725002853953499E-2</v>
      </c>
      <c r="AT302" s="14">
        <v>5.3563885224527704E-3</v>
      </c>
      <c r="AU302" s="14">
        <v>2.4174571651606001E-2</v>
      </c>
      <c r="AV302" s="14"/>
      <c r="AW302" s="14">
        <v>1.8026334494865501E-2</v>
      </c>
      <c r="AX302" s="14">
        <v>2.87002464220469E-2</v>
      </c>
      <c r="AY302" s="14"/>
      <c r="AZ302" s="14">
        <v>2.10967223645659E-2</v>
      </c>
      <c r="BA302" s="14">
        <v>2.13529345410166E-2</v>
      </c>
    </row>
    <row r="303" spans="2:53" x14ac:dyDescent="0.35">
      <c r="B303" t="s">
        <v>143</v>
      </c>
      <c r="C303" s="14">
        <v>5.7796464003059796E-3</v>
      </c>
      <c r="D303" s="14">
        <v>6.8404980014806398E-3</v>
      </c>
      <c r="E303" s="14">
        <v>4.7235499974126799E-3</v>
      </c>
      <c r="F303" s="14"/>
      <c r="G303" s="14">
        <v>5.8383768941911898E-2</v>
      </c>
      <c r="H303" s="14">
        <v>1.19112905273401E-2</v>
      </c>
      <c r="I303" s="14">
        <v>5.6687007646674904E-3</v>
      </c>
      <c r="J303" s="14">
        <v>4.0204254942958102E-3</v>
      </c>
      <c r="K303" s="14">
        <v>0</v>
      </c>
      <c r="L303" s="14">
        <v>0</v>
      </c>
      <c r="M303" s="14"/>
      <c r="N303" s="14">
        <v>9.8754440365521699E-3</v>
      </c>
      <c r="O303" s="14">
        <v>0</v>
      </c>
      <c r="P303" s="14">
        <v>1.1568765822565901E-2</v>
      </c>
      <c r="Q303" s="14">
        <v>2.3370330061356702E-3</v>
      </c>
      <c r="R303" s="14"/>
      <c r="S303" s="14">
        <v>1.56069395560935E-2</v>
      </c>
      <c r="T303" s="14">
        <v>6.1230375445847597E-4</v>
      </c>
      <c r="U303" s="14">
        <v>0</v>
      </c>
      <c r="V303" s="14">
        <v>9.67656722213215E-3</v>
      </c>
      <c r="W303" s="14">
        <v>5.8292952451706398E-3</v>
      </c>
      <c r="X303" s="14">
        <v>6.6521864278444301E-3</v>
      </c>
      <c r="Y303" s="14">
        <v>6.3531902206833499E-3</v>
      </c>
      <c r="Z303" s="14">
        <v>0</v>
      </c>
      <c r="AA303" s="14">
        <v>2.2782204522131199E-3</v>
      </c>
      <c r="AB303" s="14"/>
      <c r="AC303" s="14">
        <v>0</v>
      </c>
      <c r="AD303" s="14">
        <v>7.3441598008555896E-3</v>
      </c>
      <c r="AE303" s="14">
        <v>4.7597921449616699E-3</v>
      </c>
      <c r="AF303" s="14">
        <v>1.30945683103991E-2</v>
      </c>
      <c r="AG303" s="14">
        <v>6.5828981996199198E-3</v>
      </c>
      <c r="AH303" s="14"/>
      <c r="AI303" s="14">
        <v>1.5469607969618999E-3</v>
      </c>
      <c r="AJ303" s="14">
        <v>2.0860364148553499E-2</v>
      </c>
      <c r="AK303" s="14">
        <v>5.0391805102424202E-3</v>
      </c>
      <c r="AL303" s="14">
        <v>3.27142191222194E-3</v>
      </c>
      <c r="AM303" s="14">
        <v>1.1369136954142199E-2</v>
      </c>
      <c r="AN303" s="14">
        <v>0</v>
      </c>
      <c r="AO303" s="14"/>
      <c r="AP303" s="14">
        <v>6.7467927258301899E-3</v>
      </c>
      <c r="AQ303" s="14">
        <v>4.7100976303019598E-3</v>
      </c>
      <c r="AR303" s="14"/>
      <c r="AS303" s="14">
        <v>1.07407162248891E-2</v>
      </c>
      <c r="AT303" s="14">
        <v>7.3249782203995799E-3</v>
      </c>
      <c r="AU303" s="14">
        <v>3.9875023229993299E-3</v>
      </c>
      <c r="AV303" s="14"/>
      <c r="AW303" s="14">
        <v>2.4957986386610698E-3</v>
      </c>
      <c r="AX303" s="14">
        <v>1.7090332522262702E-2</v>
      </c>
      <c r="AY303" s="14"/>
      <c r="AZ303" s="14">
        <v>6.7206556548955404E-3</v>
      </c>
      <c r="BA303" s="14">
        <v>2.3924704847774602E-3</v>
      </c>
    </row>
    <row r="304" spans="2:53" x14ac:dyDescent="0.35">
      <c r="B304" t="s">
        <v>144</v>
      </c>
      <c r="C304" s="14">
        <v>9.4478891488579701E-4</v>
      </c>
      <c r="D304" s="14">
        <v>0</v>
      </c>
      <c r="E304" s="14">
        <v>1.8912492654527999E-3</v>
      </c>
      <c r="F304" s="14"/>
      <c r="G304" s="14">
        <v>0</v>
      </c>
      <c r="H304" s="14">
        <v>0</v>
      </c>
      <c r="I304" s="14">
        <v>9.5930409424066401E-4</v>
      </c>
      <c r="J304" s="14">
        <v>1.7462679669785501E-3</v>
      </c>
      <c r="K304" s="14">
        <v>0</v>
      </c>
      <c r="L304" s="14">
        <v>0</v>
      </c>
      <c r="M304" s="14"/>
      <c r="N304" s="14">
        <v>0</v>
      </c>
      <c r="O304" s="14">
        <v>1.61726291205271E-3</v>
      </c>
      <c r="P304" s="14">
        <v>0</v>
      </c>
      <c r="Q304" s="14">
        <v>2.10825914135932E-3</v>
      </c>
      <c r="R304" s="14"/>
      <c r="S304" s="14">
        <v>2.6226166377568802E-3</v>
      </c>
      <c r="T304" s="14">
        <v>0</v>
      </c>
      <c r="U304" s="14">
        <v>0</v>
      </c>
      <c r="V304" s="14">
        <v>0</v>
      </c>
      <c r="W304" s="14">
        <v>0</v>
      </c>
      <c r="X304" s="14">
        <v>5.2446881107329297E-3</v>
      </c>
      <c r="Y304" s="14">
        <v>0</v>
      </c>
      <c r="Z304" s="14">
        <v>0</v>
      </c>
      <c r="AA304" s="14">
        <v>0</v>
      </c>
      <c r="AB304" s="14"/>
      <c r="AC304" s="14">
        <v>0</v>
      </c>
      <c r="AD304" s="14">
        <v>0</v>
      </c>
      <c r="AE304" s="14">
        <v>1.44368355591717E-3</v>
      </c>
      <c r="AF304" s="14">
        <v>0</v>
      </c>
      <c r="AG304" s="14">
        <v>0</v>
      </c>
      <c r="AH304" s="14"/>
      <c r="AI304" s="14">
        <v>0</v>
      </c>
      <c r="AJ304" s="14">
        <v>0</v>
      </c>
      <c r="AK304" s="14">
        <v>4.6659689201633296E-3</v>
      </c>
      <c r="AL304" s="14">
        <v>0</v>
      </c>
      <c r="AM304" s="14">
        <v>0</v>
      </c>
      <c r="AN304" s="14">
        <v>0</v>
      </c>
      <c r="AO304" s="14"/>
      <c r="AP304" s="14">
        <v>1.7872028236500001E-3</v>
      </c>
      <c r="AQ304" s="14">
        <v>0</v>
      </c>
      <c r="AR304" s="14"/>
      <c r="AS304" s="14">
        <v>0</v>
      </c>
      <c r="AT304" s="14">
        <v>0</v>
      </c>
      <c r="AU304" s="14">
        <v>1.47843410899122E-3</v>
      </c>
      <c r="AV304" s="14"/>
      <c r="AW304" s="14">
        <v>5.57576332982255E-4</v>
      </c>
      <c r="AX304" s="14">
        <v>0</v>
      </c>
      <c r="AY304" s="14"/>
      <c r="AZ304" s="14">
        <v>1.20350271531181E-3</v>
      </c>
      <c r="BA304" s="14">
        <v>0</v>
      </c>
    </row>
    <row r="305" spans="2:53" x14ac:dyDescent="0.35">
      <c r="B305" t="s">
        <v>80</v>
      </c>
      <c r="C305" s="14">
        <v>1.5345489355834199E-2</v>
      </c>
      <c r="D305" s="14">
        <v>7.7525636957002904E-3</v>
      </c>
      <c r="E305" s="14">
        <v>2.2959363960510099E-2</v>
      </c>
      <c r="F305" s="14"/>
      <c r="G305" s="14">
        <v>0</v>
      </c>
      <c r="H305" s="14">
        <v>1.7459934380518599E-2</v>
      </c>
      <c r="I305" s="14">
        <v>1.6867869038324702E-2</v>
      </c>
      <c r="J305" s="14">
        <v>1.03304132840708E-2</v>
      </c>
      <c r="K305" s="14">
        <v>0</v>
      </c>
      <c r="L305" s="14">
        <v>0.148895097137344</v>
      </c>
      <c r="M305" s="14"/>
      <c r="N305" s="14">
        <v>2.15162945634943E-3</v>
      </c>
      <c r="O305" s="14">
        <v>3.6626343087300898E-3</v>
      </c>
      <c r="P305" s="14">
        <v>1.8886682026542201E-2</v>
      </c>
      <c r="Q305" s="14">
        <v>3.8790200818782497E-2</v>
      </c>
      <c r="R305" s="14"/>
      <c r="S305" s="14">
        <v>9.2572843969953803E-3</v>
      </c>
      <c r="T305" s="14">
        <v>7.9444352722605905E-3</v>
      </c>
      <c r="U305" s="14">
        <v>1.54139969229918E-2</v>
      </c>
      <c r="V305" s="14">
        <v>4.4330167067371098E-2</v>
      </c>
      <c r="W305" s="14">
        <v>2.54913971643158E-2</v>
      </c>
      <c r="X305" s="14">
        <v>1.5544725671332599E-2</v>
      </c>
      <c r="Y305" s="14">
        <v>1.3104786639771399E-2</v>
      </c>
      <c r="Z305" s="14">
        <v>0</v>
      </c>
      <c r="AA305" s="14">
        <v>7.7809997603544203E-3</v>
      </c>
      <c r="AB305" s="14"/>
      <c r="AC305" s="14">
        <v>2.6083274786392399E-2</v>
      </c>
      <c r="AD305" s="14">
        <v>1.23711630203202E-2</v>
      </c>
      <c r="AE305" s="14">
        <v>9.1661449953013801E-4</v>
      </c>
      <c r="AF305" s="14">
        <v>6.6711785142391997E-3</v>
      </c>
      <c r="AG305" s="14">
        <v>0</v>
      </c>
      <c r="AH305" s="14"/>
      <c r="AI305" s="14">
        <v>1.2149820295208899E-2</v>
      </c>
      <c r="AJ305" s="14">
        <v>3.6053276316378698E-3</v>
      </c>
      <c r="AK305" s="14">
        <v>1.3001601640146101E-2</v>
      </c>
      <c r="AL305" s="14">
        <v>1.3727407692464499E-2</v>
      </c>
      <c r="AM305" s="14">
        <v>0</v>
      </c>
      <c r="AN305" s="14">
        <v>4.8259847529447501E-2</v>
      </c>
      <c r="AO305" s="14"/>
      <c r="AP305" s="14">
        <v>1.0220316007433901E-2</v>
      </c>
      <c r="AQ305" s="14">
        <v>2.1161482748743601E-2</v>
      </c>
      <c r="AR305" s="14"/>
      <c r="AS305" s="14">
        <v>6.9958607736345796E-3</v>
      </c>
      <c r="AT305" s="14">
        <v>1.5788996803507E-2</v>
      </c>
      <c r="AU305" s="14">
        <v>1.74615224941948E-2</v>
      </c>
      <c r="AV305" s="14"/>
      <c r="AW305" s="14">
        <v>1.48265272221925E-2</v>
      </c>
      <c r="AX305" s="14">
        <v>6.5372308631509004E-3</v>
      </c>
      <c r="AY305" s="14"/>
      <c r="AZ305" s="14">
        <v>8.6767098881536091E-3</v>
      </c>
      <c r="BA305" s="14">
        <v>2.4571244674529698E-2</v>
      </c>
    </row>
    <row r="306" spans="2:53" x14ac:dyDescent="0.35"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</row>
    <row r="307" spans="2:53" x14ac:dyDescent="0.35">
      <c r="B307" s="6" t="s">
        <v>148</v>
      </c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</row>
    <row r="308" spans="2:53" x14ac:dyDescent="0.35">
      <c r="B308" s="24" t="s">
        <v>118</v>
      </c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</row>
    <row r="309" spans="2:53" x14ac:dyDescent="0.35">
      <c r="B309" t="s">
        <v>139</v>
      </c>
      <c r="C309" s="14">
        <v>0.17409339099614901</v>
      </c>
      <c r="D309" s="14">
        <v>0.20058230492405299</v>
      </c>
      <c r="E309" s="14">
        <v>0.147752082703698</v>
      </c>
      <c r="F309" s="14"/>
      <c r="G309" s="14">
        <v>0</v>
      </c>
      <c r="H309" s="14">
        <v>0.14418067029526099</v>
      </c>
      <c r="I309" s="14">
        <v>0.162281447921477</v>
      </c>
      <c r="J309" s="14">
        <v>0.19328159509065401</v>
      </c>
      <c r="K309" s="14">
        <v>0.23048985056892701</v>
      </c>
      <c r="L309" s="14">
        <v>0.14691714711943901</v>
      </c>
      <c r="M309" s="14"/>
      <c r="N309" s="14">
        <v>0.14575619999893399</v>
      </c>
      <c r="O309" s="14">
        <v>0.15473025092803899</v>
      </c>
      <c r="P309" s="14">
        <v>0.20431290144870401</v>
      </c>
      <c r="Q309" s="14">
        <v>0.198809493055286</v>
      </c>
      <c r="R309" s="14"/>
      <c r="S309" s="14">
        <v>0.20341718449416901</v>
      </c>
      <c r="T309" s="14">
        <v>0.144040809789372</v>
      </c>
      <c r="U309" s="14">
        <v>0.16485915891627601</v>
      </c>
      <c r="V309" s="14">
        <v>0.15553414886198699</v>
      </c>
      <c r="W309" s="14">
        <v>0.16730453466235601</v>
      </c>
      <c r="X309" s="14">
        <v>0.23853752138121201</v>
      </c>
      <c r="Y309" s="14">
        <v>0.14195341793639299</v>
      </c>
      <c r="Z309" s="14">
        <v>0.195953693716032</v>
      </c>
      <c r="AA309" s="14">
        <v>0.16921043288402299</v>
      </c>
      <c r="AB309" s="14"/>
      <c r="AC309" s="14">
        <v>0.18453018473237701</v>
      </c>
      <c r="AD309" s="14">
        <v>0.200571945607735</v>
      </c>
      <c r="AE309" s="14">
        <v>0.15023963223175199</v>
      </c>
      <c r="AF309" s="14">
        <v>0.17331086043722699</v>
      </c>
      <c r="AG309" s="14">
        <v>0.19083294840634299</v>
      </c>
      <c r="AH309" s="14"/>
      <c r="AI309" s="14">
        <v>0.188883445719839</v>
      </c>
      <c r="AJ309" s="14">
        <v>0.17814299104981299</v>
      </c>
      <c r="AK309" s="14">
        <v>0.17869172771129599</v>
      </c>
      <c r="AL309" s="14">
        <v>0.17244352715092601</v>
      </c>
      <c r="AM309" s="14">
        <v>0.154003698836156</v>
      </c>
      <c r="AN309" s="14">
        <v>0.156564485334443</v>
      </c>
      <c r="AO309" s="14"/>
      <c r="AP309" s="14">
        <v>0.16815959003026601</v>
      </c>
      <c r="AQ309" s="14">
        <v>0.180664003385057</v>
      </c>
      <c r="AR309" s="14"/>
      <c r="AS309" s="14">
        <v>0.167068490841038</v>
      </c>
      <c r="AT309" s="14">
        <v>0.14953140680277299</v>
      </c>
      <c r="AU309" s="14">
        <v>0.183246897626516</v>
      </c>
      <c r="AV309" s="14"/>
      <c r="AW309" s="14">
        <v>0.165370939222656</v>
      </c>
      <c r="AX309" s="14">
        <v>0.232890946346167</v>
      </c>
      <c r="AY309" s="14"/>
      <c r="AZ309" s="14">
        <v>0.18584113512651201</v>
      </c>
      <c r="BA309" s="14">
        <v>0.133950526806531</v>
      </c>
    </row>
    <row r="310" spans="2:53" x14ac:dyDescent="0.35">
      <c r="B310" t="s">
        <v>140</v>
      </c>
      <c r="C310" s="14">
        <v>0.20034376236124499</v>
      </c>
      <c r="D310" s="14">
        <v>0.223271393136736</v>
      </c>
      <c r="E310" s="14">
        <v>0.17759203492228801</v>
      </c>
      <c r="F310" s="14"/>
      <c r="G310" s="14">
        <v>0.49865857014432102</v>
      </c>
      <c r="H310" s="14">
        <v>0.22221205749671899</v>
      </c>
      <c r="I310" s="14">
        <v>0.19094228592063001</v>
      </c>
      <c r="J310" s="14">
        <v>0.20321773106740801</v>
      </c>
      <c r="K310" s="14">
        <v>0.18096370593619099</v>
      </c>
      <c r="L310" s="14">
        <v>0.210805625350906</v>
      </c>
      <c r="M310" s="14"/>
      <c r="N310" s="14">
        <v>0.20227193456995499</v>
      </c>
      <c r="O310" s="14">
        <v>0.18987688032580799</v>
      </c>
      <c r="P310" s="14">
        <v>0.19170772692289301</v>
      </c>
      <c r="Q310" s="14">
        <v>0.219065907546002</v>
      </c>
      <c r="R310" s="14"/>
      <c r="S310" s="14">
        <v>0.227737895907622</v>
      </c>
      <c r="T310" s="14">
        <v>0.201926983840302</v>
      </c>
      <c r="U310" s="14">
        <v>0.17760281259962299</v>
      </c>
      <c r="V310" s="14">
        <v>0.16878208625659999</v>
      </c>
      <c r="W310" s="14">
        <v>0.21248474120678901</v>
      </c>
      <c r="X310" s="14">
        <v>0.20008190636086201</v>
      </c>
      <c r="Y310" s="14">
        <v>0.199142683977481</v>
      </c>
      <c r="Z310" s="14">
        <v>0.20065882264837101</v>
      </c>
      <c r="AA310" s="14">
        <v>0.20155645207187001</v>
      </c>
      <c r="AB310" s="14"/>
      <c r="AC310" s="14">
        <v>0.20733941232945499</v>
      </c>
      <c r="AD310" s="14">
        <v>0.17637768820520699</v>
      </c>
      <c r="AE310" s="14">
        <v>0.21254011788166999</v>
      </c>
      <c r="AF310" s="14">
        <v>0.235072655730034</v>
      </c>
      <c r="AG310" s="14">
        <v>0.210766333900377</v>
      </c>
      <c r="AH310" s="14"/>
      <c r="AI310" s="14">
        <v>0.21246487713595699</v>
      </c>
      <c r="AJ310" s="14">
        <v>0.24001468578774299</v>
      </c>
      <c r="AK310" s="14">
        <v>0.20056540015801</v>
      </c>
      <c r="AL310" s="14">
        <v>0.19351503006538301</v>
      </c>
      <c r="AM310" s="14">
        <v>0.175304961672583</v>
      </c>
      <c r="AN310" s="14">
        <v>0.100172898269497</v>
      </c>
      <c r="AO310" s="14"/>
      <c r="AP310" s="14">
        <v>0.20236160093372499</v>
      </c>
      <c r="AQ310" s="14">
        <v>0.19735895128373601</v>
      </c>
      <c r="AR310" s="14"/>
      <c r="AS310" s="14">
        <v>0.231559453367398</v>
      </c>
      <c r="AT310" s="14">
        <v>0.23351180253638301</v>
      </c>
      <c r="AU310" s="14">
        <v>0.182134900956852</v>
      </c>
      <c r="AV310" s="14"/>
      <c r="AW310" s="14">
        <v>0.20274734341528799</v>
      </c>
      <c r="AX310" s="14">
        <v>0.21338807678628699</v>
      </c>
      <c r="AY310" s="14"/>
      <c r="AZ310" s="14">
        <v>0.19907083258763</v>
      </c>
      <c r="BA310" s="14">
        <v>0.20930236686118101</v>
      </c>
    </row>
    <row r="311" spans="2:53" x14ac:dyDescent="0.35">
      <c r="B311" t="s">
        <v>141</v>
      </c>
      <c r="C311" s="14">
        <v>0.549867661282612</v>
      </c>
      <c r="D311" s="14">
        <v>0.50561191335714695</v>
      </c>
      <c r="E311" s="14">
        <v>0.59469190055688104</v>
      </c>
      <c r="F311" s="14"/>
      <c r="G311" s="14">
        <v>0.42025317145732299</v>
      </c>
      <c r="H311" s="14">
        <v>0.550450564537458</v>
      </c>
      <c r="I311" s="14">
        <v>0.55755401059242404</v>
      </c>
      <c r="J311" s="14">
        <v>0.55551616128187897</v>
      </c>
      <c r="K311" s="14">
        <v>0.51300188078434605</v>
      </c>
      <c r="L311" s="14">
        <v>0.480540405072721</v>
      </c>
      <c r="M311" s="14"/>
      <c r="N311" s="14">
        <v>0.58373675021760396</v>
      </c>
      <c r="O311" s="14">
        <v>0.60255619178959197</v>
      </c>
      <c r="P311" s="14">
        <v>0.51248997170881805</v>
      </c>
      <c r="Q311" s="14">
        <v>0.48764010710133898</v>
      </c>
      <c r="R311" s="14"/>
      <c r="S311" s="14">
        <v>0.49445085671058697</v>
      </c>
      <c r="T311" s="14">
        <v>0.56648251267905603</v>
      </c>
      <c r="U311" s="14">
        <v>0.58678627855032195</v>
      </c>
      <c r="V311" s="14">
        <v>0.56913053800203595</v>
      </c>
      <c r="W311" s="14">
        <v>0.50481800180472003</v>
      </c>
      <c r="X311" s="14">
        <v>0.51013393350938196</v>
      </c>
      <c r="Y311" s="14">
        <v>0.59434539398964203</v>
      </c>
      <c r="Z311" s="14">
        <v>0.57616256377686403</v>
      </c>
      <c r="AA311" s="14">
        <v>0.57028827900550505</v>
      </c>
      <c r="AB311" s="14"/>
      <c r="AC311" s="14">
        <v>0.53155378861581304</v>
      </c>
      <c r="AD311" s="14">
        <v>0.54988971568726297</v>
      </c>
      <c r="AE311" s="14">
        <v>0.59040957964762497</v>
      </c>
      <c r="AF311" s="14">
        <v>0.50618257430242097</v>
      </c>
      <c r="AG311" s="14">
        <v>0.542332416852779</v>
      </c>
      <c r="AH311" s="14"/>
      <c r="AI311" s="14">
        <v>0.52324738204740595</v>
      </c>
      <c r="AJ311" s="14">
        <v>0.49087888797486201</v>
      </c>
      <c r="AK311" s="14">
        <v>0.51459974256261498</v>
      </c>
      <c r="AL311" s="14">
        <v>0.57076589089261098</v>
      </c>
      <c r="AM311" s="14">
        <v>0.63524004206405604</v>
      </c>
      <c r="AN311" s="14">
        <v>0.67201180814739803</v>
      </c>
      <c r="AO311" s="14"/>
      <c r="AP311" s="14">
        <v>0.55579576483392401</v>
      </c>
      <c r="AQ311" s="14">
        <v>0.54377397143983597</v>
      </c>
      <c r="AR311" s="14"/>
      <c r="AS311" s="14">
        <v>0.516197064199031</v>
      </c>
      <c r="AT311" s="14">
        <v>0.55533429378650501</v>
      </c>
      <c r="AU311" s="14">
        <v>0.55731313585737496</v>
      </c>
      <c r="AV311" s="14"/>
      <c r="AW311" s="14">
        <v>0.56177618671422302</v>
      </c>
      <c r="AX311" s="14">
        <v>0.48318745767096399</v>
      </c>
      <c r="AY311" s="14"/>
      <c r="AZ311" s="14">
        <v>0.54556280167216098</v>
      </c>
      <c r="BA311" s="14">
        <v>0.57241723651154597</v>
      </c>
    </row>
    <row r="312" spans="2:53" x14ac:dyDescent="0.35">
      <c r="B312" t="s">
        <v>142</v>
      </c>
      <c r="C312" s="14">
        <v>5.2533169340470698E-2</v>
      </c>
      <c r="D312" s="14">
        <v>5.4230159062237097E-2</v>
      </c>
      <c r="E312" s="14">
        <v>4.9916239931970703E-2</v>
      </c>
      <c r="F312" s="14"/>
      <c r="G312" s="14">
        <v>8.1088258398355997E-2</v>
      </c>
      <c r="H312" s="14">
        <v>6.5546440124151006E-2</v>
      </c>
      <c r="I312" s="14">
        <v>5.9038960827524099E-2</v>
      </c>
      <c r="J312" s="14">
        <v>3.7800374188639498E-2</v>
      </c>
      <c r="K312" s="14">
        <v>5.3603741216482099E-2</v>
      </c>
      <c r="L312" s="14">
        <v>1.28417253195894E-2</v>
      </c>
      <c r="M312" s="14"/>
      <c r="N312" s="14">
        <v>5.4448710680372298E-2</v>
      </c>
      <c r="O312" s="14">
        <v>4.1354101236499102E-2</v>
      </c>
      <c r="P312" s="14">
        <v>6.5330172696884195E-2</v>
      </c>
      <c r="Q312" s="14">
        <v>5.1433978952286803E-2</v>
      </c>
      <c r="R312" s="14"/>
      <c r="S312" s="14">
        <v>5.6672347034822497E-2</v>
      </c>
      <c r="T312" s="14">
        <v>6.0912704824502902E-2</v>
      </c>
      <c r="U312" s="14">
        <v>5.5337753010786903E-2</v>
      </c>
      <c r="V312" s="14">
        <v>5.3988037725952197E-2</v>
      </c>
      <c r="W312" s="14">
        <v>7.9056729758834501E-2</v>
      </c>
      <c r="X312" s="14">
        <v>3.8699109950003197E-2</v>
      </c>
      <c r="Y312" s="14">
        <v>6.1904827877077302E-2</v>
      </c>
      <c r="Z312" s="14">
        <v>1.5769048380543702E-2</v>
      </c>
      <c r="AA312" s="14">
        <v>3.2890398351405101E-2</v>
      </c>
      <c r="AB312" s="14"/>
      <c r="AC312" s="14">
        <v>4.4733608665684002E-2</v>
      </c>
      <c r="AD312" s="14">
        <v>5.7953566938989301E-2</v>
      </c>
      <c r="AE312" s="14">
        <v>4.1770451374687101E-2</v>
      </c>
      <c r="AF312" s="14">
        <v>5.0213481380122799E-2</v>
      </c>
      <c r="AG312" s="14">
        <v>4.53786954756598E-2</v>
      </c>
      <c r="AH312" s="14"/>
      <c r="AI312" s="14">
        <v>5.4776349657084798E-2</v>
      </c>
      <c r="AJ312" s="14">
        <v>7.7590420024689605E-2</v>
      </c>
      <c r="AK312" s="14">
        <v>6.2730045610375096E-2</v>
      </c>
      <c r="AL312" s="14">
        <v>5.3142926589792E-2</v>
      </c>
      <c r="AM312" s="14">
        <v>3.54512974272055E-2</v>
      </c>
      <c r="AN312" s="14">
        <v>2.34491223922953E-2</v>
      </c>
      <c r="AO312" s="14"/>
      <c r="AP312" s="14">
        <v>5.6473051335420098E-2</v>
      </c>
      <c r="AQ312" s="14">
        <v>4.8269551719280601E-2</v>
      </c>
      <c r="AR312" s="14"/>
      <c r="AS312" s="14">
        <v>7.1781901710998297E-2</v>
      </c>
      <c r="AT312" s="14">
        <v>3.0259984215960101E-2</v>
      </c>
      <c r="AU312" s="14">
        <v>5.3938738491456598E-2</v>
      </c>
      <c r="AV312" s="14"/>
      <c r="AW312" s="14">
        <v>4.8489650568157898E-2</v>
      </c>
      <c r="AX312" s="14">
        <v>5.4809846395510502E-2</v>
      </c>
      <c r="AY312" s="14"/>
      <c r="AZ312" s="14">
        <v>5.3476334125129803E-2</v>
      </c>
      <c r="BA312" s="14">
        <v>5.0120964497950102E-2</v>
      </c>
    </row>
    <row r="313" spans="2:53" x14ac:dyDescent="0.35">
      <c r="B313" t="s">
        <v>143</v>
      </c>
      <c r="C313" s="14">
        <v>8.5158268597068498E-3</v>
      </c>
      <c r="D313" s="14">
        <v>8.3651327340938005E-3</v>
      </c>
      <c r="E313" s="14">
        <v>8.6748976968729196E-3</v>
      </c>
      <c r="F313" s="14"/>
      <c r="G313" s="14">
        <v>0</v>
      </c>
      <c r="H313" s="14">
        <v>4.0508284056585296E-3</v>
      </c>
      <c r="I313" s="14">
        <v>1.1181708854236101E-2</v>
      </c>
      <c r="J313" s="14">
        <v>3.33574694903139E-3</v>
      </c>
      <c r="K313" s="14">
        <v>2.1940821494052399E-2</v>
      </c>
      <c r="L313" s="14">
        <v>0</v>
      </c>
      <c r="M313" s="14"/>
      <c r="N313" s="14">
        <v>1.1634775076785101E-2</v>
      </c>
      <c r="O313" s="14">
        <v>4.2254546067172702E-3</v>
      </c>
      <c r="P313" s="14">
        <v>7.2725451961592998E-3</v>
      </c>
      <c r="Q313" s="14">
        <v>1.0798381234011001E-2</v>
      </c>
      <c r="R313" s="14"/>
      <c r="S313" s="14">
        <v>6.8673457389849101E-3</v>
      </c>
      <c r="T313" s="14">
        <v>1.8692553594506299E-2</v>
      </c>
      <c r="U313" s="14">
        <v>0</v>
      </c>
      <c r="V313" s="14">
        <v>8.2350220860531401E-3</v>
      </c>
      <c r="W313" s="14">
        <v>1.08445954029851E-2</v>
      </c>
      <c r="X313" s="14">
        <v>2.5239226152892901E-3</v>
      </c>
      <c r="Y313" s="14">
        <v>0</v>
      </c>
      <c r="Z313" s="14">
        <v>1.1455871478189101E-2</v>
      </c>
      <c r="AA313" s="14">
        <v>1.32897958076465E-2</v>
      </c>
      <c r="AB313" s="14"/>
      <c r="AC313" s="14">
        <v>1.1446770036283299E-2</v>
      </c>
      <c r="AD313" s="14">
        <v>2.8359205404854802E-3</v>
      </c>
      <c r="AE313" s="14">
        <v>1.8951653424161699E-3</v>
      </c>
      <c r="AF313" s="14">
        <v>2.2962826235734299E-2</v>
      </c>
      <c r="AG313" s="14">
        <v>1.06896053648414E-2</v>
      </c>
      <c r="AH313" s="14"/>
      <c r="AI313" s="14">
        <v>5.4422697469902904E-3</v>
      </c>
      <c r="AJ313" s="14">
        <v>9.7676875312547005E-3</v>
      </c>
      <c r="AK313" s="14">
        <v>3.0411482317557002E-2</v>
      </c>
      <c r="AL313" s="14">
        <v>0</v>
      </c>
      <c r="AM313" s="14">
        <v>0</v>
      </c>
      <c r="AN313" s="14">
        <v>8.0176144838958394E-3</v>
      </c>
      <c r="AO313" s="14"/>
      <c r="AP313" s="14">
        <v>5.2835722045274603E-3</v>
      </c>
      <c r="AQ313" s="14">
        <v>1.2180010969868101E-2</v>
      </c>
      <c r="AR313" s="14"/>
      <c r="AS313" s="14">
        <v>9.6114063120211896E-3</v>
      </c>
      <c r="AT313" s="14">
        <v>7.7161074489874798E-3</v>
      </c>
      <c r="AU313" s="14">
        <v>8.4574414300710894E-3</v>
      </c>
      <c r="AV313" s="14"/>
      <c r="AW313" s="14">
        <v>7.6189171473892096E-3</v>
      </c>
      <c r="AX313" s="14">
        <v>9.6468812933524998E-3</v>
      </c>
      <c r="AY313" s="14"/>
      <c r="AZ313" s="14">
        <v>7.5587958994859502E-3</v>
      </c>
      <c r="BA313" s="14">
        <v>1.22633091765503E-2</v>
      </c>
    </row>
    <row r="314" spans="2:53" x14ac:dyDescent="0.35">
      <c r="B314" t="s">
        <v>144</v>
      </c>
      <c r="C314" s="14">
        <v>8.1441398634737601E-4</v>
      </c>
      <c r="D314" s="14">
        <v>0</v>
      </c>
      <c r="E314" s="14">
        <v>1.6302687607635E-3</v>
      </c>
      <c r="F314" s="14"/>
      <c r="G314" s="14">
        <v>0</v>
      </c>
      <c r="H314" s="14">
        <v>0</v>
      </c>
      <c r="I314" s="14">
        <v>1.8646063822954099E-3</v>
      </c>
      <c r="J314" s="14">
        <v>0</v>
      </c>
      <c r="K314" s="14">
        <v>0</v>
      </c>
      <c r="L314" s="14">
        <v>0</v>
      </c>
      <c r="M314" s="14"/>
      <c r="N314" s="14">
        <v>0</v>
      </c>
      <c r="O314" s="14">
        <v>3.1434857473949499E-3</v>
      </c>
      <c r="P314" s="14">
        <v>0</v>
      </c>
      <c r="Q314" s="14">
        <v>0</v>
      </c>
      <c r="R314" s="14"/>
      <c r="S314" s="14">
        <v>2.62261672600995E-3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3.0468803996828702E-3</v>
      </c>
      <c r="AB314" s="14"/>
      <c r="AC314" s="14">
        <v>0</v>
      </c>
      <c r="AD314" s="14">
        <v>0</v>
      </c>
      <c r="AE314" s="14">
        <v>0</v>
      </c>
      <c r="AF314" s="14">
        <v>5.4291858224478698E-3</v>
      </c>
      <c r="AG314" s="14">
        <v>0</v>
      </c>
      <c r="AH314" s="14"/>
      <c r="AI314" s="14">
        <v>1.19353711965185E-3</v>
      </c>
      <c r="AJ314" s="14">
        <v>0</v>
      </c>
      <c r="AK314" s="14">
        <v>0</v>
      </c>
      <c r="AL314" s="14">
        <v>0</v>
      </c>
      <c r="AM314" s="14">
        <v>0</v>
      </c>
      <c r="AN314" s="14">
        <v>5.33060943543662E-3</v>
      </c>
      <c r="AO314" s="14"/>
      <c r="AP314" s="14">
        <v>1.5405800735882099E-3</v>
      </c>
      <c r="AQ314" s="14">
        <v>0</v>
      </c>
      <c r="AR314" s="14"/>
      <c r="AS314" s="14">
        <v>0</v>
      </c>
      <c r="AT314" s="14">
        <v>2.2173653919854599E-3</v>
      </c>
      <c r="AU314" s="14">
        <v>6.18755174742742E-4</v>
      </c>
      <c r="AV314" s="14"/>
      <c r="AW314" s="14">
        <v>5.2618884360570105E-4</v>
      </c>
      <c r="AX314" s="14">
        <v>2.5414915752617101E-3</v>
      </c>
      <c r="AY314" s="14"/>
      <c r="AZ314" s="14">
        <v>5.3373619470191696E-4</v>
      </c>
      <c r="BA314" s="14">
        <v>1.8780867774556701E-3</v>
      </c>
    </row>
    <row r="315" spans="2:53" x14ac:dyDescent="0.35">
      <c r="B315" t="s">
        <v>80</v>
      </c>
      <c r="C315" s="14">
        <v>1.3831775173469301E-2</v>
      </c>
      <c r="D315" s="14">
        <v>7.9390967857332507E-3</v>
      </c>
      <c r="E315" s="14">
        <v>1.9742575427525999E-2</v>
      </c>
      <c r="F315" s="14"/>
      <c r="G315" s="14">
        <v>0</v>
      </c>
      <c r="H315" s="14">
        <v>1.3559439140751601E-2</v>
      </c>
      <c r="I315" s="14">
        <v>1.71369795014139E-2</v>
      </c>
      <c r="J315" s="14">
        <v>6.84839142238753E-3</v>
      </c>
      <c r="K315" s="14">
        <v>0</v>
      </c>
      <c r="L315" s="14">
        <v>0.148895097137344</v>
      </c>
      <c r="M315" s="14"/>
      <c r="N315" s="14">
        <v>2.15162945634943E-3</v>
      </c>
      <c r="O315" s="14">
        <v>4.11363536594963E-3</v>
      </c>
      <c r="P315" s="14">
        <v>1.8886682026542201E-2</v>
      </c>
      <c r="Q315" s="14">
        <v>3.2252132111075103E-2</v>
      </c>
      <c r="R315" s="14"/>
      <c r="S315" s="14">
        <v>8.2317533878038893E-3</v>
      </c>
      <c r="T315" s="14">
        <v>7.9444352722605905E-3</v>
      </c>
      <c r="U315" s="14">
        <v>1.54139969229918E-2</v>
      </c>
      <c r="V315" s="14">
        <v>4.4330167067371098E-2</v>
      </c>
      <c r="W315" s="14">
        <v>2.54913971643158E-2</v>
      </c>
      <c r="X315" s="14">
        <v>1.00236061832515E-2</v>
      </c>
      <c r="Y315" s="14">
        <v>2.6536762194060001E-3</v>
      </c>
      <c r="Z315" s="14">
        <v>0</v>
      </c>
      <c r="AA315" s="14">
        <v>9.7177614798670004E-3</v>
      </c>
      <c r="AB315" s="14"/>
      <c r="AC315" s="14">
        <v>2.0396235620388201E-2</v>
      </c>
      <c r="AD315" s="14">
        <v>1.23711630203202E-2</v>
      </c>
      <c r="AE315" s="14">
        <v>3.14505352184896E-3</v>
      </c>
      <c r="AF315" s="14">
        <v>6.8284160920130399E-3</v>
      </c>
      <c r="AG315" s="14">
        <v>0</v>
      </c>
      <c r="AH315" s="14"/>
      <c r="AI315" s="14">
        <v>1.39921385730718E-2</v>
      </c>
      <c r="AJ315" s="14">
        <v>3.6053276316378698E-3</v>
      </c>
      <c r="AK315" s="14">
        <v>1.3001601640146101E-2</v>
      </c>
      <c r="AL315" s="14">
        <v>1.0132625301288299E-2</v>
      </c>
      <c r="AM315" s="14">
        <v>0</v>
      </c>
      <c r="AN315" s="14">
        <v>3.44534619370346E-2</v>
      </c>
      <c r="AO315" s="14"/>
      <c r="AP315" s="14">
        <v>1.0385840588549401E-2</v>
      </c>
      <c r="AQ315" s="14">
        <v>1.7753511202221999E-2</v>
      </c>
      <c r="AR315" s="14"/>
      <c r="AS315" s="14">
        <v>3.78168356951394E-3</v>
      </c>
      <c r="AT315" s="14">
        <v>2.1429039817406102E-2</v>
      </c>
      <c r="AU315" s="14">
        <v>1.42901304629862E-2</v>
      </c>
      <c r="AV315" s="14"/>
      <c r="AW315" s="14">
        <v>1.3470774088680399E-2</v>
      </c>
      <c r="AX315" s="14">
        <v>3.53529993245738E-3</v>
      </c>
      <c r="AY315" s="14"/>
      <c r="AZ315" s="14">
        <v>7.9563643943801506E-3</v>
      </c>
      <c r="BA315" s="14">
        <v>2.0067509368786401E-2</v>
      </c>
    </row>
    <row r="316" spans="2:53" x14ac:dyDescent="0.35"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</row>
    <row r="317" spans="2:53" x14ac:dyDescent="0.35">
      <c r="B317" s="6" t="s">
        <v>149</v>
      </c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</row>
    <row r="318" spans="2:53" x14ac:dyDescent="0.35">
      <c r="B318" s="24" t="s">
        <v>118</v>
      </c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</row>
    <row r="319" spans="2:53" x14ac:dyDescent="0.35">
      <c r="B319" t="s">
        <v>139</v>
      </c>
      <c r="C319" s="14">
        <v>0.227132516325388</v>
      </c>
      <c r="D319" s="14">
        <v>0.23522707745755</v>
      </c>
      <c r="E319" s="14">
        <v>0.219251691072853</v>
      </c>
      <c r="F319" s="14"/>
      <c r="G319" s="14">
        <v>0.106726992300354</v>
      </c>
      <c r="H319" s="14">
        <v>0.24250033010977801</v>
      </c>
      <c r="I319" s="14">
        <v>0.23322334092855701</v>
      </c>
      <c r="J319" s="14">
        <v>0.20091823257116301</v>
      </c>
      <c r="K319" s="14">
        <v>0.27089893883766503</v>
      </c>
      <c r="L319" s="14">
        <v>0.19736456210621001</v>
      </c>
      <c r="M319" s="14"/>
      <c r="N319" s="14">
        <v>0.21063362608382899</v>
      </c>
      <c r="O319" s="14">
        <v>0.216920852454008</v>
      </c>
      <c r="P319" s="14">
        <v>0.242055012092602</v>
      </c>
      <c r="Q319" s="14">
        <v>0.24207840000247099</v>
      </c>
      <c r="R319" s="14"/>
      <c r="S319" s="14">
        <v>0.26506147448885498</v>
      </c>
      <c r="T319" s="14">
        <v>0.19960698653089801</v>
      </c>
      <c r="U319" s="14">
        <v>0.20872145873157799</v>
      </c>
      <c r="V319" s="14">
        <v>0.173402363566208</v>
      </c>
      <c r="W319" s="14">
        <v>0.21780601970122701</v>
      </c>
      <c r="X319" s="14">
        <v>0.30737551104576299</v>
      </c>
      <c r="Y319" s="14">
        <v>0.20751917722356999</v>
      </c>
      <c r="Z319" s="14">
        <v>0.228708746882749</v>
      </c>
      <c r="AA319" s="14">
        <v>0.23310542962308101</v>
      </c>
      <c r="AB319" s="14"/>
      <c r="AC319" s="14">
        <v>0.203048561441979</v>
      </c>
      <c r="AD319" s="14">
        <v>0.21718782593466401</v>
      </c>
      <c r="AE319" s="14">
        <v>0.22452403985719099</v>
      </c>
      <c r="AF319" s="14">
        <v>0.28827721124748701</v>
      </c>
      <c r="AG319" s="14">
        <v>0.26360566267263702</v>
      </c>
      <c r="AH319" s="14"/>
      <c r="AI319" s="14">
        <v>0.245852061179957</v>
      </c>
      <c r="AJ319" s="14">
        <v>0.245207498303844</v>
      </c>
      <c r="AK319" s="14">
        <v>0.17207533814616099</v>
      </c>
      <c r="AL319" s="14">
        <v>0.18542024056707501</v>
      </c>
      <c r="AM319" s="14">
        <v>0.23620603804836501</v>
      </c>
      <c r="AN319" s="14">
        <v>0.28456575760656999</v>
      </c>
      <c r="AO319" s="14"/>
      <c r="AP319" s="14">
        <v>0.220501003387964</v>
      </c>
      <c r="AQ319" s="14">
        <v>0.23329896475260201</v>
      </c>
      <c r="AR319" s="14"/>
      <c r="AS319" s="14">
        <v>0.22844143326449201</v>
      </c>
      <c r="AT319" s="14">
        <v>0.236052093373324</v>
      </c>
      <c r="AU319" s="14">
        <v>0.22414276493360599</v>
      </c>
      <c r="AV319" s="14"/>
      <c r="AW319" s="14">
        <v>0.225358840749874</v>
      </c>
      <c r="AX319" s="14">
        <v>0.27463572143875398</v>
      </c>
      <c r="AY319" s="14"/>
      <c r="AZ319" s="14">
        <v>0.226955215503645</v>
      </c>
      <c r="BA319" s="14">
        <v>0.23256914549353</v>
      </c>
    </row>
    <row r="320" spans="2:53" x14ac:dyDescent="0.35">
      <c r="B320" t="s">
        <v>140</v>
      </c>
      <c r="C320" s="14">
        <v>0.372068471105443</v>
      </c>
      <c r="D320" s="14">
        <v>0.34626595127179199</v>
      </c>
      <c r="E320" s="14">
        <v>0.39825234828192702</v>
      </c>
      <c r="F320" s="14"/>
      <c r="G320" s="14">
        <v>5.8383768941911898E-2</v>
      </c>
      <c r="H320" s="14">
        <v>0.35934284803648198</v>
      </c>
      <c r="I320" s="14">
        <v>0.380459728303642</v>
      </c>
      <c r="J320" s="14">
        <v>0.39522780934809998</v>
      </c>
      <c r="K320" s="14">
        <v>0.32267044757499402</v>
      </c>
      <c r="L320" s="14">
        <v>0.20723275045144501</v>
      </c>
      <c r="M320" s="14"/>
      <c r="N320" s="14">
        <v>0.39358866581454599</v>
      </c>
      <c r="O320" s="14">
        <v>0.38535421680844201</v>
      </c>
      <c r="P320" s="14">
        <v>0.35364320228042501</v>
      </c>
      <c r="Q320" s="14">
        <v>0.35200960402120302</v>
      </c>
      <c r="R320" s="14"/>
      <c r="S320" s="14">
        <v>0.35253986112532498</v>
      </c>
      <c r="T320" s="14">
        <v>0.40078458576957399</v>
      </c>
      <c r="U320" s="14">
        <v>0.32440064142764402</v>
      </c>
      <c r="V320" s="14">
        <v>0.39446595303968901</v>
      </c>
      <c r="W320" s="14">
        <v>0.34661632729875902</v>
      </c>
      <c r="X320" s="14">
        <v>0.35929968214622798</v>
      </c>
      <c r="Y320" s="14">
        <v>0.35085221093395202</v>
      </c>
      <c r="Z320" s="14">
        <v>0.42309153823115098</v>
      </c>
      <c r="AA320" s="14">
        <v>0.402899793989067</v>
      </c>
      <c r="AB320" s="14"/>
      <c r="AC320" s="14">
        <v>0.36265096228070698</v>
      </c>
      <c r="AD320" s="14">
        <v>0.42750071347333002</v>
      </c>
      <c r="AE320" s="14">
        <v>0.354631778207669</v>
      </c>
      <c r="AF320" s="14">
        <v>0.33405031666442198</v>
      </c>
      <c r="AG320" s="14">
        <v>0.30425844209188202</v>
      </c>
      <c r="AH320" s="14"/>
      <c r="AI320" s="14">
        <v>0.37018602622046398</v>
      </c>
      <c r="AJ320" s="14">
        <v>0.40553220040340299</v>
      </c>
      <c r="AK320" s="14">
        <v>0.38339839819978</v>
      </c>
      <c r="AL320" s="14">
        <v>0.35495295647089198</v>
      </c>
      <c r="AM320" s="14">
        <v>0.29313851756082099</v>
      </c>
      <c r="AN320" s="14">
        <v>0.368791819361597</v>
      </c>
      <c r="AO320" s="14"/>
      <c r="AP320" s="14">
        <v>0.37769075102774402</v>
      </c>
      <c r="AQ320" s="14">
        <v>0.36694170652139302</v>
      </c>
      <c r="AR320" s="14"/>
      <c r="AS320" s="14">
        <v>0.35856578367420799</v>
      </c>
      <c r="AT320" s="14">
        <v>0.39596829877775602</v>
      </c>
      <c r="AU320" s="14">
        <v>0.36863545051246699</v>
      </c>
      <c r="AV320" s="14"/>
      <c r="AW320" s="14">
        <v>0.39099361944955402</v>
      </c>
      <c r="AX320" s="14">
        <v>0.31732955024947102</v>
      </c>
      <c r="AY320" s="14"/>
      <c r="AZ320" s="14">
        <v>0.36895919162673502</v>
      </c>
      <c r="BA320" s="14">
        <v>0.39148475120070703</v>
      </c>
    </row>
    <row r="321" spans="2:53" x14ac:dyDescent="0.35">
      <c r="B321" t="s">
        <v>141</v>
      </c>
      <c r="C321" s="14">
        <v>0.30328530523033698</v>
      </c>
      <c r="D321" s="14">
        <v>0.31621454969847002</v>
      </c>
      <c r="E321" s="14">
        <v>0.28967024763110999</v>
      </c>
      <c r="F321" s="14"/>
      <c r="G321" s="14">
        <v>0.53191764345609605</v>
      </c>
      <c r="H321" s="14">
        <v>0.29013078438360901</v>
      </c>
      <c r="I321" s="14">
        <v>0.30090459955582699</v>
      </c>
      <c r="J321" s="14">
        <v>0.30133084148552902</v>
      </c>
      <c r="K321" s="14">
        <v>0.309941969993484</v>
      </c>
      <c r="L321" s="14">
        <v>0.41888562258040701</v>
      </c>
      <c r="M321" s="14"/>
      <c r="N321" s="14">
        <v>0.30205009789051401</v>
      </c>
      <c r="O321" s="14">
        <v>0.34190799646623399</v>
      </c>
      <c r="P321" s="14">
        <v>0.28310427284779699</v>
      </c>
      <c r="Q321" s="14">
        <v>0.28069117756718198</v>
      </c>
      <c r="R321" s="14"/>
      <c r="S321" s="14">
        <v>0.30293658521969202</v>
      </c>
      <c r="T321" s="14">
        <v>0.30062365304005101</v>
      </c>
      <c r="U321" s="14">
        <v>0.41645116818427402</v>
      </c>
      <c r="V321" s="14">
        <v>0.27437325780629601</v>
      </c>
      <c r="W321" s="14">
        <v>0.309593700447375</v>
      </c>
      <c r="X321" s="14">
        <v>0.23968881506135301</v>
      </c>
      <c r="Y321" s="14">
        <v>0.30337535727232401</v>
      </c>
      <c r="Z321" s="14">
        <v>0.29766751702809702</v>
      </c>
      <c r="AA321" s="14">
        <v>0.290908450205762</v>
      </c>
      <c r="AB321" s="14"/>
      <c r="AC321" s="14">
        <v>0.30953265184635798</v>
      </c>
      <c r="AD321" s="14">
        <v>0.27081052192462102</v>
      </c>
      <c r="AE321" s="14">
        <v>0.346915752127743</v>
      </c>
      <c r="AF321" s="14">
        <v>0.29923646201355503</v>
      </c>
      <c r="AG321" s="14">
        <v>0.29443585820541002</v>
      </c>
      <c r="AH321" s="14"/>
      <c r="AI321" s="14">
        <v>0.279991094007988</v>
      </c>
      <c r="AJ321" s="14">
        <v>0.24640880869201401</v>
      </c>
      <c r="AK321" s="14">
        <v>0.35616274442047802</v>
      </c>
      <c r="AL321" s="14">
        <v>0.34936385044532497</v>
      </c>
      <c r="AM321" s="14">
        <v>0.44581756075210199</v>
      </c>
      <c r="AN321" s="14">
        <v>0.26000005432519602</v>
      </c>
      <c r="AO321" s="14"/>
      <c r="AP321" s="14">
        <v>0.31891985551838198</v>
      </c>
      <c r="AQ321" s="14">
        <v>0.28547582555419698</v>
      </c>
      <c r="AR321" s="14"/>
      <c r="AS321" s="14">
        <v>0.28477668641503801</v>
      </c>
      <c r="AT321" s="14">
        <v>0.28803880234658402</v>
      </c>
      <c r="AU321" s="14">
        <v>0.31277493773770998</v>
      </c>
      <c r="AV321" s="14"/>
      <c r="AW321" s="14">
        <v>0.30466293509658499</v>
      </c>
      <c r="AX321" s="14">
        <v>0.29518475799472899</v>
      </c>
      <c r="AY321" s="14"/>
      <c r="AZ321" s="14">
        <v>0.30777947601417999</v>
      </c>
      <c r="BA321" s="14">
        <v>0.28784189325460902</v>
      </c>
    </row>
    <row r="322" spans="2:53" x14ac:dyDescent="0.35">
      <c r="B322" t="s">
        <v>142</v>
      </c>
      <c r="C322" s="14">
        <v>6.0002112103749401E-2</v>
      </c>
      <c r="D322" s="14">
        <v>7.1737779598042797E-2</v>
      </c>
      <c r="E322" s="14">
        <v>4.8315233734461602E-2</v>
      </c>
      <c r="F322" s="14"/>
      <c r="G322" s="14">
        <v>0.108614905515542</v>
      </c>
      <c r="H322" s="14">
        <v>7.9781932517137194E-2</v>
      </c>
      <c r="I322" s="14">
        <v>4.4054662705147102E-2</v>
      </c>
      <c r="J322" s="14">
        <v>6.8049507748351598E-2</v>
      </c>
      <c r="K322" s="14">
        <v>8.4262998791409194E-2</v>
      </c>
      <c r="L322" s="14">
        <v>0</v>
      </c>
      <c r="M322" s="14"/>
      <c r="N322" s="14">
        <v>6.9824672209733193E-2</v>
      </c>
      <c r="O322" s="14">
        <v>3.2100548883570001E-2</v>
      </c>
      <c r="P322" s="14">
        <v>7.2663852962000994E-2</v>
      </c>
      <c r="Q322" s="14">
        <v>6.7944319897765906E-2</v>
      </c>
      <c r="R322" s="14"/>
      <c r="S322" s="14">
        <v>5.3761580311099101E-2</v>
      </c>
      <c r="T322" s="14">
        <v>6.9427243793235505E-2</v>
      </c>
      <c r="U322" s="14">
        <v>3.5315433279130698E-2</v>
      </c>
      <c r="V322" s="14">
        <v>6.5976791995339096E-2</v>
      </c>
      <c r="W322" s="14">
        <v>6.2916830049409997E-2</v>
      </c>
      <c r="X322" s="14">
        <v>6.4692178329416705E-2</v>
      </c>
      <c r="Y322" s="14">
        <v>0.106876487036159</v>
      </c>
      <c r="Z322" s="14">
        <v>5.0532197858002698E-2</v>
      </c>
      <c r="AA322" s="14">
        <v>3.1871142041142497E-2</v>
      </c>
      <c r="AB322" s="14"/>
      <c r="AC322" s="14">
        <v>7.5070296701170505E-2</v>
      </c>
      <c r="AD322" s="14">
        <v>5.48441580391806E-2</v>
      </c>
      <c r="AE322" s="14">
        <v>5.4768032214196197E-2</v>
      </c>
      <c r="AF322" s="14">
        <v>5.6449763586123601E-2</v>
      </c>
      <c r="AG322" s="14">
        <v>0.108351054147401</v>
      </c>
      <c r="AH322" s="14"/>
      <c r="AI322" s="14">
        <v>6.2238994023547801E-2</v>
      </c>
      <c r="AJ322" s="14">
        <v>7.8300373465217704E-2</v>
      </c>
      <c r="AK322" s="14">
        <v>4.8567199067586199E-2</v>
      </c>
      <c r="AL322" s="14">
        <v>6.2919166501770499E-2</v>
      </c>
      <c r="AM322" s="14">
        <v>2.4837883638712002E-2</v>
      </c>
      <c r="AN322" s="14">
        <v>5.6947717968823697E-2</v>
      </c>
      <c r="AO322" s="14"/>
      <c r="AP322" s="14">
        <v>4.7543019793834101E-2</v>
      </c>
      <c r="AQ322" s="14">
        <v>7.4213710186644105E-2</v>
      </c>
      <c r="AR322" s="14"/>
      <c r="AS322" s="14">
        <v>8.9117759359096799E-2</v>
      </c>
      <c r="AT322" s="14">
        <v>4.6808225977236897E-2</v>
      </c>
      <c r="AU322" s="14">
        <v>5.60674452205761E-2</v>
      </c>
      <c r="AV322" s="14"/>
      <c r="AW322" s="14">
        <v>4.6678799293016597E-2</v>
      </c>
      <c r="AX322" s="14">
        <v>8.6710643077356001E-2</v>
      </c>
      <c r="AY322" s="14"/>
      <c r="AZ322" s="14">
        <v>6.4485049677919695E-2</v>
      </c>
      <c r="BA322" s="14">
        <v>4.4548367671978201E-2</v>
      </c>
    </row>
    <row r="323" spans="2:53" x14ac:dyDescent="0.35">
      <c r="B323" t="s">
        <v>143</v>
      </c>
      <c r="C323" s="14">
        <v>1.17401338396177E-2</v>
      </c>
      <c r="D323" s="14">
        <v>1.35610599211058E-2</v>
      </c>
      <c r="E323" s="14">
        <v>9.92913398279263E-3</v>
      </c>
      <c r="F323" s="14"/>
      <c r="G323" s="14">
        <v>8.1088258398355997E-2</v>
      </c>
      <c r="H323" s="14">
        <v>8.6599967607067507E-3</v>
      </c>
      <c r="I323" s="14">
        <v>1.5782686502257701E-2</v>
      </c>
      <c r="J323" s="14">
        <v>6.6114082734008497E-3</v>
      </c>
      <c r="K323" s="14">
        <v>1.22256448024476E-2</v>
      </c>
      <c r="L323" s="14">
        <v>0</v>
      </c>
      <c r="M323" s="14"/>
      <c r="N323" s="14">
        <v>1.4647717440385601E-2</v>
      </c>
      <c r="O323" s="14">
        <v>8.8332468951287397E-3</v>
      </c>
      <c r="P323" s="14">
        <v>6.60699751932087E-3</v>
      </c>
      <c r="Q323" s="14">
        <v>1.6272793243192699E-2</v>
      </c>
      <c r="R323" s="14"/>
      <c r="S323" s="14">
        <v>1.7468745555477699E-2</v>
      </c>
      <c r="T323" s="14">
        <v>1.41843496800662E-2</v>
      </c>
      <c r="U323" s="14">
        <v>7.7624231997152904E-3</v>
      </c>
      <c r="V323" s="14">
        <v>0</v>
      </c>
      <c r="W323" s="14">
        <v>1.6673893107673501E-2</v>
      </c>
      <c r="X323" s="14">
        <v>4.7789180121083604E-3</v>
      </c>
      <c r="Y323" s="14">
        <v>7.8895096647002092E-3</v>
      </c>
      <c r="Z323" s="14">
        <v>0</v>
      </c>
      <c r="AA323" s="14">
        <v>2.4136848735690698E-2</v>
      </c>
      <c r="AB323" s="14"/>
      <c r="AC323" s="14">
        <v>1.33374887301933E-2</v>
      </c>
      <c r="AD323" s="14">
        <v>6.3984253591510996E-3</v>
      </c>
      <c r="AE323" s="14">
        <v>9.2287749155290193E-3</v>
      </c>
      <c r="AF323" s="14">
        <v>1.1829259173316601E-2</v>
      </c>
      <c r="AG323" s="14">
        <v>2.9348982882669301E-2</v>
      </c>
      <c r="AH323" s="14"/>
      <c r="AI323" s="14">
        <v>1.36564374450776E-2</v>
      </c>
      <c r="AJ323" s="14">
        <v>1.1884035924153401E-2</v>
      </c>
      <c r="AK323" s="14">
        <v>2.05379048275477E-2</v>
      </c>
      <c r="AL323" s="14">
        <v>1.2351017443606799E-2</v>
      </c>
      <c r="AM323" s="14">
        <v>0</v>
      </c>
      <c r="AN323" s="14">
        <v>6.4587173363788702E-3</v>
      </c>
      <c r="AO323" s="14"/>
      <c r="AP323" s="14">
        <v>1.5352835918622999E-2</v>
      </c>
      <c r="AQ323" s="14">
        <v>7.7131732041233097E-3</v>
      </c>
      <c r="AR323" s="14"/>
      <c r="AS323" s="14">
        <v>2.0271572805921699E-2</v>
      </c>
      <c r="AT323" s="14">
        <v>7.8598208222203907E-3</v>
      </c>
      <c r="AU323" s="14">
        <v>1.05914161322553E-2</v>
      </c>
      <c r="AV323" s="14"/>
      <c r="AW323" s="14">
        <v>9.2994761441102698E-3</v>
      </c>
      <c r="AX323" s="14">
        <v>1.9196022438936099E-2</v>
      </c>
      <c r="AY323" s="14"/>
      <c r="AZ323" s="14">
        <v>1.16748554893871E-2</v>
      </c>
      <c r="BA323" s="14">
        <v>1.2230374210427501E-2</v>
      </c>
    </row>
    <row r="324" spans="2:53" x14ac:dyDescent="0.35">
      <c r="B324" t="s">
        <v>144</v>
      </c>
      <c r="C324" s="14">
        <v>9.1501034336422694E-3</v>
      </c>
      <c r="D324" s="14">
        <v>6.29945052178792E-3</v>
      </c>
      <c r="E324" s="14">
        <v>1.2011906872857501E-2</v>
      </c>
      <c r="F324" s="14"/>
      <c r="G324" s="14">
        <v>0.11326843138774099</v>
      </c>
      <c r="H324" s="14">
        <v>3.76005063781179E-3</v>
      </c>
      <c r="I324" s="14">
        <v>8.4279894421326901E-3</v>
      </c>
      <c r="J324" s="14">
        <v>1.4278968971047299E-2</v>
      </c>
      <c r="K324" s="14">
        <v>0</v>
      </c>
      <c r="L324" s="14">
        <v>0</v>
      </c>
      <c r="M324" s="14"/>
      <c r="N324" s="14">
        <v>6.1155515546907997E-3</v>
      </c>
      <c r="O324" s="14">
        <v>5.80071749001854E-3</v>
      </c>
      <c r="P324" s="14">
        <v>1.0996693069479899E-2</v>
      </c>
      <c r="Q324" s="14">
        <v>1.43880216549082E-2</v>
      </c>
      <c r="R324" s="14"/>
      <c r="S324" s="14">
        <v>0</v>
      </c>
      <c r="T324" s="14">
        <v>7.4287459139144897E-3</v>
      </c>
      <c r="U324" s="14">
        <v>0</v>
      </c>
      <c r="V324" s="14">
        <v>4.1535443780642702E-2</v>
      </c>
      <c r="W324" s="14">
        <v>2.0783912878282199E-2</v>
      </c>
      <c r="X324" s="14">
        <v>5.2446881107329297E-3</v>
      </c>
      <c r="Y324" s="14">
        <v>9.9613986309372796E-3</v>
      </c>
      <c r="Z324" s="14">
        <v>0</v>
      </c>
      <c r="AA324" s="14">
        <v>0</v>
      </c>
      <c r="AB324" s="14"/>
      <c r="AC324" s="14">
        <v>8.8040230261317298E-3</v>
      </c>
      <c r="AD324" s="14">
        <v>1.08871922487338E-2</v>
      </c>
      <c r="AE324" s="14">
        <v>4.1769222564244602E-3</v>
      </c>
      <c r="AF324" s="14">
        <v>3.4858088008566201E-3</v>
      </c>
      <c r="AG324" s="14">
        <v>0</v>
      </c>
      <c r="AH324" s="14"/>
      <c r="AI324" s="14">
        <v>9.1474941276112193E-3</v>
      </c>
      <c r="AJ324" s="14">
        <v>6.6978635797755896E-3</v>
      </c>
      <c r="AK324" s="14">
        <v>6.25681369830042E-3</v>
      </c>
      <c r="AL324" s="14">
        <v>1.53134280251414E-2</v>
      </c>
      <c r="AM324" s="14">
        <v>0</v>
      </c>
      <c r="AN324" s="14">
        <v>0</v>
      </c>
      <c r="AO324" s="14"/>
      <c r="AP324" s="14">
        <v>8.5495395864995799E-3</v>
      </c>
      <c r="AQ324" s="14">
        <v>9.8553105701346295E-3</v>
      </c>
      <c r="AR324" s="14"/>
      <c r="AS324" s="14">
        <v>1.50450809117295E-2</v>
      </c>
      <c r="AT324" s="14">
        <v>6.0610842774581602E-3</v>
      </c>
      <c r="AU324" s="14">
        <v>8.4769676301661608E-3</v>
      </c>
      <c r="AV324" s="14"/>
      <c r="AW324" s="14">
        <v>5.8233734300177304E-3</v>
      </c>
      <c r="AX324" s="14">
        <v>3.4080048682963199E-3</v>
      </c>
      <c r="AY324" s="14"/>
      <c r="AZ324" s="14">
        <v>1.0185538209805599E-2</v>
      </c>
      <c r="BA324" s="14">
        <v>5.4817126976878299E-3</v>
      </c>
    </row>
    <row r="325" spans="2:53" x14ac:dyDescent="0.35">
      <c r="B325" t="s">
        <v>80</v>
      </c>
      <c r="C325" s="14">
        <v>1.6621357961822701E-2</v>
      </c>
      <c r="D325" s="14">
        <v>1.0694131531251001E-2</v>
      </c>
      <c r="E325" s="14">
        <v>2.25694384239985E-2</v>
      </c>
      <c r="F325" s="14"/>
      <c r="G325" s="14">
        <v>0</v>
      </c>
      <c r="H325" s="14">
        <v>1.58240575544757E-2</v>
      </c>
      <c r="I325" s="14">
        <v>1.7146992562436101E-2</v>
      </c>
      <c r="J325" s="14">
        <v>1.35832316024081E-2</v>
      </c>
      <c r="K325" s="14">
        <v>0</v>
      </c>
      <c r="L325" s="14">
        <v>0.17651706486193799</v>
      </c>
      <c r="M325" s="14"/>
      <c r="N325" s="14">
        <v>3.1396690063019901E-3</v>
      </c>
      <c r="O325" s="14">
        <v>9.0824210025987392E-3</v>
      </c>
      <c r="P325" s="14">
        <v>3.0929969228373901E-2</v>
      </c>
      <c r="Q325" s="14">
        <v>2.6615683613277399E-2</v>
      </c>
      <c r="R325" s="14"/>
      <c r="S325" s="14">
        <v>8.2317532995508091E-3</v>
      </c>
      <c r="T325" s="14">
        <v>7.9444352722605905E-3</v>
      </c>
      <c r="U325" s="14">
        <v>7.3488751776576303E-3</v>
      </c>
      <c r="V325" s="14">
        <v>5.0246189811825902E-2</v>
      </c>
      <c r="W325" s="14">
        <v>2.5609316517273599E-2</v>
      </c>
      <c r="X325" s="14">
        <v>1.8920207294398E-2</v>
      </c>
      <c r="Y325" s="14">
        <v>1.3525859238357901E-2</v>
      </c>
      <c r="Z325" s="14">
        <v>0</v>
      </c>
      <c r="AA325" s="14">
        <v>1.7078335405256401E-2</v>
      </c>
      <c r="AB325" s="14"/>
      <c r="AC325" s="14">
        <v>2.75560159734606E-2</v>
      </c>
      <c r="AD325" s="14">
        <v>1.23711630203202E-2</v>
      </c>
      <c r="AE325" s="14">
        <v>5.7547004212469104E-3</v>
      </c>
      <c r="AF325" s="14">
        <v>6.6711785142391997E-3</v>
      </c>
      <c r="AG325" s="14">
        <v>0</v>
      </c>
      <c r="AH325" s="14"/>
      <c r="AI325" s="14">
        <v>1.89278929953548E-2</v>
      </c>
      <c r="AJ325" s="14">
        <v>5.9692196315934299E-3</v>
      </c>
      <c r="AK325" s="14">
        <v>1.3001601640146101E-2</v>
      </c>
      <c r="AL325" s="14">
        <v>1.9679340546189899E-2</v>
      </c>
      <c r="AM325" s="14">
        <v>0</v>
      </c>
      <c r="AN325" s="14">
        <v>2.32359334014339E-2</v>
      </c>
      <c r="AO325" s="14"/>
      <c r="AP325" s="14">
        <v>1.1442994766952701E-2</v>
      </c>
      <c r="AQ325" s="14">
        <v>2.2501309210906002E-2</v>
      </c>
      <c r="AR325" s="14"/>
      <c r="AS325" s="14">
        <v>3.78168356951394E-3</v>
      </c>
      <c r="AT325" s="14">
        <v>1.92116744254206E-2</v>
      </c>
      <c r="AU325" s="14">
        <v>1.9311017833219701E-2</v>
      </c>
      <c r="AV325" s="14"/>
      <c r="AW325" s="14">
        <v>1.7182955836843001E-2</v>
      </c>
      <c r="AX325" s="14">
        <v>3.53529993245738E-3</v>
      </c>
      <c r="AY325" s="14"/>
      <c r="AZ325" s="14">
        <v>9.9606734783273306E-3</v>
      </c>
      <c r="BA325" s="14">
        <v>2.5843755471061099E-2</v>
      </c>
    </row>
    <row r="326" spans="2:53" x14ac:dyDescent="0.35"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</row>
    <row r="327" spans="2:53" x14ac:dyDescent="0.35">
      <c r="B327" s="6" t="s">
        <v>150</v>
      </c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</row>
    <row r="328" spans="2:53" x14ac:dyDescent="0.35">
      <c r="B328" s="24" t="s">
        <v>118</v>
      </c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</row>
    <row r="329" spans="2:53" x14ac:dyDescent="0.35">
      <c r="B329" t="s">
        <v>139</v>
      </c>
      <c r="C329" s="14">
        <v>0.169359116215855</v>
      </c>
      <c r="D329" s="14">
        <v>0.21163179839148599</v>
      </c>
      <c r="E329" s="14">
        <v>0.127216829094247</v>
      </c>
      <c r="F329" s="14"/>
      <c r="G329" s="14">
        <v>0.37098275749590998</v>
      </c>
      <c r="H329" s="14">
        <v>0.17479691373593301</v>
      </c>
      <c r="I329" s="14">
        <v>0.17156415018480201</v>
      </c>
      <c r="J329" s="14">
        <v>0.16216592819324399</v>
      </c>
      <c r="K329" s="14">
        <v>0.159996847291693</v>
      </c>
      <c r="L329" s="14">
        <v>0.180639842426847</v>
      </c>
      <c r="M329" s="14"/>
      <c r="N329" s="14">
        <v>0.15076746943173899</v>
      </c>
      <c r="O329" s="14">
        <v>0.13783816592185599</v>
      </c>
      <c r="P329" s="14">
        <v>0.199936072758051</v>
      </c>
      <c r="Q329" s="14">
        <v>0.195814203045202</v>
      </c>
      <c r="R329" s="14"/>
      <c r="S329" s="14">
        <v>0.22964411535413301</v>
      </c>
      <c r="T329" s="14">
        <v>0.15013900645262501</v>
      </c>
      <c r="U329" s="14">
        <v>0.13148845227720499</v>
      </c>
      <c r="V329" s="14">
        <v>0.15314531027588499</v>
      </c>
      <c r="W329" s="14">
        <v>0.12755250147422301</v>
      </c>
      <c r="X329" s="14">
        <v>0.21199902462659201</v>
      </c>
      <c r="Y329" s="14">
        <v>0.17591680935749299</v>
      </c>
      <c r="Z329" s="14">
        <v>0.22996820528880599</v>
      </c>
      <c r="AA329" s="14">
        <v>0.129514716879436</v>
      </c>
      <c r="AB329" s="14"/>
      <c r="AC329" s="14">
        <v>0.164019518355661</v>
      </c>
      <c r="AD329" s="14">
        <v>0.17291854713914301</v>
      </c>
      <c r="AE329" s="14">
        <v>0.14970067498635201</v>
      </c>
      <c r="AF329" s="14">
        <v>0.202823431263156</v>
      </c>
      <c r="AG329" s="14">
        <v>0.25031078028162701</v>
      </c>
      <c r="AH329" s="14"/>
      <c r="AI329" s="14">
        <v>0.19479882930116599</v>
      </c>
      <c r="AJ329" s="14">
        <v>0.151477078067008</v>
      </c>
      <c r="AK329" s="14">
        <v>0.13981628092946999</v>
      </c>
      <c r="AL329" s="14">
        <v>0.19191504473217699</v>
      </c>
      <c r="AM329" s="14">
        <v>0.13477059118523099</v>
      </c>
      <c r="AN329" s="14">
        <v>0.169400960697658</v>
      </c>
      <c r="AO329" s="14"/>
      <c r="AP329" s="14">
        <v>0.175135204220534</v>
      </c>
      <c r="AQ329" s="14">
        <v>0.163406011759339</v>
      </c>
      <c r="AR329" s="14"/>
      <c r="AS329" s="14">
        <v>0.18243374641374299</v>
      </c>
      <c r="AT329" s="14">
        <v>0.16035011123091999</v>
      </c>
      <c r="AU329" s="14">
        <v>0.16850419699483099</v>
      </c>
      <c r="AV329" s="14"/>
      <c r="AW329" s="14">
        <v>0.16244383179719701</v>
      </c>
      <c r="AX329" s="14">
        <v>0.230409635442582</v>
      </c>
      <c r="AY329" s="14"/>
      <c r="AZ329" s="14">
        <v>0.176473789559562</v>
      </c>
      <c r="BA329" s="14">
        <v>0.146391815347689</v>
      </c>
    </row>
    <row r="330" spans="2:53" x14ac:dyDescent="0.35">
      <c r="B330" t="s">
        <v>140</v>
      </c>
      <c r="C330" s="14">
        <v>0.25471187767950199</v>
      </c>
      <c r="D330" s="14">
        <v>0.268287646207298</v>
      </c>
      <c r="E330" s="14">
        <v>0.241372200870616</v>
      </c>
      <c r="F330" s="14"/>
      <c r="G330" s="14">
        <v>0.11326843138774099</v>
      </c>
      <c r="H330" s="14">
        <v>0.208582359575294</v>
      </c>
      <c r="I330" s="14">
        <v>0.24703862384323799</v>
      </c>
      <c r="J330" s="14">
        <v>0.266983826030469</v>
      </c>
      <c r="K330" s="14">
        <v>0.313260415416791</v>
      </c>
      <c r="L330" s="14">
        <v>0.38077108354021399</v>
      </c>
      <c r="M330" s="14"/>
      <c r="N330" s="14">
        <v>0.25979782099797499</v>
      </c>
      <c r="O330" s="14">
        <v>0.256618555291169</v>
      </c>
      <c r="P330" s="14">
        <v>0.26486821794134802</v>
      </c>
      <c r="Q330" s="14">
        <v>0.23782455406490799</v>
      </c>
      <c r="R330" s="14"/>
      <c r="S330" s="14">
        <v>0.236970278033621</v>
      </c>
      <c r="T330" s="14">
        <v>0.231256418971857</v>
      </c>
      <c r="U330" s="14">
        <v>0.26739173684106199</v>
      </c>
      <c r="V330" s="14">
        <v>0.26101990969362798</v>
      </c>
      <c r="W330" s="14">
        <v>0.299813230016375</v>
      </c>
      <c r="X330" s="14">
        <v>0.27463758134694599</v>
      </c>
      <c r="Y330" s="14">
        <v>0.211231687740707</v>
      </c>
      <c r="Z330" s="14">
        <v>0.184617893507595</v>
      </c>
      <c r="AA330" s="14">
        <v>0.30413451192968899</v>
      </c>
      <c r="AB330" s="14"/>
      <c r="AC330" s="14">
        <v>0.27684517683147303</v>
      </c>
      <c r="AD330" s="14">
        <v>0.26436790318439202</v>
      </c>
      <c r="AE330" s="14">
        <v>0.24268777544372699</v>
      </c>
      <c r="AF330" s="14">
        <v>0.22741113605434399</v>
      </c>
      <c r="AG330" s="14">
        <v>0.17821000037724899</v>
      </c>
      <c r="AH330" s="14"/>
      <c r="AI330" s="14">
        <v>0.24670106866831301</v>
      </c>
      <c r="AJ330" s="14">
        <v>0.28379095889506001</v>
      </c>
      <c r="AK330" s="14">
        <v>0.29911271054528099</v>
      </c>
      <c r="AL330" s="14">
        <v>0.25528000619991797</v>
      </c>
      <c r="AM330" s="14">
        <v>0.28366562192289402</v>
      </c>
      <c r="AN330" s="14">
        <v>0.21641486041365501</v>
      </c>
      <c r="AO330" s="14"/>
      <c r="AP330" s="14">
        <v>0.26915330541725502</v>
      </c>
      <c r="AQ330" s="14">
        <v>0.23861731564526001</v>
      </c>
      <c r="AR330" s="14"/>
      <c r="AS330" s="14">
        <v>0.252412559041642</v>
      </c>
      <c r="AT330" s="14">
        <v>0.23305895129753301</v>
      </c>
      <c r="AU330" s="14">
        <v>0.261733371103271</v>
      </c>
      <c r="AV330" s="14"/>
      <c r="AW330" s="14">
        <v>0.25704340070259601</v>
      </c>
      <c r="AX330" s="14">
        <v>0.26771249103320799</v>
      </c>
      <c r="AY330" s="14"/>
      <c r="AZ330" s="14">
        <v>0.26169052228664602</v>
      </c>
      <c r="BA330" s="14">
        <v>0.23404635052184</v>
      </c>
    </row>
    <row r="331" spans="2:53" x14ac:dyDescent="0.35">
      <c r="B331" t="s">
        <v>141</v>
      </c>
      <c r="C331" s="14">
        <v>0.50024105298528299</v>
      </c>
      <c r="D331" s="14">
        <v>0.439551549783252</v>
      </c>
      <c r="E331" s="14">
        <v>0.56049455973520201</v>
      </c>
      <c r="F331" s="14"/>
      <c r="G331" s="14">
        <v>0.361869402515411</v>
      </c>
      <c r="H331" s="14">
        <v>0.529844935255946</v>
      </c>
      <c r="I331" s="14">
        <v>0.49883838546076398</v>
      </c>
      <c r="J331" s="14">
        <v>0.50801389650194895</v>
      </c>
      <c r="K331" s="14">
        <v>0.47620885241606498</v>
      </c>
      <c r="L331" s="14">
        <v>0.28969397689559501</v>
      </c>
      <c r="M331" s="14"/>
      <c r="N331" s="14">
        <v>0.53558064457809695</v>
      </c>
      <c r="O331" s="14">
        <v>0.53062282870005695</v>
      </c>
      <c r="P331" s="14">
        <v>0.47840990231879299</v>
      </c>
      <c r="Q331" s="14">
        <v>0.44879551097927001</v>
      </c>
      <c r="R331" s="14"/>
      <c r="S331" s="14">
        <v>0.43835960008628799</v>
      </c>
      <c r="T331" s="14">
        <v>0.53491826569946699</v>
      </c>
      <c r="U331" s="14">
        <v>0.55125494442104195</v>
      </c>
      <c r="V331" s="14">
        <v>0.50316349332941501</v>
      </c>
      <c r="W331" s="14">
        <v>0.48036629722659702</v>
      </c>
      <c r="X331" s="14">
        <v>0.42761871827278602</v>
      </c>
      <c r="Y331" s="14">
        <v>0.53923823028316997</v>
      </c>
      <c r="Z331" s="14">
        <v>0.54305492023943502</v>
      </c>
      <c r="AA331" s="14">
        <v>0.51514933744255398</v>
      </c>
      <c r="AB331" s="14"/>
      <c r="AC331" s="14">
        <v>0.46718239669589501</v>
      </c>
      <c r="AD331" s="14">
        <v>0.50023317140590395</v>
      </c>
      <c r="AE331" s="14">
        <v>0.55081494239072804</v>
      </c>
      <c r="AF331" s="14">
        <v>0.48438038665000799</v>
      </c>
      <c r="AG331" s="14">
        <v>0.53725660246031903</v>
      </c>
      <c r="AH331" s="14"/>
      <c r="AI331" s="14">
        <v>0.48307045925752901</v>
      </c>
      <c r="AJ331" s="14">
        <v>0.49504710518330602</v>
      </c>
      <c r="AK331" s="14">
        <v>0.472719693681662</v>
      </c>
      <c r="AL331" s="14">
        <v>0.48941896069986401</v>
      </c>
      <c r="AM331" s="14">
        <v>0.52971139809188506</v>
      </c>
      <c r="AN331" s="14">
        <v>0.52337393969910195</v>
      </c>
      <c r="AO331" s="14"/>
      <c r="AP331" s="14">
        <v>0.48504300174460502</v>
      </c>
      <c r="AQ331" s="14">
        <v>0.51639719389284</v>
      </c>
      <c r="AR331" s="14"/>
      <c r="AS331" s="14">
        <v>0.48548275820053</v>
      </c>
      <c r="AT331" s="14">
        <v>0.50959044729242997</v>
      </c>
      <c r="AU331" s="14">
        <v>0.50144845355651402</v>
      </c>
      <c r="AV331" s="14"/>
      <c r="AW331" s="14">
        <v>0.51625029806538403</v>
      </c>
      <c r="AX331" s="14">
        <v>0.40812169271827198</v>
      </c>
      <c r="AY331" s="14"/>
      <c r="AZ331" s="14">
        <v>0.49489465132149901</v>
      </c>
      <c r="BA331" s="14">
        <v>0.52563075894438405</v>
      </c>
    </row>
    <row r="332" spans="2:53" x14ac:dyDescent="0.35">
      <c r="B332" t="s">
        <v>142</v>
      </c>
      <c r="C332" s="14">
        <v>4.8283623509418498E-2</v>
      </c>
      <c r="D332" s="14">
        <v>5.9826693634964401E-2</v>
      </c>
      <c r="E332" s="14">
        <v>3.6778135264914198E-2</v>
      </c>
      <c r="F332" s="14"/>
      <c r="G332" s="14">
        <v>0.15387940860093799</v>
      </c>
      <c r="H332" s="14">
        <v>6.2395887167833702E-2</v>
      </c>
      <c r="I332" s="14">
        <v>4.8822221619846298E-2</v>
      </c>
      <c r="J332" s="14">
        <v>4.5587955882278798E-2</v>
      </c>
      <c r="K332" s="14">
        <v>3.3456541195904403E-2</v>
      </c>
      <c r="L332" s="14">
        <v>0</v>
      </c>
      <c r="M332" s="14"/>
      <c r="N332" s="14">
        <v>4.09814151238381E-2</v>
      </c>
      <c r="O332" s="14">
        <v>5.6559992331682601E-2</v>
      </c>
      <c r="P332" s="14">
        <v>2.5716466321501999E-2</v>
      </c>
      <c r="Q332" s="14">
        <v>6.7982253695245395E-2</v>
      </c>
      <c r="R332" s="14"/>
      <c r="S332" s="14">
        <v>7.2163014457827801E-2</v>
      </c>
      <c r="T332" s="14">
        <v>6.9278919081603899E-2</v>
      </c>
      <c r="U332" s="14">
        <v>2.7230413598587699E-2</v>
      </c>
      <c r="V332" s="14">
        <v>2.6395742065512099E-2</v>
      </c>
      <c r="W332" s="14">
        <v>3.8457252456174998E-2</v>
      </c>
      <c r="X332" s="14">
        <v>6.4300545843987797E-2</v>
      </c>
      <c r="Y332" s="14">
        <v>4.1252309131463799E-2</v>
      </c>
      <c r="Z332" s="14">
        <v>2.1282006232163499E-2</v>
      </c>
      <c r="AA332" s="14">
        <v>3.8095332955496497E-2</v>
      </c>
      <c r="AB332" s="14"/>
      <c r="AC332" s="14">
        <v>5.2474438887775601E-2</v>
      </c>
      <c r="AD332" s="14">
        <v>3.8129860481783601E-2</v>
      </c>
      <c r="AE332" s="14">
        <v>4.4645619611886497E-2</v>
      </c>
      <c r="AF332" s="14">
        <v>6.05638468402575E-2</v>
      </c>
      <c r="AG332" s="14">
        <v>2.20499793046415E-2</v>
      </c>
      <c r="AH332" s="14"/>
      <c r="AI332" s="14">
        <v>4.6325898247276801E-2</v>
      </c>
      <c r="AJ332" s="14">
        <v>6.0889177026012098E-2</v>
      </c>
      <c r="AK332" s="14">
        <v>5.57680522798824E-2</v>
      </c>
      <c r="AL332" s="14">
        <v>3.75996791070159E-2</v>
      </c>
      <c r="AM332" s="14">
        <v>5.1852388799988797E-2</v>
      </c>
      <c r="AN332" s="14">
        <v>2.6670786161671602E-2</v>
      </c>
      <c r="AO332" s="14"/>
      <c r="AP332" s="14">
        <v>4.8603832666898203E-2</v>
      </c>
      <c r="AQ332" s="14">
        <v>4.8078949994431797E-2</v>
      </c>
      <c r="AR332" s="14"/>
      <c r="AS332" s="14">
        <v>5.7184130998259301E-2</v>
      </c>
      <c r="AT332" s="14">
        <v>7.5787854843289801E-2</v>
      </c>
      <c r="AU332" s="14">
        <v>3.7755317165637299E-2</v>
      </c>
      <c r="AV332" s="14"/>
      <c r="AW332" s="14">
        <v>3.72294756420515E-2</v>
      </c>
      <c r="AX332" s="14">
        <v>7.2768436022003696E-2</v>
      </c>
      <c r="AY332" s="14"/>
      <c r="AZ332" s="14">
        <v>4.8191616438223901E-2</v>
      </c>
      <c r="BA332" s="14">
        <v>4.96418649101628E-2</v>
      </c>
    </row>
    <row r="333" spans="2:53" x14ac:dyDescent="0.35">
      <c r="B333" t="s">
        <v>143</v>
      </c>
      <c r="C333" s="14">
        <v>1.05734433995954E-2</v>
      </c>
      <c r="D333" s="14">
        <v>1.29497482872983E-2</v>
      </c>
      <c r="E333" s="14">
        <v>8.2054895347982194E-3</v>
      </c>
      <c r="F333" s="14"/>
      <c r="G333" s="14">
        <v>0</v>
      </c>
      <c r="H333" s="14">
        <v>1.0820465124240701E-2</v>
      </c>
      <c r="I333" s="14">
        <v>1.21334994318691E-2</v>
      </c>
      <c r="J333" s="14">
        <v>6.9179801079878901E-3</v>
      </c>
      <c r="K333" s="14">
        <v>1.70773436795464E-2</v>
      </c>
      <c r="L333" s="14">
        <v>0</v>
      </c>
      <c r="M333" s="14"/>
      <c r="N333" s="14">
        <v>1.07210204120015E-2</v>
      </c>
      <c r="O333" s="14">
        <v>1.17983333059448E-2</v>
      </c>
      <c r="P333" s="14">
        <v>9.4785130813847696E-3</v>
      </c>
      <c r="Q333" s="14">
        <v>1.02279582820968E-2</v>
      </c>
      <c r="R333" s="14"/>
      <c r="S333" s="14">
        <v>1.35408236308174E-2</v>
      </c>
      <c r="T333" s="14">
        <v>6.4629545221859203E-3</v>
      </c>
      <c r="U333" s="14">
        <v>0</v>
      </c>
      <c r="V333" s="14">
        <v>1.19453775681885E-2</v>
      </c>
      <c r="W333" s="14">
        <v>2.8319321662314299E-2</v>
      </c>
      <c r="X333" s="14">
        <v>5.8994042383547799E-3</v>
      </c>
      <c r="Y333" s="14">
        <v>1.5707163265807199E-2</v>
      </c>
      <c r="Z333" s="14">
        <v>2.10769747320011E-2</v>
      </c>
      <c r="AA333" s="14">
        <v>2.2782204522131199E-3</v>
      </c>
      <c r="AB333" s="14"/>
      <c r="AC333" s="14">
        <v>1.26895971103955E-2</v>
      </c>
      <c r="AD333" s="14">
        <v>9.6606556633702292E-3</v>
      </c>
      <c r="AE333" s="14">
        <v>6.6021532918857304E-3</v>
      </c>
      <c r="AF333" s="14">
        <v>1.8150020677995399E-2</v>
      </c>
      <c r="AG333" s="14">
        <v>1.21726375761637E-2</v>
      </c>
      <c r="AH333" s="14"/>
      <c r="AI333" s="14">
        <v>1.45306865062444E-2</v>
      </c>
      <c r="AJ333" s="14">
        <v>5.1903531969763996E-3</v>
      </c>
      <c r="AK333" s="14">
        <v>1.5178351832629E-2</v>
      </c>
      <c r="AL333" s="14">
        <v>1.20589015685606E-2</v>
      </c>
      <c r="AM333" s="14">
        <v>0</v>
      </c>
      <c r="AN333" s="14">
        <v>4.7963846130627298E-3</v>
      </c>
      <c r="AO333" s="14"/>
      <c r="AP333" s="14">
        <v>1.22738516468226E-2</v>
      </c>
      <c r="AQ333" s="14">
        <v>8.6943214432137206E-3</v>
      </c>
      <c r="AR333" s="14"/>
      <c r="AS333" s="14">
        <v>1.26133897099174E-2</v>
      </c>
      <c r="AT333" s="14">
        <v>3.5408060061533301E-3</v>
      </c>
      <c r="AU333" s="14">
        <v>1.2103939913683999E-2</v>
      </c>
      <c r="AV333" s="14"/>
      <c r="AW333" s="14">
        <v>9.5712124114268101E-3</v>
      </c>
      <c r="AX333" s="14">
        <v>1.7452444851477299E-2</v>
      </c>
      <c r="AY333" s="14"/>
      <c r="AZ333" s="14">
        <v>9.1026033577330107E-3</v>
      </c>
      <c r="BA333" s="14">
        <v>1.6280002419584699E-2</v>
      </c>
    </row>
    <row r="334" spans="2:53" x14ac:dyDescent="0.35">
      <c r="B334" t="s">
        <v>144</v>
      </c>
      <c r="C334" s="14">
        <v>1.0796170306227499E-3</v>
      </c>
      <c r="D334" s="14">
        <v>0</v>
      </c>
      <c r="E334" s="14">
        <v>2.1611440227179402E-3</v>
      </c>
      <c r="F334" s="14"/>
      <c r="G334" s="14">
        <v>0</v>
      </c>
      <c r="H334" s="14">
        <v>0</v>
      </c>
      <c r="I334" s="14">
        <v>2.4717905628837801E-3</v>
      </c>
      <c r="J334" s="14">
        <v>0</v>
      </c>
      <c r="K334" s="14">
        <v>0</v>
      </c>
      <c r="L334" s="14">
        <v>0</v>
      </c>
      <c r="M334" s="14"/>
      <c r="N334" s="14">
        <v>0</v>
      </c>
      <c r="O334" s="14">
        <v>1.3732672691882E-3</v>
      </c>
      <c r="P334" s="14">
        <v>0</v>
      </c>
      <c r="Q334" s="14">
        <v>2.9023518253739802E-3</v>
      </c>
      <c r="R334" s="14"/>
      <c r="S334" s="14">
        <v>0</v>
      </c>
      <c r="T334" s="14">
        <v>0</v>
      </c>
      <c r="U334" s="14">
        <v>7.22045593911188E-3</v>
      </c>
      <c r="V334" s="14">
        <v>0</v>
      </c>
      <c r="W334" s="14">
        <v>0</v>
      </c>
      <c r="X334" s="14">
        <v>0</v>
      </c>
      <c r="Y334" s="14">
        <v>3.5490135815875999E-3</v>
      </c>
      <c r="Z334" s="14">
        <v>0</v>
      </c>
      <c r="AA334" s="14">
        <v>0</v>
      </c>
      <c r="AB334" s="14"/>
      <c r="AC334" s="14">
        <v>3.6225410625330299E-3</v>
      </c>
      <c r="AD334" s="14">
        <v>0</v>
      </c>
      <c r="AE334" s="14">
        <v>1.2258757432889701E-3</v>
      </c>
      <c r="AF334" s="14">
        <v>0</v>
      </c>
      <c r="AG334" s="14">
        <v>0</v>
      </c>
      <c r="AH334" s="14"/>
      <c r="AI334" s="14">
        <v>1.0134687400600499E-3</v>
      </c>
      <c r="AJ334" s="14">
        <v>0</v>
      </c>
      <c r="AK334" s="14">
        <v>0</v>
      </c>
      <c r="AL334" s="14">
        <v>0</v>
      </c>
      <c r="AM334" s="14">
        <v>0</v>
      </c>
      <c r="AN334" s="14">
        <v>9.7580363142050902E-3</v>
      </c>
      <c r="AO334" s="14"/>
      <c r="AP334" s="14">
        <v>6.7301981323614798E-4</v>
      </c>
      <c r="AQ334" s="14">
        <v>1.5405752510669699E-3</v>
      </c>
      <c r="AR334" s="14"/>
      <c r="AS334" s="14">
        <v>0</v>
      </c>
      <c r="AT334" s="14">
        <v>1.8828325261670701E-3</v>
      </c>
      <c r="AU334" s="14">
        <v>1.1326726405059601E-3</v>
      </c>
      <c r="AV334" s="14"/>
      <c r="AW334" s="14">
        <v>1.4366788656769E-3</v>
      </c>
      <c r="AX334" s="14">
        <v>0</v>
      </c>
      <c r="AY334" s="14"/>
      <c r="AZ334" s="14">
        <v>4.5321166795950397E-4</v>
      </c>
      <c r="BA334" s="14">
        <v>3.4379631818101399E-3</v>
      </c>
    </row>
    <row r="335" spans="2:53" x14ac:dyDescent="0.35">
      <c r="B335" t="s">
        <v>80</v>
      </c>
      <c r="C335" s="14">
        <v>1.5751269179723599E-2</v>
      </c>
      <c r="D335" s="14">
        <v>7.7525636957002904E-3</v>
      </c>
      <c r="E335" s="14">
        <v>2.3771641477503599E-2</v>
      </c>
      <c r="F335" s="14"/>
      <c r="G335" s="14">
        <v>0</v>
      </c>
      <c r="H335" s="14">
        <v>1.3559439140751601E-2</v>
      </c>
      <c r="I335" s="14">
        <v>1.9131328896597601E-2</v>
      </c>
      <c r="J335" s="14">
        <v>1.03304132840708E-2</v>
      </c>
      <c r="K335" s="14">
        <v>0</v>
      </c>
      <c r="L335" s="14">
        <v>0.148895097137344</v>
      </c>
      <c r="M335" s="14"/>
      <c r="N335" s="14">
        <v>2.15162945634943E-3</v>
      </c>
      <c r="O335" s="14">
        <v>5.1888571801020503E-3</v>
      </c>
      <c r="P335" s="14">
        <v>2.1590827578921699E-2</v>
      </c>
      <c r="Q335" s="14">
        <v>3.6453168107902799E-2</v>
      </c>
      <c r="R335" s="14"/>
      <c r="S335" s="14">
        <v>9.3221684373119094E-3</v>
      </c>
      <c r="T335" s="14">
        <v>7.9444352722605905E-3</v>
      </c>
      <c r="U335" s="14">
        <v>1.54139969229918E-2</v>
      </c>
      <c r="V335" s="14">
        <v>4.4330167067371098E-2</v>
      </c>
      <c r="W335" s="14">
        <v>2.54913971643158E-2</v>
      </c>
      <c r="X335" s="14">
        <v>1.5544725671332599E-2</v>
      </c>
      <c r="Y335" s="14">
        <v>1.3104786639771399E-2</v>
      </c>
      <c r="Z335" s="14">
        <v>0</v>
      </c>
      <c r="AA335" s="14">
        <v>1.08278803406112E-2</v>
      </c>
      <c r="AB335" s="14"/>
      <c r="AC335" s="14">
        <v>2.3166331056266299E-2</v>
      </c>
      <c r="AD335" s="14">
        <v>1.4689862125407399E-2</v>
      </c>
      <c r="AE335" s="14">
        <v>4.3229585321319496E-3</v>
      </c>
      <c r="AF335" s="14">
        <v>6.6711785142391997E-3</v>
      </c>
      <c r="AG335" s="14">
        <v>0</v>
      </c>
      <c r="AH335" s="14"/>
      <c r="AI335" s="14">
        <v>1.35595892794105E-2</v>
      </c>
      <c r="AJ335" s="14">
        <v>3.6053276316378698E-3</v>
      </c>
      <c r="AK335" s="14">
        <v>1.7404910731075099E-2</v>
      </c>
      <c r="AL335" s="14">
        <v>1.3727407692464499E-2</v>
      </c>
      <c r="AM335" s="14">
        <v>0</v>
      </c>
      <c r="AN335" s="14">
        <v>4.9585032100646298E-2</v>
      </c>
      <c r="AO335" s="14"/>
      <c r="AP335" s="14">
        <v>9.1177844906487997E-3</v>
      </c>
      <c r="AQ335" s="14">
        <v>2.3265632013848701E-2</v>
      </c>
      <c r="AR335" s="14"/>
      <c r="AS335" s="14">
        <v>9.8734156359075505E-3</v>
      </c>
      <c r="AT335" s="14">
        <v>1.5788996803507E-2</v>
      </c>
      <c r="AU335" s="14">
        <v>1.7322048625556499E-2</v>
      </c>
      <c r="AV335" s="14"/>
      <c r="AW335" s="14">
        <v>1.6025102515667501E-2</v>
      </c>
      <c r="AX335" s="14">
        <v>3.53529993245738E-3</v>
      </c>
      <c r="AY335" s="14"/>
      <c r="AZ335" s="14">
        <v>9.19360536837701E-3</v>
      </c>
      <c r="BA335" s="14">
        <v>2.4571244674529698E-2</v>
      </c>
    </row>
    <row r="336" spans="2:53" x14ac:dyDescent="0.35"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</row>
    <row r="337" spans="2:53" x14ac:dyDescent="0.35">
      <c r="B337" s="6" t="s">
        <v>151</v>
      </c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</row>
    <row r="338" spans="2:53" x14ac:dyDescent="0.35">
      <c r="B338" s="24" t="s">
        <v>118</v>
      </c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</row>
    <row r="339" spans="2:53" x14ac:dyDescent="0.35">
      <c r="B339" t="s">
        <v>139</v>
      </c>
      <c r="C339" s="14">
        <v>0.13431942450430101</v>
      </c>
      <c r="D339" s="14">
        <v>0.15672683465885501</v>
      </c>
      <c r="E339" s="14">
        <v>0.11202432210301801</v>
      </c>
      <c r="F339" s="14"/>
      <c r="G339" s="14">
        <v>0.11326843138774099</v>
      </c>
      <c r="H339" s="14">
        <v>0.121794547534742</v>
      </c>
      <c r="I339" s="14">
        <v>0.13526596561189499</v>
      </c>
      <c r="J339" s="14">
        <v>0.122130450916465</v>
      </c>
      <c r="K339" s="14">
        <v>0.189110505735027</v>
      </c>
      <c r="L339" s="14">
        <v>0.14691714711943901</v>
      </c>
      <c r="M339" s="14"/>
      <c r="N339" s="14">
        <v>0.113936776887804</v>
      </c>
      <c r="O339" s="14">
        <v>0.106335698700492</v>
      </c>
      <c r="P339" s="14">
        <v>0.13274861604583599</v>
      </c>
      <c r="Q339" s="14">
        <v>0.18834182936595201</v>
      </c>
      <c r="R339" s="14"/>
      <c r="S339" s="14">
        <v>0.14415138720930201</v>
      </c>
      <c r="T339" s="14">
        <v>0.149653977965132</v>
      </c>
      <c r="U339" s="14">
        <v>0.13356905344470801</v>
      </c>
      <c r="V339" s="14">
        <v>9.3226695512461197E-2</v>
      </c>
      <c r="W339" s="14">
        <v>0.147573847246361</v>
      </c>
      <c r="X339" s="14">
        <v>0.16984532199583099</v>
      </c>
      <c r="Y339" s="14">
        <v>0.13065749521696299</v>
      </c>
      <c r="Z339" s="14">
        <v>8.9505651348857906E-2</v>
      </c>
      <c r="AA339" s="14">
        <v>0.122135894745207</v>
      </c>
      <c r="AB339" s="14"/>
      <c r="AC339" s="14">
        <v>0.13889708890872299</v>
      </c>
      <c r="AD339" s="14">
        <v>0.138775107787563</v>
      </c>
      <c r="AE339" s="14">
        <v>0.118230585048134</v>
      </c>
      <c r="AF339" s="14">
        <v>0.15003580621177101</v>
      </c>
      <c r="AG339" s="14">
        <v>0.208141156925053</v>
      </c>
      <c r="AH339" s="14"/>
      <c r="AI339" s="14">
        <v>0.14896145733652499</v>
      </c>
      <c r="AJ339" s="14">
        <v>0.13357510900976699</v>
      </c>
      <c r="AK339" s="14">
        <v>0.103298378088307</v>
      </c>
      <c r="AL339" s="14">
        <v>0.126371349403371</v>
      </c>
      <c r="AM339" s="14">
        <v>0.13946360643591699</v>
      </c>
      <c r="AN339" s="14">
        <v>0.19880174382648</v>
      </c>
      <c r="AO339" s="14"/>
      <c r="AP339" s="14">
        <v>0.1303470766232</v>
      </c>
      <c r="AQ339" s="14">
        <v>0.137861632157601</v>
      </c>
      <c r="AR339" s="14"/>
      <c r="AS339" s="14">
        <v>0.14176738551359799</v>
      </c>
      <c r="AT339" s="14">
        <v>0.13355805960759601</v>
      </c>
      <c r="AU339" s="14">
        <v>0.132540050472086</v>
      </c>
      <c r="AV339" s="14"/>
      <c r="AW339" s="14">
        <v>0.13143644195736401</v>
      </c>
      <c r="AX339" s="14">
        <v>0.177115696312447</v>
      </c>
      <c r="AY339" s="14"/>
      <c r="AZ339" s="14">
        <v>0.13695658272456099</v>
      </c>
      <c r="BA339" s="14">
        <v>0.127310492792296</v>
      </c>
    </row>
    <row r="340" spans="2:53" x14ac:dyDescent="0.35">
      <c r="B340" t="s">
        <v>140</v>
      </c>
      <c r="C340" s="14">
        <v>0.19446361470183801</v>
      </c>
      <c r="D340" s="14">
        <v>0.202538436421866</v>
      </c>
      <c r="E340" s="14">
        <v>0.18657087167287301</v>
      </c>
      <c r="F340" s="14"/>
      <c r="G340" s="14">
        <v>0.28989449909755399</v>
      </c>
      <c r="H340" s="14">
        <v>0.22089766902403299</v>
      </c>
      <c r="I340" s="14">
        <v>0.19532093317881999</v>
      </c>
      <c r="J340" s="14">
        <v>0.17105072892850801</v>
      </c>
      <c r="K340" s="14">
        <v>0.22584525273664199</v>
      </c>
      <c r="L340" s="14">
        <v>0.149668906134659</v>
      </c>
      <c r="M340" s="14"/>
      <c r="N340" s="14">
        <v>0.18639073127803099</v>
      </c>
      <c r="O340" s="14">
        <v>0.18260477361345701</v>
      </c>
      <c r="P340" s="14">
        <v>0.25139035706372098</v>
      </c>
      <c r="Q340" s="14">
        <v>0.166251736159549</v>
      </c>
      <c r="R340" s="14"/>
      <c r="S340" s="14">
        <v>0.23334534777690299</v>
      </c>
      <c r="T340" s="14">
        <v>0.13612502126544501</v>
      </c>
      <c r="U340" s="14">
        <v>0.22076983155892499</v>
      </c>
      <c r="V340" s="14">
        <v>0.18823495485473901</v>
      </c>
      <c r="W340" s="14">
        <v>0.178198636682531</v>
      </c>
      <c r="X340" s="14">
        <v>0.21604375865258299</v>
      </c>
      <c r="Y340" s="14">
        <v>0.15784555672458001</v>
      </c>
      <c r="Z340" s="14">
        <v>0.21952088867588099</v>
      </c>
      <c r="AA340" s="14">
        <v>0.21666649859074899</v>
      </c>
      <c r="AB340" s="14"/>
      <c r="AC340" s="14">
        <v>0.20611378215751899</v>
      </c>
      <c r="AD340" s="14">
        <v>0.19297847002678201</v>
      </c>
      <c r="AE340" s="14">
        <v>0.18256405129140499</v>
      </c>
      <c r="AF340" s="14">
        <v>0.20674492158765401</v>
      </c>
      <c r="AG340" s="14">
        <v>0.192296036018204</v>
      </c>
      <c r="AH340" s="14"/>
      <c r="AI340" s="14">
        <v>0.206047917777018</v>
      </c>
      <c r="AJ340" s="14">
        <v>0.20841193452089801</v>
      </c>
      <c r="AK340" s="14">
        <v>0.182728651168301</v>
      </c>
      <c r="AL340" s="14">
        <v>0.19809843047460299</v>
      </c>
      <c r="AM340" s="14">
        <v>0.16296264826190501</v>
      </c>
      <c r="AN340" s="14">
        <v>0.105673930627718</v>
      </c>
      <c r="AO340" s="14"/>
      <c r="AP340" s="14">
        <v>0.20936410475457801</v>
      </c>
      <c r="AQ340" s="14">
        <v>0.178325184637812</v>
      </c>
      <c r="AR340" s="14"/>
      <c r="AS340" s="14">
        <v>0.19649932106762899</v>
      </c>
      <c r="AT340" s="14">
        <v>0.19754622813546899</v>
      </c>
      <c r="AU340" s="14">
        <v>0.193004221116438</v>
      </c>
      <c r="AV340" s="14"/>
      <c r="AW340" s="14">
        <v>0.19374004372329101</v>
      </c>
      <c r="AX340" s="14">
        <v>0.21059672625547499</v>
      </c>
      <c r="AY340" s="14"/>
      <c r="AZ340" s="14">
        <v>0.20252960372064699</v>
      </c>
      <c r="BA340" s="14">
        <v>0.16847702028547601</v>
      </c>
    </row>
    <row r="341" spans="2:53" x14ac:dyDescent="0.35">
      <c r="B341" t="s">
        <v>141</v>
      </c>
      <c r="C341" s="14">
        <v>0.568407450983201</v>
      </c>
      <c r="D341" s="14">
        <v>0.53127121676946798</v>
      </c>
      <c r="E341" s="14">
        <v>0.60515494395931202</v>
      </c>
      <c r="F341" s="14"/>
      <c r="G341" s="14">
        <v>0.46859628134443199</v>
      </c>
      <c r="H341" s="14">
        <v>0.56247112546058997</v>
      </c>
      <c r="I341" s="14">
        <v>0.57376111031883803</v>
      </c>
      <c r="J341" s="14">
        <v>0.60859707898369997</v>
      </c>
      <c r="K341" s="14">
        <v>0.44990263520364698</v>
      </c>
      <c r="L341" s="14">
        <v>0.430359296756545</v>
      </c>
      <c r="M341" s="14"/>
      <c r="N341" s="14">
        <v>0.60350585184829098</v>
      </c>
      <c r="O341" s="14">
        <v>0.62891646568216497</v>
      </c>
      <c r="P341" s="14">
        <v>0.49308849890723999</v>
      </c>
      <c r="Q341" s="14">
        <v>0.53031809915271999</v>
      </c>
      <c r="R341" s="14"/>
      <c r="S341" s="14">
        <v>0.53773646058449698</v>
      </c>
      <c r="T341" s="14">
        <v>0.61735758365936799</v>
      </c>
      <c r="U341" s="14">
        <v>0.54295292991553801</v>
      </c>
      <c r="V341" s="14">
        <v>0.59699034933960904</v>
      </c>
      <c r="W341" s="14">
        <v>0.51950415375937498</v>
      </c>
      <c r="X341" s="14">
        <v>0.52274126518591002</v>
      </c>
      <c r="Y341" s="14">
        <v>0.59306413970259297</v>
      </c>
      <c r="Z341" s="14">
        <v>0.59613912374433697</v>
      </c>
      <c r="AA341" s="14">
        <v>0.58084715959774302</v>
      </c>
      <c r="AB341" s="14"/>
      <c r="AC341" s="14">
        <v>0.53363060724681899</v>
      </c>
      <c r="AD341" s="14">
        <v>0.58793672219861703</v>
      </c>
      <c r="AE341" s="14">
        <v>0.60867696389485404</v>
      </c>
      <c r="AF341" s="14">
        <v>0.53229117023528005</v>
      </c>
      <c r="AG341" s="14">
        <v>0.567571977152447</v>
      </c>
      <c r="AH341" s="14"/>
      <c r="AI341" s="14">
        <v>0.55653275437005301</v>
      </c>
      <c r="AJ341" s="14">
        <v>0.51543217850982304</v>
      </c>
      <c r="AK341" s="14">
        <v>0.58553099174105505</v>
      </c>
      <c r="AL341" s="14">
        <v>0.55913376328884301</v>
      </c>
      <c r="AM341" s="14">
        <v>0.63166726461142098</v>
      </c>
      <c r="AN341" s="14">
        <v>0.62549283783399001</v>
      </c>
      <c r="AO341" s="14"/>
      <c r="AP341" s="14">
        <v>0.55851384460529196</v>
      </c>
      <c r="AQ341" s="14">
        <v>0.57950834490534497</v>
      </c>
      <c r="AR341" s="14"/>
      <c r="AS341" s="14">
        <v>0.58479683900060697</v>
      </c>
      <c r="AT341" s="14">
        <v>0.576044803047851</v>
      </c>
      <c r="AU341" s="14">
        <v>0.56173816682030098</v>
      </c>
      <c r="AV341" s="14"/>
      <c r="AW341" s="14">
        <v>0.57723769170205297</v>
      </c>
      <c r="AX341" s="14">
        <v>0.50410916711213904</v>
      </c>
      <c r="AY341" s="14"/>
      <c r="AZ341" s="14">
        <v>0.56460694491099395</v>
      </c>
      <c r="BA341" s="14">
        <v>0.59209522466147502</v>
      </c>
    </row>
    <row r="342" spans="2:53" x14ac:dyDescent="0.35">
      <c r="B342" t="s">
        <v>142</v>
      </c>
      <c r="C342" s="14">
        <v>7.3086484396384002E-2</v>
      </c>
      <c r="D342" s="14">
        <v>8.3705917908432195E-2</v>
      </c>
      <c r="E342" s="14">
        <v>6.2529418033238998E-2</v>
      </c>
      <c r="F342" s="14"/>
      <c r="G342" s="14">
        <v>0.12824078817027301</v>
      </c>
      <c r="H342" s="14">
        <v>7.1192244179609801E-2</v>
      </c>
      <c r="I342" s="14">
        <v>5.9595056815026699E-2</v>
      </c>
      <c r="J342" s="14">
        <v>7.8694239547670103E-2</v>
      </c>
      <c r="K342" s="14">
        <v>0.110155723257986</v>
      </c>
      <c r="L342" s="14">
        <v>0.12415955285201299</v>
      </c>
      <c r="M342" s="14"/>
      <c r="N342" s="14">
        <v>7.9467464434029897E-2</v>
      </c>
      <c r="O342" s="14">
        <v>6.7109972495909401E-2</v>
      </c>
      <c r="P342" s="14">
        <v>9.4201729668408604E-2</v>
      </c>
      <c r="Q342" s="14">
        <v>5.4684390523890097E-2</v>
      </c>
      <c r="R342" s="14"/>
      <c r="S342" s="14">
        <v>5.8040466902653097E-2</v>
      </c>
      <c r="T342" s="14">
        <v>8.1025837812272503E-2</v>
      </c>
      <c r="U342" s="14">
        <v>7.2853278137998495E-2</v>
      </c>
      <c r="V342" s="14">
        <v>5.9356432913176702E-2</v>
      </c>
      <c r="W342" s="14">
        <v>8.2454448010710904E-2</v>
      </c>
      <c r="X342" s="14">
        <v>6.99255242559889E-2</v>
      </c>
      <c r="Y342" s="14">
        <v>9.9638715460883098E-2</v>
      </c>
      <c r="Z342" s="14">
        <v>8.3378464752734999E-2</v>
      </c>
      <c r="AA342" s="14">
        <v>6.5116687116963695E-2</v>
      </c>
      <c r="AB342" s="14"/>
      <c r="AC342" s="14">
        <v>6.7372208552155699E-2</v>
      </c>
      <c r="AD342" s="14">
        <v>6.21873851283367E-2</v>
      </c>
      <c r="AE342" s="14">
        <v>8.4618566218394697E-2</v>
      </c>
      <c r="AF342" s="14">
        <v>7.1978269884351603E-2</v>
      </c>
      <c r="AG342" s="14">
        <v>2.64010905277519E-2</v>
      </c>
      <c r="AH342" s="14"/>
      <c r="AI342" s="14">
        <v>6.27003520691818E-2</v>
      </c>
      <c r="AJ342" s="14">
        <v>0.123133663323839</v>
      </c>
      <c r="AK342" s="14">
        <v>8.2496309983549607E-2</v>
      </c>
      <c r="AL342" s="14">
        <v>8.3254429472682301E-2</v>
      </c>
      <c r="AM342" s="14">
        <v>4.0418061851436697E-2</v>
      </c>
      <c r="AN342" s="14">
        <v>3.5896000108661903E-2</v>
      </c>
      <c r="AO342" s="14"/>
      <c r="AP342" s="14">
        <v>7.7254708007130496E-2</v>
      </c>
      <c r="AQ342" s="14">
        <v>6.8632188910294795E-2</v>
      </c>
      <c r="AR342" s="14"/>
      <c r="AS342" s="14">
        <v>5.7707151414689899E-2</v>
      </c>
      <c r="AT342" s="14">
        <v>7.3901541089156794E-2</v>
      </c>
      <c r="AU342" s="14">
        <v>7.6984590751418197E-2</v>
      </c>
      <c r="AV342" s="14"/>
      <c r="AW342" s="14">
        <v>6.9670223426987504E-2</v>
      </c>
      <c r="AX342" s="14">
        <v>7.56614645028474E-2</v>
      </c>
      <c r="AY342" s="14"/>
      <c r="AZ342" s="14">
        <v>7.6228643274654895E-2</v>
      </c>
      <c r="BA342" s="14">
        <v>6.0278187305358402E-2</v>
      </c>
    </row>
    <row r="343" spans="2:53" x14ac:dyDescent="0.35">
      <c r="B343" t="s">
        <v>143</v>
      </c>
      <c r="C343" s="14">
        <v>1.3492454593897901E-2</v>
      </c>
      <c r="D343" s="14">
        <v>1.53782440142379E-2</v>
      </c>
      <c r="E343" s="14">
        <v>1.1618238434060801E-2</v>
      </c>
      <c r="F343" s="14"/>
      <c r="G343" s="14">
        <v>0</v>
      </c>
      <c r="H343" s="14">
        <v>6.3249240224622898E-3</v>
      </c>
      <c r="I343" s="14">
        <v>1.5419893888837201E-2</v>
      </c>
      <c r="J343" s="14">
        <v>1.3047109225591999E-2</v>
      </c>
      <c r="K343" s="14">
        <v>2.0439865625964702E-2</v>
      </c>
      <c r="L343" s="14">
        <v>0</v>
      </c>
      <c r="M343" s="14"/>
      <c r="N343" s="14">
        <v>1.24607925372187E-2</v>
      </c>
      <c r="O343" s="14">
        <v>6.8528335778942802E-3</v>
      </c>
      <c r="P343" s="14">
        <v>9.6841162882527806E-3</v>
      </c>
      <c r="Q343" s="14">
        <v>2.5010771856441499E-2</v>
      </c>
      <c r="R343" s="14"/>
      <c r="S343" s="14">
        <v>1.8494584138840701E-2</v>
      </c>
      <c r="T343" s="14">
        <v>1.20499406680385E-2</v>
      </c>
      <c r="U343" s="14">
        <v>0</v>
      </c>
      <c r="V343" s="14">
        <v>5.9160227444547599E-3</v>
      </c>
      <c r="W343" s="14">
        <v>4.67775171367052E-2</v>
      </c>
      <c r="X343" s="14">
        <v>5.8994042383547799E-3</v>
      </c>
      <c r="Y343" s="14">
        <v>1.6140416675574899E-2</v>
      </c>
      <c r="Z343" s="14">
        <v>1.1455871478189101E-2</v>
      </c>
      <c r="AA343" s="14">
        <v>7.4527601889836899E-3</v>
      </c>
      <c r="AB343" s="14"/>
      <c r="AC343" s="14">
        <v>2.5100479963406499E-2</v>
      </c>
      <c r="AD343" s="14">
        <v>2.3599380179482698E-3</v>
      </c>
      <c r="AE343" s="14">
        <v>3.05731621003339E-3</v>
      </c>
      <c r="AF343" s="14">
        <v>3.2278653566703903E-2</v>
      </c>
      <c r="AG343" s="14">
        <v>5.5897393765437396E-3</v>
      </c>
      <c r="AH343" s="14"/>
      <c r="AI343" s="14">
        <v>1.3899519138198599E-2</v>
      </c>
      <c r="AJ343" s="14">
        <v>1.5841787004035001E-2</v>
      </c>
      <c r="AK343" s="14">
        <v>2.4883517744228801E-2</v>
      </c>
      <c r="AL343" s="14">
        <v>1.18131503616623E-2</v>
      </c>
      <c r="AM343" s="14">
        <v>1.1369135517788599E-2</v>
      </c>
      <c r="AN343" s="14">
        <v>0</v>
      </c>
      <c r="AO343" s="14"/>
      <c r="AP343" s="14">
        <v>1.2918221948357501E-2</v>
      </c>
      <c r="AQ343" s="14">
        <v>1.4182029806045E-2</v>
      </c>
      <c r="AR343" s="14"/>
      <c r="AS343" s="14">
        <v>7.8118089591515004E-3</v>
      </c>
      <c r="AT343" s="14">
        <v>3.1603713164209801E-3</v>
      </c>
      <c r="AU343" s="14">
        <v>1.8076461926585598E-2</v>
      </c>
      <c r="AV343" s="14"/>
      <c r="AW343" s="14">
        <v>1.16739239520412E-2</v>
      </c>
      <c r="AX343" s="14">
        <v>2.5573641016337498E-2</v>
      </c>
      <c r="AY343" s="14"/>
      <c r="AZ343" s="14">
        <v>1.15477030052297E-2</v>
      </c>
      <c r="BA343" s="14">
        <v>2.1027437450205699E-2</v>
      </c>
    </row>
    <row r="344" spans="2:53" x14ac:dyDescent="0.35">
      <c r="B344" t="s">
        <v>144</v>
      </c>
      <c r="C344" s="14">
        <v>1.31328177928396E-3</v>
      </c>
      <c r="D344" s="14">
        <v>2.626786531441E-3</v>
      </c>
      <c r="E344" s="14">
        <v>0</v>
      </c>
      <c r="F344" s="14"/>
      <c r="G344" s="14">
        <v>0</v>
      </c>
      <c r="H344" s="14">
        <v>3.76005063781179E-3</v>
      </c>
      <c r="I344" s="14">
        <v>1.7203918494970701E-3</v>
      </c>
      <c r="J344" s="14">
        <v>0</v>
      </c>
      <c r="K344" s="14">
        <v>0</v>
      </c>
      <c r="L344" s="14">
        <v>0</v>
      </c>
      <c r="M344" s="14"/>
      <c r="N344" s="14">
        <v>2.0867535582765398E-3</v>
      </c>
      <c r="O344" s="14">
        <v>2.9003586548764998E-3</v>
      </c>
      <c r="P344" s="14">
        <v>0</v>
      </c>
      <c r="Q344" s="14">
        <v>0</v>
      </c>
      <c r="R344" s="14"/>
      <c r="S344" s="14">
        <v>0</v>
      </c>
      <c r="T344" s="14">
        <v>0</v>
      </c>
      <c r="U344" s="14">
        <v>0</v>
      </c>
      <c r="V344" s="14">
        <v>1.19453775681885E-2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/>
      <c r="AC344" s="14">
        <v>0</v>
      </c>
      <c r="AD344" s="14">
        <v>0</v>
      </c>
      <c r="AE344" s="14">
        <v>1.93590283764877E-3</v>
      </c>
      <c r="AF344" s="14">
        <v>0</v>
      </c>
      <c r="AG344" s="14">
        <v>0</v>
      </c>
      <c r="AH344" s="14"/>
      <c r="AI344" s="14">
        <v>1.60046972174087E-3</v>
      </c>
      <c r="AJ344" s="14">
        <v>0</v>
      </c>
      <c r="AK344" s="14">
        <v>0</v>
      </c>
      <c r="AL344" s="14">
        <v>4.8802199786541897E-3</v>
      </c>
      <c r="AM344" s="14">
        <v>0</v>
      </c>
      <c r="AN344" s="14">
        <v>0</v>
      </c>
      <c r="AO344" s="14"/>
      <c r="AP344" s="14">
        <v>2.4842595707932399E-3</v>
      </c>
      <c r="AQ344" s="14">
        <v>0</v>
      </c>
      <c r="AR344" s="14"/>
      <c r="AS344" s="14">
        <v>7.6358104748107799E-3</v>
      </c>
      <c r="AT344" s="14">
        <v>0</v>
      </c>
      <c r="AU344" s="14">
        <v>0</v>
      </c>
      <c r="AV344" s="14"/>
      <c r="AW344" s="14">
        <v>9.9994338030468606E-4</v>
      </c>
      <c r="AX344" s="14">
        <v>3.4080048682963199E-3</v>
      </c>
      <c r="AY344" s="14"/>
      <c r="AZ344" s="14">
        <v>1.67290085905467E-3</v>
      </c>
      <c r="BA344" s="14">
        <v>0</v>
      </c>
    </row>
    <row r="345" spans="2:53" x14ac:dyDescent="0.35">
      <c r="B345" t="s">
        <v>80</v>
      </c>
      <c r="C345" s="14">
        <v>1.49172890410946E-2</v>
      </c>
      <c r="D345" s="14">
        <v>7.7525636957002904E-3</v>
      </c>
      <c r="E345" s="14">
        <v>2.2102205797497599E-2</v>
      </c>
      <c r="F345" s="14"/>
      <c r="G345" s="14">
        <v>0</v>
      </c>
      <c r="H345" s="14">
        <v>1.3559439140751601E-2</v>
      </c>
      <c r="I345" s="14">
        <v>1.8916648337085999E-2</v>
      </c>
      <c r="J345" s="14">
        <v>6.4803923980650702E-3</v>
      </c>
      <c r="K345" s="14">
        <v>4.5460174407328698E-3</v>
      </c>
      <c r="L345" s="14">
        <v>0.148895097137344</v>
      </c>
      <c r="M345" s="14"/>
      <c r="N345" s="14">
        <v>2.15162945634943E-3</v>
      </c>
      <c r="O345" s="14">
        <v>5.2798972752049504E-3</v>
      </c>
      <c r="P345" s="14">
        <v>1.8886682026542201E-2</v>
      </c>
      <c r="Q345" s="14">
        <v>3.5393172941446602E-2</v>
      </c>
      <c r="R345" s="14"/>
      <c r="S345" s="14">
        <v>8.2317533878038893E-3</v>
      </c>
      <c r="T345" s="14">
        <v>3.7876386297443498E-3</v>
      </c>
      <c r="U345" s="14">
        <v>2.9854906942829398E-2</v>
      </c>
      <c r="V345" s="14">
        <v>4.4330167067371098E-2</v>
      </c>
      <c r="W345" s="14">
        <v>2.54913971643158E-2</v>
      </c>
      <c r="X345" s="14">
        <v>1.5544725671332599E-2</v>
      </c>
      <c r="Y345" s="14">
        <v>2.6536762194060001E-3</v>
      </c>
      <c r="Z345" s="14">
        <v>0</v>
      </c>
      <c r="AA345" s="14">
        <v>7.7809997603544203E-3</v>
      </c>
      <c r="AB345" s="14"/>
      <c r="AC345" s="14">
        <v>2.88858331713754E-2</v>
      </c>
      <c r="AD345" s="14">
        <v>1.57623768407541E-2</v>
      </c>
      <c r="AE345" s="14">
        <v>9.1661449953013801E-4</v>
      </c>
      <c r="AF345" s="14">
        <v>6.6711785142391997E-3</v>
      </c>
      <c r="AG345" s="14">
        <v>0</v>
      </c>
      <c r="AH345" s="14"/>
      <c r="AI345" s="14">
        <v>1.02575295872828E-2</v>
      </c>
      <c r="AJ345" s="14">
        <v>3.6053276316378698E-3</v>
      </c>
      <c r="AK345" s="14">
        <v>2.1062151274559099E-2</v>
      </c>
      <c r="AL345" s="14">
        <v>1.6448657020183999E-2</v>
      </c>
      <c r="AM345" s="14">
        <v>1.4119283321532001E-2</v>
      </c>
      <c r="AN345" s="14">
        <v>3.41354876031503E-2</v>
      </c>
      <c r="AO345" s="14"/>
      <c r="AP345" s="14">
        <v>9.1177844906487997E-3</v>
      </c>
      <c r="AQ345" s="14">
        <v>2.1490619582901799E-2</v>
      </c>
      <c r="AR345" s="14"/>
      <c r="AS345" s="14">
        <v>3.78168356951394E-3</v>
      </c>
      <c r="AT345" s="14">
        <v>1.5788996803507E-2</v>
      </c>
      <c r="AU345" s="14">
        <v>1.7656508913170998E-2</v>
      </c>
      <c r="AV345" s="14"/>
      <c r="AW345" s="14">
        <v>1.5241731857959099E-2</v>
      </c>
      <c r="AX345" s="14">
        <v>3.53529993245738E-3</v>
      </c>
      <c r="AY345" s="14"/>
      <c r="AZ345" s="14">
        <v>6.4576215048587696E-3</v>
      </c>
      <c r="BA345" s="14">
        <v>3.08116375051888E-2</v>
      </c>
    </row>
    <row r="346" spans="2:53" x14ac:dyDescent="0.35"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</row>
    <row r="347" spans="2:53" x14ac:dyDescent="0.35">
      <c r="B347" s="6" t="s">
        <v>152</v>
      </c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</row>
    <row r="348" spans="2:53" x14ac:dyDescent="0.35">
      <c r="B348" s="24" t="s">
        <v>118</v>
      </c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</row>
    <row r="349" spans="2:53" x14ac:dyDescent="0.35">
      <c r="B349" t="s">
        <v>139</v>
      </c>
      <c r="C349" s="14">
        <v>0.12187951459256301</v>
      </c>
      <c r="D349" s="14">
        <v>0.13541682325467599</v>
      </c>
      <c r="E349" s="14">
        <v>0.108449545506575</v>
      </c>
      <c r="F349" s="14"/>
      <c r="G349" s="14">
        <v>0</v>
      </c>
      <c r="H349" s="14">
        <v>0.12662087681096401</v>
      </c>
      <c r="I349" s="14">
        <v>0.121943732284176</v>
      </c>
      <c r="J349" s="14">
        <v>0.122236342040074</v>
      </c>
      <c r="K349" s="14">
        <v>0.13110374144349801</v>
      </c>
      <c r="L349" s="14">
        <v>5.3309793839003597E-2</v>
      </c>
      <c r="M349" s="14"/>
      <c r="N349" s="14">
        <v>9.6833205628366906E-2</v>
      </c>
      <c r="O349" s="14">
        <v>0.122218565071064</v>
      </c>
      <c r="P349" s="14">
        <v>0.135054072762547</v>
      </c>
      <c r="Q349" s="14">
        <v>0.138399045006175</v>
      </c>
      <c r="R349" s="14"/>
      <c r="S349" s="14">
        <v>0.14336605243874101</v>
      </c>
      <c r="T349" s="14">
        <v>0.121730937637075</v>
      </c>
      <c r="U349" s="14">
        <v>0.132001504418123</v>
      </c>
      <c r="V349" s="14">
        <v>8.5531845737159204E-2</v>
      </c>
      <c r="W349" s="14">
        <v>0.11986537333335601</v>
      </c>
      <c r="X349" s="14">
        <v>0.185801686347248</v>
      </c>
      <c r="Y349" s="14">
        <v>0.10429586892939</v>
      </c>
      <c r="Z349" s="14">
        <v>7.7560399267247906E-2</v>
      </c>
      <c r="AA349" s="14">
        <v>0.101221948812387</v>
      </c>
      <c r="AB349" s="14"/>
      <c r="AC349" s="14">
        <v>0.122483759729115</v>
      </c>
      <c r="AD349" s="14">
        <v>0.14038147009274701</v>
      </c>
      <c r="AE349" s="14">
        <v>9.3729561281560098E-2</v>
      </c>
      <c r="AF349" s="14">
        <v>0.154056623821751</v>
      </c>
      <c r="AG349" s="14">
        <v>0.128711053411183</v>
      </c>
      <c r="AH349" s="14"/>
      <c r="AI349" s="14">
        <v>0.133789016041019</v>
      </c>
      <c r="AJ349" s="14">
        <v>0.116446739139365</v>
      </c>
      <c r="AK349" s="14">
        <v>0.122108249034866</v>
      </c>
      <c r="AL349" s="14">
        <v>0.10164960129897301</v>
      </c>
      <c r="AM349" s="14">
        <v>0.13830850727687199</v>
      </c>
      <c r="AN349" s="14">
        <v>0.154532291602621</v>
      </c>
      <c r="AO349" s="14"/>
      <c r="AP349" s="14">
        <v>0.12131031760385</v>
      </c>
      <c r="AQ349" s="14">
        <v>0.12291272979611501</v>
      </c>
      <c r="AR349" s="14"/>
      <c r="AS349" s="14">
        <v>0.124113551991865</v>
      </c>
      <c r="AT349" s="14">
        <v>0.11317917008897101</v>
      </c>
      <c r="AU349" s="14">
        <v>0.123850907431476</v>
      </c>
      <c r="AV349" s="14"/>
      <c r="AW349" s="14">
        <v>0.117351811707177</v>
      </c>
      <c r="AX349" s="14">
        <v>0.16116449666170499</v>
      </c>
      <c r="AY349" s="14"/>
      <c r="AZ349" s="14">
        <v>0.12585087047475799</v>
      </c>
      <c r="BA349" s="14">
        <v>0.109634272501363</v>
      </c>
    </row>
    <row r="350" spans="2:53" x14ac:dyDescent="0.35">
      <c r="B350" t="s">
        <v>140</v>
      </c>
      <c r="C350" s="14">
        <v>0.18749794543709</v>
      </c>
      <c r="D350" s="14">
        <v>0.20710241892074499</v>
      </c>
      <c r="E350" s="14">
        <v>0.168059578267237</v>
      </c>
      <c r="F350" s="14"/>
      <c r="G350" s="14">
        <v>0.32125831183088099</v>
      </c>
      <c r="H350" s="14">
        <v>0.19858452573230301</v>
      </c>
      <c r="I350" s="14">
        <v>0.19980544109451701</v>
      </c>
      <c r="J350" s="14">
        <v>0.151947059675961</v>
      </c>
      <c r="K350" s="14">
        <v>0.209980275923179</v>
      </c>
      <c r="L350" s="14">
        <v>0.24563673969366001</v>
      </c>
      <c r="M350" s="14"/>
      <c r="N350" s="14">
        <v>0.179054812174122</v>
      </c>
      <c r="O350" s="14">
        <v>0.17264548408219199</v>
      </c>
      <c r="P350" s="14">
        <v>0.20877461762513799</v>
      </c>
      <c r="Q350" s="14">
        <v>0.19551173988444601</v>
      </c>
      <c r="R350" s="14"/>
      <c r="S350" s="14">
        <v>0.184793029258497</v>
      </c>
      <c r="T350" s="14">
        <v>0.14317764226006799</v>
      </c>
      <c r="U350" s="14">
        <v>0.24868265315629001</v>
      </c>
      <c r="V350" s="14">
        <v>0.17659134630620901</v>
      </c>
      <c r="W350" s="14">
        <v>0.198754481147986</v>
      </c>
      <c r="X350" s="14">
        <v>0.21741023191457201</v>
      </c>
      <c r="Y350" s="14">
        <v>0.12558591021646401</v>
      </c>
      <c r="Z350" s="14">
        <v>0.176127386774795</v>
      </c>
      <c r="AA350" s="14">
        <v>0.22865885351555101</v>
      </c>
      <c r="AB350" s="14"/>
      <c r="AC350" s="14">
        <v>0.20241023416898599</v>
      </c>
      <c r="AD350" s="14">
        <v>0.16670584704035199</v>
      </c>
      <c r="AE350" s="14">
        <v>0.18375817130159999</v>
      </c>
      <c r="AF350" s="14">
        <v>0.21570278962046199</v>
      </c>
      <c r="AG350" s="14">
        <v>0.26043565544527603</v>
      </c>
      <c r="AH350" s="14"/>
      <c r="AI350" s="14">
        <v>0.20056867987876201</v>
      </c>
      <c r="AJ350" s="14">
        <v>0.218001380248775</v>
      </c>
      <c r="AK350" s="14">
        <v>0.17842347174304701</v>
      </c>
      <c r="AL350" s="14">
        <v>0.15946639210383901</v>
      </c>
      <c r="AM350" s="14">
        <v>0.19518903087953299</v>
      </c>
      <c r="AN350" s="14">
        <v>0.12201487825327299</v>
      </c>
      <c r="AO350" s="14"/>
      <c r="AP350" s="14">
        <v>0.20706639665233501</v>
      </c>
      <c r="AQ350" s="14">
        <v>0.16608495596053199</v>
      </c>
      <c r="AR350" s="14"/>
      <c r="AS350" s="14">
        <v>0.20471401730681699</v>
      </c>
      <c r="AT350" s="14">
        <v>0.20374446308271801</v>
      </c>
      <c r="AU350" s="14">
        <v>0.17806048280327699</v>
      </c>
      <c r="AV350" s="14"/>
      <c r="AW350" s="14">
        <v>0.188439003084763</v>
      </c>
      <c r="AX350" s="14">
        <v>0.21898259646697199</v>
      </c>
      <c r="AY350" s="14"/>
      <c r="AZ350" s="14">
        <v>0.18695380622812399</v>
      </c>
      <c r="BA350" s="14">
        <v>0.19346905687577501</v>
      </c>
    </row>
    <row r="351" spans="2:53" x14ac:dyDescent="0.35">
      <c r="B351" t="s">
        <v>141</v>
      </c>
      <c r="C351" s="14">
        <v>0.49705463638715403</v>
      </c>
      <c r="D351" s="14">
        <v>0.45658334879718798</v>
      </c>
      <c r="E351" s="14">
        <v>0.53707067184929103</v>
      </c>
      <c r="F351" s="14"/>
      <c r="G351" s="14">
        <v>0.14264816943094299</v>
      </c>
      <c r="H351" s="14">
        <v>0.475106933087377</v>
      </c>
      <c r="I351" s="14">
        <v>0.48925756370762802</v>
      </c>
      <c r="J351" s="14">
        <v>0.53479966209234997</v>
      </c>
      <c r="K351" s="14">
        <v>0.47723530719305202</v>
      </c>
      <c r="L351" s="14">
        <v>0.434357225800171</v>
      </c>
      <c r="M351" s="14"/>
      <c r="N351" s="14">
        <v>0.52704865339559004</v>
      </c>
      <c r="O351" s="14">
        <v>0.52187725816858099</v>
      </c>
      <c r="P351" s="14">
        <v>0.47908735519353501</v>
      </c>
      <c r="Q351" s="14">
        <v>0.448830810911581</v>
      </c>
      <c r="R351" s="14"/>
      <c r="S351" s="14">
        <v>0.44348303083538099</v>
      </c>
      <c r="T351" s="14">
        <v>0.554813610803359</v>
      </c>
      <c r="U351" s="14">
        <v>0.49556267417514099</v>
      </c>
      <c r="V351" s="14">
        <v>0.480651810584734</v>
      </c>
      <c r="W351" s="14">
        <v>0.47068892643202198</v>
      </c>
      <c r="X351" s="14">
        <v>0.442266223793288</v>
      </c>
      <c r="Y351" s="14">
        <v>0.57246577105472396</v>
      </c>
      <c r="Z351" s="14">
        <v>0.56662921387620102</v>
      </c>
      <c r="AA351" s="14">
        <v>0.48255211567661099</v>
      </c>
      <c r="AB351" s="14"/>
      <c r="AC351" s="14">
        <v>0.488322049661848</v>
      </c>
      <c r="AD351" s="14">
        <v>0.52872364788596005</v>
      </c>
      <c r="AE351" s="14">
        <v>0.51953414088878203</v>
      </c>
      <c r="AF351" s="14">
        <v>0.45200284812987601</v>
      </c>
      <c r="AG351" s="14">
        <v>0.47394350271056901</v>
      </c>
      <c r="AH351" s="14"/>
      <c r="AI351" s="14">
        <v>0.47726013009512902</v>
      </c>
      <c r="AJ351" s="14">
        <v>0.49034839278648801</v>
      </c>
      <c r="AK351" s="14">
        <v>0.47658864787195698</v>
      </c>
      <c r="AL351" s="14">
        <v>0.49779604973969099</v>
      </c>
      <c r="AM351" s="14">
        <v>0.54604542710103099</v>
      </c>
      <c r="AN351" s="14">
        <v>0.54150299932294099</v>
      </c>
      <c r="AO351" s="14"/>
      <c r="AP351" s="14">
        <v>0.48650914616365398</v>
      </c>
      <c r="AQ351" s="14">
        <v>0.509325845115564</v>
      </c>
      <c r="AR351" s="14"/>
      <c r="AS351" s="14">
        <v>0.43915311773570997</v>
      </c>
      <c r="AT351" s="14">
        <v>0.50590767571592998</v>
      </c>
      <c r="AU351" s="14">
        <v>0.51002015250432597</v>
      </c>
      <c r="AV351" s="14"/>
      <c r="AW351" s="14">
        <v>0.50673259836622098</v>
      </c>
      <c r="AX351" s="14">
        <v>0.43879245551607299</v>
      </c>
      <c r="AY351" s="14"/>
      <c r="AZ351" s="14">
        <v>0.50109469805761697</v>
      </c>
      <c r="BA351" s="14">
        <v>0.49000745447458799</v>
      </c>
    </row>
    <row r="352" spans="2:53" x14ac:dyDescent="0.35">
      <c r="B352" t="s">
        <v>142</v>
      </c>
      <c r="C352" s="14">
        <v>0.14961085103322899</v>
      </c>
      <c r="D352" s="14">
        <v>0.15530186065098001</v>
      </c>
      <c r="E352" s="14">
        <v>0.14406034079011501</v>
      </c>
      <c r="F352" s="14"/>
      <c r="G352" s="14">
        <v>0.27372566675780702</v>
      </c>
      <c r="H352" s="14">
        <v>0.16000027124972299</v>
      </c>
      <c r="I352" s="14">
        <v>0.14224576612232001</v>
      </c>
      <c r="J352" s="14">
        <v>0.15621188698399499</v>
      </c>
      <c r="K352" s="14">
        <v>0.14411438713709501</v>
      </c>
      <c r="L352" s="14">
        <v>0.117801143529821</v>
      </c>
      <c r="M352" s="14"/>
      <c r="N352" s="14">
        <v>0.17049107080025799</v>
      </c>
      <c r="O352" s="14">
        <v>0.15541640119956601</v>
      </c>
      <c r="P352" s="14">
        <v>0.13681287068929601</v>
      </c>
      <c r="Q352" s="14">
        <v>0.134037605226588</v>
      </c>
      <c r="R352" s="14"/>
      <c r="S352" s="14">
        <v>0.18613879342008599</v>
      </c>
      <c r="T352" s="14">
        <v>0.14200490551537201</v>
      </c>
      <c r="U352" s="14">
        <v>0.104457959727597</v>
      </c>
      <c r="V352" s="14">
        <v>0.169260317075795</v>
      </c>
      <c r="W352" s="14">
        <v>0.14628487270330701</v>
      </c>
      <c r="X352" s="14">
        <v>0.12818097393119601</v>
      </c>
      <c r="Y352" s="14">
        <v>0.16223685944588001</v>
      </c>
      <c r="Z352" s="14">
        <v>0.15054953811659699</v>
      </c>
      <c r="AA352" s="14">
        <v>0.14099005786961799</v>
      </c>
      <c r="AB352" s="14"/>
      <c r="AC352" s="14">
        <v>0.12820030335735599</v>
      </c>
      <c r="AD352" s="14">
        <v>0.12964617714506799</v>
      </c>
      <c r="AE352" s="14">
        <v>0.18044301800797699</v>
      </c>
      <c r="AF352" s="14">
        <v>0.142415947610537</v>
      </c>
      <c r="AG352" s="14">
        <v>0.117380030246949</v>
      </c>
      <c r="AH352" s="14"/>
      <c r="AI352" s="14">
        <v>0.15261035394581199</v>
      </c>
      <c r="AJ352" s="14">
        <v>0.16177047455393201</v>
      </c>
      <c r="AK352" s="14">
        <v>0.169218149999525</v>
      </c>
      <c r="AL352" s="14">
        <v>0.176190092954747</v>
      </c>
      <c r="AM352" s="14">
        <v>8.3700832251083407E-2</v>
      </c>
      <c r="AN352" s="14">
        <v>0.101316808515275</v>
      </c>
      <c r="AO352" s="14"/>
      <c r="AP352" s="14">
        <v>0.13893875623538601</v>
      </c>
      <c r="AQ352" s="14">
        <v>0.160073686546189</v>
      </c>
      <c r="AR352" s="14"/>
      <c r="AS352" s="14">
        <v>0.19544536971580201</v>
      </c>
      <c r="AT352" s="14">
        <v>0.13240116790435699</v>
      </c>
      <c r="AU352" s="14">
        <v>0.14236400487317499</v>
      </c>
      <c r="AV352" s="14"/>
      <c r="AW352" s="14">
        <v>0.14772423940791399</v>
      </c>
      <c r="AX352" s="14">
        <v>0.15244296895517701</v>
      </c>
      <c r="AY352" s="14"/>
      <c r="AZ352" s="14">
        <v>0.148401427924474</v>
      </c>
      <c r="BA352" s="14">
        <v>0.154637033657164</v>
      </c>
    </row>
    <row r="353" spans="2:53" x14ac:dyDescent="0.35">
      <c r="B353" t="s">
        <v>143</v>
      </c>
      <c r="C353" s="14">
        <v>2.8252553343791401E-2</v>
      </c>
      <c r="D353" s="14">
        <v>3.8381155007623603E-2</v>
      </c>
      <c r="E353" s="14">
        <v>1.8143244152009502E-2</v>
      </c>
      <c r="F353" s="14"/>
      <c r="G353" s="14">
        <v>0.26236785198036899</v>
      </c>
      <c r="H353" s="14">
        <v>2.2227458246334101E-2</v>
      </c>
      <c r="I353" s="14">
        <v>2.85745581428089E-2</v>
      </c>
      <c r="J353" s="14">
        <v>2.7158878937158799E-2</v>
      </c>
      <c r="K353" s="14">
        <v>3.10869308856149E-2</v>
      </c>
      <c r="L353" s="14">
        <v>0</v>
      </c>
      <c r="M353" s="14"/>
      <c r="N353" s="14">
        <v>2.38708593109439E-2</v>
      </c>
      <c r="O353" s="14">
        <v>2.16832847703913E-2</v>
      </c>
      <c r="P353" s="14">
        <v>2.62339483650465E-2</v>
      </c>
      <c r="Q353" s="14">
        <v>4.1912211650167001E-2</v>
      </c>
      <c r="R353" s="14"/>
      <c r="S353" s="14">
        <v>3.2961809189399803E-2</v>
      </c>
      <c r="T353" s="14">
        <v>3.03284685118646E-2</v>
      </c>
      <c r="U353" s="14">
        <v>3.88121159985765E-3</v>
      </c>
      <c r="V353" s="14">
        <v>5.3311078932825801E-2</v>
      </c>
      <c r="W353" s="14">
        <v>3.2284820822186699E-2</v>
      </c>
      <c r="X353" s="14">
        <v>5.5514702316305396E-3</v>
      </c>
      <c r="Y353" s="14">
        <v>2.7247600552256598E-2</v>
      </c>
      <c r="Z353" s="14">
        <v>2.9133461965158699E-2</v>
      </c>
      <c r="AA353" s="14">
        <v>3.26717676651175E-2</v>
      </c>
      <c r="AB353" s="14"/>
      <c r="AC353" s="14">
        <v>3.7824590399579298E-2</v>
      </c>
      <c r="AD353" s="14">
        <v>1.93737882139879E-2</v>
      </c>
      <c r="AE353" s="14">
        <v>1.7800554019850801E-2</v>
      </c>
      <c r="AF353" s="14">
        <v>2.9150612303134801E-2</v>
      </c>
      <c r="AG353" s="14">
        <v>1.9529758186023101E-2</v>
      </c>
      <c r="AH353" s="14"/>
      <c r="AI353" s="14">
        <v>2.1998271689044401E-2</v>
      </c>
      <c r="AJ353" s="14">
        <v>9.8276856398025296E-3</v>
      </c>
      <c r="AK353" s="14">
        <v>3.40095573690994E-2</v>
      </c>
      <c r="AL353" s="14">
        <v>5.32051949295307E-2</v>
      </c>
      <c r="AM353" s="14">
        <v>3.6756202491480101E-2</v>
      </c>
      <c r="AN353" s="14">
        <v>3.1187736257327601E-2</v>
      </c>
      <c r="AO353" s="14"/>
      <c r="AP353" s="14">
        <v>3.6436891630031901E-2</v>
      </c>
      <c r="AQ353" s="14">
        <v>1.9135076691075701E-2</v>
      </c>
      <c r="AR353" s="14"/>
      <c r="AS353" s="14">
        <v>2.9578082476170199E-2</v>
      </c>
      <c r="AT353" s="14">
        <v>2.0813445361084901E-2</v>
      </c>
      <c r="AU353" s="14">
        <v>3.00955158352464E-2</v>
      </c>
      <c r="AV353" s="14"/>
      <c r="AW353" s="14">
        <v>2.3986464496664601E-2</v>
      </c>
      <c r="AX353" s="14">
        <v>2.4184320705386099E-2</v>
      </c>
      <c r="AY353" s="14"/>
      <c r="AZ353" s="14">
        <v>2.93076140766972E-2</v>
      </c>
      <c r="BA353" s="14">
        <v>2.4912619599771799E-2</v>
      </c>
    </row>
    <row r="354" spans="2:53" x14ac:dyDescent="0.35">
      <c r="B354" t="s">
        <v>144</v>
      </c>
      <c r="C354" s="14">
        <v>1.55724949138213E-3</v>
      </c>
      <c r="D354" s="14">
        <v>1.2936296531159701E-3</v>
      </c>
      <c r="E354" s="14">
        <v>1.82258989482475E-3</v>
      </c>
      <c r="F354" s="14"/>
      <c r="G354" s="14">
        <v>0</v>
      </c>
      <c r="H354" s="14">
        <v>0</v>
      </c>
      <c r="I354" s="14">
        <v>2.1980543148582502E-3</v>
      </c>
      <c r="J354" s="14">
        <v>0</v>
      </c>
      <c r="K354" s="14">
        <v>6.4793574175601599E-3</v>
      </c>
      <c r="L354" s="14">
        <v>0</v>
      </c>
      <c r="M354" s="14"/>
      <c r="N354" s="14">
        <v>1.1635899063968599E-3</v>
      </c>
      <c r="O354" s="14">
        <v>2.4963723994747698E-3</v>
      </c>
      <c r="P354" s="14">
        <v>0</v>
      </c>
      <c r="Q354" s="14">
        <v>2.3945727745988202E-3</v>
      </c>
      <c r="R354" s="14"/>
      <c r="S354" s="14">
        <v>1.9609889265924801E-3</v>
      </c>
      <c r="T354" s="14">
        <v>0</v>
      </c>
      <c r="U354" s="14">
        <v>0</v>
      </c>
      <c r="V354" s="14">
        <v>0</v>
      </c>
      <c r="W354" s="14">
        <v>6.6301283968262896E-3</v>
      </c>
      <c r="X354" s="14">
        <v>0</v>
      </c>
      <c r="Y354" s="14">
        <v>0</v>
      </c>
      <c r="Z354" s="14">
        <v>0</v>
      </c>
      <c r="AA354" s="14">
        <v>4.9836421191954503E-3</v>
      </c>
      <c r="AB354" s="14"/>
      <c r="AC354" s="14">
        <v>0</v>
      </c>
      <c r="AD354" s="14">
        <v>2.79790660156372E-3</v>
      </c>
      <c r="AE354" s="14">
        <v>3.3079134014177901E-3</v>
      </c>
      <c r="AF354" s="14">
        <v>0</v>
      </c>
      <c r="AG354" s="14">
        <v>0</v>
      </c>
      <c r="AH354" s="14"/>
      <c r="AI354" s="14">
        <v>2.7347525599683898E-3</v>
      </c>
      <c r="AJ354" s="14">
        <v>0</v>
      </c>
      <c r="AK354" s="14">
        <v>6.6503223413586299E-3</v>
      </c>
      <c r="AL354" s="14">
        <v>0</v>
      </c>
      <c r="AM354" s="14">
        <v>0</v>
      </c>
      <c r="AN354" s="14">
        <v>0</v>
      </c>
      <c r="AO354" s="14"/>
      <c r="AP354" s="14">
        <v>2.9457592529671902E-3</v>
      </c>
      <c r="AQ354" s="14">
        <v>0</v>
      </c>
      <c r="AR354" s="14"/>
      <c r="AS354" s="14">
        <v>0</v>
      </c>
      <c r="AT354" s="14">
        <v>5.0806511018998404E-3</v>
      </c>
      <c r="AU354" s="14">
        <v>9.3450664518904302E-4</v>
      </c>
      <c r="AV354" s="14"/>
      <c r="AW354" s="14">
        <v>2.0722787519981E-3</v>
      </c>
      <c r="AX354" s="14">
        <v>0</v>
      </c>
      <c r="AY354" s="14"/>
      <c r="AZ354" s="14">
        <v>1.5845883932012199E-3</v>
      </c>
      <c r="BA354" s="14">
        <v>1.4880539596080699E-3</v>
      </c>
    </row>
    <row r="355" spans="2:53" x14ac:dyDescent="0.35">
      <c r="B355" t="s">
        <v>80</v>
      </c>
      <c r="C355" s="14">
        <v>1.4147249714791E-2</v>
      </c>
      <c r="D355" s="14">
        <v>5.9207637156720996E-3</v>
      </c>
      <c r="E355" s="14">
        <v>2.2394029539947201E-2</v>
      </c>
      <c r="F355" s="14"/>
      <c r="G355" s="14">
        <v>0</v>
      </c>
      <c r="H355" s="14">
        <v>1.7459934873299301E-2</v>
      </c>
      <c r="I355" s="14">
        <v>1.5974884333692398E-2</v>
      </c>
      <c r="J355" s="14">
        <v>7.64617027046211E-3</v>
      </c>
      <c r="K355" s="14">
        <v>0</v>
      </c>
      <c r="L355" s="14">
        <v>0.148895097137344</v>
      </c>
      <c r="M355" s="14"/>
      <c r="N355" s="14">
        <v>1.53780878432271E-3</v>
      </c>
      <c r="O355" s="14">
        <v>3.6626343087300898E-3</v>
      </c>
      <c r="P355" s="14">
        <v>1.4037135364438199E-2</v>
      </c>
      <c r="Q355" s="14">
        <v>3.8914014546443297E-2</v>
      </c>
      <c r="R355" s="14"/>
      <c r="S355" s="14">
        <v>7.2962959313025303E-3</v>
      </c>
      <c r="T355" s="14">
        <v>7.9444352722605905E-3</v>
      </c>
      <c r="U355" s="14">
        <v>1.54139969229918E-2</v>
      </c>
      <c r="V355" s="14">
        <v>3.4653601363277102E-2</v>
      </c>
      <c r="W355" s="14">
        <v>2.54913971643158E-2</v>
      </c>
      <c r="X355" s="14">
        <v>2.0789413782065499E-2</v>
      </c>
      <c r="Y355" s="14">
        <v>8.1679898012856703E-3</v>
      </c>
      <c r="Z355" s="14">
        <v>0</v>
      </c>
      <c r="AA355" s="14">
        <v>8.9216143415203394E-3</v>
      </c>
      <c r="AB355" s="14"/>
      <c r="AC355" s="14">
        <v>2.0759062683114601E-2</v>
      </c>
      <c r="AD355" s="14">
        <v>1.23711630203202E-2</v>
      </c>
      <c r="AE355" s="14">
        <v>1.4266410988129699E-3</v>
      </c>
      <c r="AF355" s="14">
        <v>6.6711785142391997E-3</v>
      </c>
      <c r="AG355" s="14">
        <v>0</v>
      </c>
      <c r="AH355" s="14"/>
      <c r="AI355" s="14">
        <v>1.10387957902647E-2</v>
      </c>
      <c r="AJ355" s="14">
        <v>3.6053276316378698E-3</v>
      </c>
      <c r="AK355" s="14">
        <v>1.3001601640146101E-2</v>
      </c>
      <c r="AL355" s="14">
        <v>1.1692668973218299E-2</v>
      </c>
      <c r="AM355" s="14">
        <v>0</v>
      </c>
      <c r="AN355" s="14">
        <v>4.9445286048562201E-2</v>
      </c>
      <c r="AO355" s="14"/>
      <c r="AP355" s="14">
        <v>6.7927324617767099E-3</v>
      </c>
      <c r="AQ355" s="14">
        <v>2.2467705890523899E-2</v>
      </c>
      <c r="AR355" s="14"/>
      <c r="AS355" s="14">
        <v>6.9958607736345796E-3</v>
      </c>
      <c r="AT355" s="14">
        <v>1.88734267450394E-2</v>
      </c>
      <c r="AU355" s="14">
        <v>1.4674429907312001E-2</v>
      </c>
      <c r="AV355" s="14"/>
      <c r="AW355" s="14">
        <v>1.36936041852622E-2</v>
      </c>
      <c r="AX355" s="14">
        <v>4.4331616946869396E-3</v>
      </c>
      <c r="AY355" s="14"/>
      <c r="AZ355" s="14">
        <v>6.8069948451286097E-3</v>
      </c>
      <c r="BA355" s="14">
        <v>2.58515089317299E-2</v>
      </c>
    </row>
    <row r="356" spans="2:53" x14ac:dyDescent="0.35"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</row>
    <row r="357" spans="2:53" x14ac:dyDescent="0.35">
      <c r="B357" s="6" t="s">
        <v>153</v>
      </c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</row>
    <row r="358" spans="2:53" x14ac:dyDescent="0.35">
      <c r="B358" s="24" t="s">
        <v>118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</row>
    <row r="359" spans="2:53" x14ac:dyDescent="0.35">
      <c r="B359" t="s">
        <v>139</v>
      </c>
      <c r="C359" s="14">
        <v>0.32712010169226002</v>
      </c>
      <c r="D359" s="14">
        <v>0.37984173224048001</v>
      </c>
      <c r="E359" s="14">
        <v>0.27467346281830202</v>
      </c>
      <c r="F359" s="14"/>
      <c r="G359" s="14">
        <v>0.33515900218295103</v>
      </c>
      <c r="H359" s="14">
        <v>0.28200517303433498</v>
      </c>
      <c r="I359" s="14">
        <v>0.300860015951599</v>
      </c>
      <c r="J359" s="14">
        <v>0.351592042978912</v>
      </c>
      <c r="K359" s="14">
        <v>0.45295110173111403</v>
      </c>
      <c r="L359" s="14">
        <v>0.27451692492615498</v>
      </c>
      <c r="M359" s="14"/>
      <c r="N359" s="14">
        <v>0.34673826063578</v>
      </c>
      <c r="O359" s="14">
        <v>0.30755202201599102</v>
      </c>
      <c r="P359" s="14">
        <v>0.324778885246923</v>
      </c>
      <c r="Q359" s="14">
        <v>0.32492677547929599</v>
      </c>
      <c r="R359" s="14"/>
      <c r="S359" s="14">
        <v>0.349328412115613</v>
      </c>
      <c r="T359" s="14">
        <v>0.33315849775033002</v>
      </c>
      <c r="U359" s="14">
        <v>0.32863182859141798</v>
      </c>
      <c r="V359" s="14">
        <v>0.23901434104953501</v>
      </c>
      <c r="W359" s="14">
        <v>0.33895692711693198</v>
      </c>
      <c r="X359" s="14">
        <v>0.34954038693415301</v>
      </c>
      <c r="Y359" s="14">
        <v>0.278435972410772</v>
      </c>
      <c r="Z359" s="14">
        <v>0.34254101207057902</v>
      </c>
      <c r="AA359" s="14">
        <v>0.37195996081326599</v>
      </c>
      <c r="AB359" s="14"/>
      <c r="AC359" s="14">
        <v>0.31082738960434098</v>
      </c>
      <c r="AD359" s="14">
        <v>0.34411770161329902</v>
      </c>
      <c r="AE359" s="14">
        <v>0.31353451618493999</v>
      </c>
      <c r="AF359" s="14">
        <v>0.334628607886994</v>
      </c>
      <c r="AG359" s="14">
        <v>0.37350096282935802</v>
      </c>
      <c r="AH359" s="14"/>
      <c r="AI359" s="14">
        <v>0.349476361200031</v>
      </c>
      <c r="AJ359" s="14">
        <v>0.32860652734204698</v>
      </c>
      <c r="AK359" s="14">
        <v>0.35333773307844302</v>
      </c>
      <c r="AL359" s="14">
        <v>0.32416022845771802</v>
      </c>
      <c r="AM359" s="14">
        <v>0.31480741668456702</v>
      </c>
      <c r="AN359" s="14">
        <v>0.30487983222141202</v>
      </c>
      <c r="AO359" s="14"/>
      <c r="AP359" s="14">
        <v>0.33057580506971301</v>
      </c>
      <c r="AQ359" s="14">
        <v>0.323619374204551</v>
      </c>
      <c r="AR359" s="14"/>
      <c r="AS359" s="14">
        <v>0.32730144920000598</v>
      </c>
      <c r="AT359" s="14">
        <v>0.28768592754739503</v>
      </c>
      <c r="AU359" s="14">
        <v>0.33873179115569602</v>
      </c>
      <c r="AV359" s="14"/>
      <c r="AW359" s="14">
        <v>0.324483723055774</v>
      </c>
      <c r="AX359" s="14">
        <v>0.39262938204483999</v>
      </c>
      <c r="AY359" s="14"/>
      <c r="AZ359" s="14">
        <v>0.340674384599923</v>
      </c>
      <c r="BA359" s="14">
        <v>0.28345872250978799</v>
      </c>
    </row>
    <row r="360" spans="2:53" x14ac:dyDescent="0.35">
      <c r="B360" t="s">
        <v>140</v>
      </c>
      <c r="C360" s="14">
        <v>0.33319543976384403</v>
      </c>
      <c r="D360" s="14">
        <v>0.32515409652171601</v>
      </c>
      <c r="E360" s="14">
        <v>0.34156625062240598</v>
      </c>
      <c r="F360" s="14"/>
      <c r="G360" s="14">
        <v>0.44949910000115401</v>
      </c>
      <c r="H360" s="14">
        <v>0.34257199539850502</v>
      </c>
      <c r="I360" s="14">
        <v>0.35091554699378102</v>
      </c>
      <c r="J360" s="14">
        <v>0.30888346431538799</v>
      </c>
      <c r="K360" s="14">
        <v>0.30795659541591103</v>
      </c>
      <c r="L360" s="14">
        <v>0.32538096763855201</v>
      </c>
      <c r="M360" s="14"/>
      <c r="N360" s="14">
        <v>0.33920780596811501</v>
      </c>
      <c r="O360" s="14">
        <v>0.36392321007002498</v>
      </c>
      <c r="P360" s="14">
        <v>0.34715605470545202</v>
      </c>
      <c r="Q360" s="14">
        <v>0.28449160876852903</v>
      </c>
      <c r="R360" s="14"/>
      <c r="S360" s="14">
        <v>0.31311938152048002</v>
      </c>
      <c r="T360" s="14">
        <v>0.32853320980799</v>
      </c>
      <c r="U360" s="14">
        <v>0.32039776189279401</v>
      </c>
      <c r="V360" s="14">
        <v>0.450321936708241</v>
      </c>
      <c r="W360" s="14">
        <v>0.319319322389501</v>
      </c>
      <c r="X360" s="14">
        <v>0.29410882655463799</v>
      </c>
      <c r="Y360" s="14">
        <v>0.35063273426133601</v>
      </c>
      <c r="Z360" s="14">
        <v>0.35415306653849898</v>
      </c>
      <c r="AA360" s="14">
        <v>0.29261237844257298</v>
      </c>
      <c r="AB360" s="14"/>
      <c r="AC360" s="14">
        <v>0.302293943815375</v>
      </c>
      <c r="AD360" s="14">
        <v>0.32231213297408901</v>
      </c>
      <c r="AE360" s="14">
        <v>0.36114905728393498</v>
      </c>
      <c r="AF360" s="14">
        <v>0.340733517321549</v>
      </c>
      <c r="AG360" s="14">
        <v>0.30203848534337902</v>
      </c>
      <c r="AH360" s="14"/>
      <c r="AI360" s="14">
        <v>0.31643287263646402</v>
      </c>
      <c r="AJ360" s="14">
        <v>0.37266368149602702</v>
      </c>
      <c r="AK360" s="14">
        <v>0.33931117841222103</v>
      </c>
      <c r="AL360" s="14">
        <v>0.33079903276654699</v>
      </c>
      <c r="AM360" s="14">
        <v>0.36405528837441897</v>
      </c>
      <c r="AN360" s="14">
        <v>0.29602214538992999</v>
      </c>
      <c r="AO360" s="14"/>
      <c r="AP360" s="14">
        <v>0.33808265015482197</v>
      </c>
      <c r="AQ360" s="14">
        <v>0.32877045288343798</v>
      </c>
      <c r="AR360" s="14"/>
      <c r="AS360" s="14">
        <v>0.35462534589432498</v>
      </c>
      <c r="AT360" s="14">
        <v>0.35589135528416299</v>
      </c>
      <c r="AU360" s="14">
        <v>0.32071683135443602</v>
      </c>
      <c r="AV360" s="14"/>
      <c r="AW360" s="14">
        <v>0.34481181896763802</v>
      </c>
      <c r="AX360" s="14">
        <v>0.29154780343033998</v>
      </c>
      <c r="AY360" s="14"/>
      <c r="AZ360" s="14">
        <v>0.32568025666563399</v>
      </c>
      <c r="BA360" s="14">
        <v>0.36822247749074499</v>
      </c>
    </row>
    <row r="361" spans="2:53" x14ac:dyDescent="0.35">
      <c r="B361" t="s">
        <v>141</v>
      </c>
      <c r="C361" s="14">
        <v>0.29359559373611999</v>
      </c>
      <c r="D361" s="14">
        <v>0.250682945293073</v>
      </c>
      <c r="E361" s="14">
        <v>0.335857685671685</v>
      </c>
      <c r="F361" s="14"/>
      <c r="G361" s="14">
        <v>0.106726992300354</v>
      </c>
      <c r="H361" s="14">
        <v>0.32725582050248098</v>
      </c>
      <c r="I361" s="14">
        <v>0.29715367946106702</v>
      </c>
      <c r="J361" s="14">
        <v>0.29966291513063897</v>
      </c>
      <c r="K361" s="14">
        <v>0.220198276078241</v>
      </c>
      <c r="L361" s="14">
        <v>0.25120701029794801</v>
      </c>
      <c r="M361" s="14"/>
      <c r="N361" s="14">
        <v>0.280976803399825</v>
      </c>
      <c r="O361" s="14">
        <v>0.30138283839568603</v>
      </c>
      <c r="P361" s="14">
        <v>0.27054931270142801</v>
      </c>
      <c r="Q361" s="14">
        <v>0.32027665280456802</v>
      </c>
      <c r="R361" s="14"/>
      <c r="S361" s="14">
        <v>0.265367521088336</v>
      </c>
      <c r="T361" s="14">
        <v>0.299810771428631</v>
      </c>
      <c r="U361" s="14">
        <v>0.31889075217408303</v>
      </c>
      <c r="V361" s="14">
        <v>0.24428040512038701</v>
      </c>
      <c r="W361" s="14">
        <v>0.29086896874092999</v>
      </c>
      <c r="X361" s="14">
        <v>0.32140544085588102</v>
      </c>
      <c r="Y361" s="14">
        <v>0.29801035316998697</v>
      </c>
      <c r="Z361" s="14">
        <v>0.303305921390922</v>
      </c>
      <c r="AA361" s="14">
        <v>0.316197303250976</v>
      </c>
      <c r="AB361" s="14"/>
      <c r="AC361" s="14">
        <v>0.31996084262965901</v>
      </c>
      <c r="AD361" s="14">
        <v>0.29396876672279898</v>
      </c>
      <c r="AE361" s="14">
        <v>0.29514466236418402</v>
      </c>
      <c r="AF361" s="14">
        <v>0.28494427146122298</v>
      </c>
      <c r="AG361" s="14">
        <v>0.28929310291107102</v>
      </c>
      <c r="AH361" s="14"/>
      <c r="AI361" s="14">
        <v>0.28220809933806601</v>
      </c>
      <c r="AJ361" s="14">
        <v>0.25872667103904301</v>
      </c>
      <c r="AK361" s="14">
        <v>0.26208943835849402</v>
      </c>
      <c r="AL361" s="14">
        <v>0.29039264123486203</v>
      </c>
      <c r="AM361" s="14">
        <v>0.31922063455628602</v>
      </c>
      <c r="AN361" s="14">
        <v>0.33953457348632099</v>
      </c>
      <c r="AO361" s="14"/>
      <c r="AP361" s="14">
        <v>0.297857679740134</v>
      </c>
      <c r="AQ361" s="14">
        <v>0.28719038277036402</v>
      </c>
      <c r="AR361" s="14"/>
      <c r="AS361" s="14">
        <v>0.26659183980777001</v>
      </c>
      <c r="AT361" s="14">
        <v>0.31969609323343601</v>
      </c>
      <c r="AU361" s="14">
        <v>0.293145452742961</v>
      </c>
      <c r="AV361" s="14"/>
      <c r="AW361" s="14">
        <v>0.291868826378965</v>
      </c>
      <c r="AX361" s="14">
        <v>0.258813306586958</v>
      </c>
      <c r="AY361" s="14"/>
      <c r="AZ361" s="14">
        <v>0.29068730477117299</v>
      </c>
      <c r="BA361" s="14">
        <v>0.30554963970657301</v>
      </c>
    </row>
    <row r="362" spans="2:53" x14ac:dyDescent="0.35">
      <c r="B362" t="s">
        <v>142</v>
      </c>
      <c r="C362" s="14">
        <v>1.6611984632594001E-2</v>
      </c>
      <c r="D362" s="14">
        <v>2.0034563082186499E-2</v>
      </c>
      <c r="E362" s="14">
        <v>1.3202775063007301E-2</v>
      </c>
      <c r="F362" s="14"/>
      <c r="G362" s="14">
        <v>0</v>
      </c>
      <c r="H362" s="14">
        <v>2.5555825653012398E-2</v>
      </c>
      <c r="I362" s="14">
        <v>1.9296379984488E-2</v>
      </c>
      <c r="J362" s="14">
        <v>1.4497343766576701E-2</v>
      </c>
      <c r="K362" s="14">
        <v>0</v>
      </c>
      <c r="L362" s="14">
        <v>0</v>
      </c>
      <c r="M362" s="14"/>
      <c r="N362" s="14">
        <v>1.90766907180752E-2</v>
      </c>
      <c r="O362" s="14">
        <v>8.1993958114050403E-3</v>
      </c>
      <c r="P362" s="14">
        <v>2.3854425769235701E-2</v>
      </c>
      <c r="Q362" s="14">
        <v>1.65133526287417E-2</v>
      </c>
      <c r="R362" s="14"/>
      <c r="S362" s="14">
        <v>3.6100013373911097E-2</v>
      </c>
      <c r="T362" s="14">
        <v>7.9476559444094201E-3</v>
      </c>
      <c r="U362" s="14">
        <v>1.15390349997813E-2</v>
      </c>
      <c r="V362" s="14">
        <v>1.6137127310011101E-2</v>
      </c>
      <c r="W362" s="14">
        <v>1.8443210766375302E-2</v>
      </c>
      <c r="X362" s="14">
        <v>1.00276679916216E-2</v>
      </c>
      <c r="Y362" s="14">
        <v>3.81942120443916E-2</v>
      </c>
      <c r="Z362" s="14">
        <v>0</v>
      </c>
      <c r="AA362" s="14">
        <v>1.1406145811659199E-3</v>
      </c>
      <c r="AB362" s="14"/>
      <c r="AC362" s="14">
        <v>1.6377207242002399E-2</v>
      </c>
      <c r="AD362" s="14">
        <v>1.9961652454242699E-2</v>
      </c>
      <c r="AE362" s="14">
        <v>1.2173096712312301E-2</v>
      </c>
      <c r="AF362" s="14">
        <v>1.7126432867373E-2</v>
      </c>
      <c r="AG362" s="14">
        <v>6.5828980401571001E-3</v>
      </c>
      <c r="AH362" s="14"/>
      <c r="AI362" s="14">
        <v>2.9251577531052501E-2</v>
      </c>
      <c r="AJ362" s="14">
        <v>1.9294813141726999E-2</v>
      </c>
      <c r="AK362" s="14">
        <v>6.4126971782978099E-3</v>
      </c>
      <c r="AL362" s="14">
        <v>1.30459608845128E-2</v>
      </c>
      <c r="AM362" s="14">
        <v>0</v>
      </c>
      <c r="AN362" s="14">
        <v>4.5619700512029996E-3</v>
      </c>
      <c r="AO362" s="14"/>
      <c r="AP362" s="14">
        <v>1.19906699482495E-2</v>
      </c>
      <c r="AQ362" s="14">
        <v>2.1865148006475901E-2</v>
      </c>
      <c r="AR362" s="14"/>
      <c r="AS362" s="14">
        <v>3.1922665596602402E-2</v>
      </c>
      <c r="AT362" s="14">
        <v>1.3022683833072399E-2</v>
      </c>
      <c r="AU362" s="14">
        <v>1.35526856225399E-2</v>
      </c>
      <c r="AV362" s="14"/>
      <c r="AW362" s="14">
        <v>1.7376322804213501E-2</v>
      </c>
      <c r="AX362" s="14">
        <v>1.8205570292000199E-2</v>
      </c>
      <c r="AY362" s="14"/>
      <c r="AZ362" s="14">
        <v>1.8764825156727699E-2</v>
      </c>
      <c r="BA362" s="14">
        <v>8.9340666013249595E-3</v>
      </c>
    </row>
    <row r="363" spans="2:53" x14ac:dyDescent="0.35">
      <c r="B363" t="s">
        <v>143</v>
      </c>
      <c r="C363" s="14">
        <v>6.6898098361516996E-3</v>
      </c>
      <c r="D363" s="14">
        <v>8.5840331864040307E-3</v>
      </c>
      <c r="E363" s="14">
        <v>4.8005577402928396E-3</v>
      </c>
      <c r="F363" s="14"/>
      <c r="G363" s="14">
        <v>0</v>
      </c>
      <c r="H363" s="14">
        <v>1.7803151248407701E-3</v>
      </c>
      <c r="I363" s="14">
        <v>3.9444620242609302E-3</v>
      </c>
      <c r="J363" s="14">
        <v>1.12207970569141E-2</v>
      </c>
      <c r="K363" s="14">
        <v>1.4348009334001601E-2</v>
      </c>
      <c r="L363" s="14">
        <v>0</v>
      </c>
      <c r="M363" s="14"/>
      <c r="N363" s="14">
        <v>9.4997519177209798E-3</v>
      </c>
      <c r="O363" s="14">
        <v>6.8707360413064597E-3</v>
      </c>
      <c r="P363" s="14">
        <v>2.2961721672115402E-3</v>
      </c>
      <c r="Q363" s="14">
        <v>7.4108455410192399E-3</v>
      </c>
      <c r="R363" s="14"/>
      <c r="S363" s="14">
        <v>9.4581807633533702E-3</v>
      </c>
      <c r="T363" s="14">
        <v>4.3758886069926797E-3</v>
      </c>
      <c r="U363" s="14">
        <v>1.31917471642656E-2</v>
      </c>
      <c r="V363" s="14">
        <v>0</v>
      </c>
      <c r="W363" s="14">
        <v>6.9201738219462402E-3</v>
      </c>
      <c r="X363" s="14">
        <v>9.3729519923733302E-3</v>
      </c>
      <c r="Y363" s="14">
        <v>9.0068665698292902E-3</v>
      </c>
      <c r="Z363" s="14">
        <v>0</v>
      </c>
      <c r="AA363" s="14">
        <v>5.3251010324699101E-3</v>
      </c>
      <c r="AB363" s="14"/>
      <c r="AC363" s="14">
        <v>1.20971409653027E-2</v>
      </c>
      <c r="AD363" s="14">
        <v>2.3599380179482698E-3</v>
      </c>
      <c r="AE363" s="14">
        <v>6.4696177871159596E-3</v>
      </c>
      <c r="AF363" s="14">
        <v>6.4766899070642196E-3</v>
      </c>
      <c r="AG363" s="14">
        <v>4.12371804303884E-3</v>
      </c>
      <c r="AH363" s="14"/>
      <c r="AI363" s="14">
        <v>2.3052592974239601E-3</v>
      </c>
      <c r="AJ363" s="14">
        <v>6.98208329411868E-3</v>
      </c>
      <c r="AK363" s="14">
        <v>8.9990013759166897E-3</v>
      </c>
      <c r="AL363" s="14">
        <v>1.6401947900902401E-2</v>
      </c>
      <c r="AM363" s="14">
        <v>1.91666038472801E-3</v>
      </c>
      <c r="AN363" s="14">
        <v>9.2391271112842403E-3</v>
      </c>
      <c r="AO363" s="14"/>
      <c r="AP363" s="14">
        <v>7.3243909884335399E-3</v>
      </c>
      <c r="AQ363" s="14">
        <v>5.9973767495666696E-3</v>
      </c>
      <c r="AR363" s="14"/>
      <c r="AS363" s="14">
        <v>9.5106357616984005E-3</v>
      </c>
      <c r="AT363" s="14">
        <v>0</v>
      </c>
      <c r="AU363" s="14">
        <v>7.9087719534470993E-3</v>
      </c>
      <c r="AV363" s="14"/>
      <c r="AW363" s="14">
        <v>2.7507415559161899E-3</v>
      </c>
      <c r="AX363" s="14">
        <v>1.37736607090202E-2</v>
      </c>
      <c r="AY363" s="14"/>
      <c r="AZ363" s="14">
        <v>6.9892393093937298E-3</v>
      </c>
      <c r="BA363" s="14">
        <v>5.7139973620090202E-3</v>
      </c>
    </row>
    <row r="364" spans="2:53" x14ac:dyDescent="0.35">
      <c r="B364" t="s">
        <v>144</v>
      </c>
      <c r="C364" s="14">
        <v>4.0521878544616096E-3</v>
      </c>
      <c r="D364" s="14">
        <v>5.6105586980862597E-3</v>
      </c>
      <c r="E364" s="14">
        <v>2.4964995988405502E-3</v>
      </c>
      <c r="F364" s="14"/>
      <c r="G364" s="14">
        <v>0.108614905515542</v>
      </c>
      <c r="H364" s="14">
        <v>0</v>
      </c>
      <c r="I364" s="14">
        <v>7.9430875788611896E-3</v>
      </c>
      <c r="J364" s="14">
        <v>0</v>
      </c>
      <c r="K364" s="14">
        <v>0</v>
      </c>
      <c r="L364" s="14">
        <v>0</v>
      </c>
      <c r="M364" s="14"/>
      <c r="N364" s="14">
        <v>5.8256328439596904E-4</v>
      </c>
      <c r="O364" s="14">
        <v>2.64528220344161E-3</v>
      </c>
      <c r="P364" s="14">
        <v>4.5132516198188501E-3</v>
      </c>
      <c r="Q364" s="14">
        <v>8.9012307006213903E-3</v>
      </c>
      <c r="R364" s="14"/>
      <c r="S364" s="14">
        <v>8.9196298911829296E-3</v>
      </c>
      <c r="T364" s="14">
        <v>1.6439074569435101E-2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/>
      <c r="AC364" s="14">
        <v>4.8684144352837801E-3</v>
      </c>
      <c r="AD364" s="14">
        <v>0</v>
      </c>
      <c r="AE364" s="14">
        <v>2.3613664725803899E-3</v>
      </c>
      <c r="AF364" s="14">
        <v>7.6458535783513601E-3</v>
      </c>
      <c r="AG364" s="14">
        <v>2.4460832832996299E-2</v>
      </c>
      <c r="AH364" s="14"/>
      <c r="AI364" s="14">
        <v>1.95221344160489E-3</v>
      </c>
      <c r="AJ364" s="14">
        <v>1.0120896055399901E-2</v>
      </c>
      <c r="AK364" s="14">
        <v>1.10254209069219E-2</v>
      </c>
      <c r="AL364" s="14">
        <v>3.7853489888101601E-3</v>
      </c>
      <c r="AM364" s="14">
        <v>0</v>
      </c>
      <c r="AN364" s="14">
        <v>0</v>
      </c>
      <c r="AO364" s="14"/>
      <c r="AP364" s="14">
        <v>2.6956619596834202E-3</v>
      </c>
      <c r="AQ364" s="14">
        <v>5.5915288992249602E-3</v>
      </c>
      <c r="AR364" s="14"/>
      <c r="AS364" s="14">
        <v>3.3888253078113999E-3</v>
      </c>
      <c r="AT364" s="14">
        <v>0</v>
      </c>
      <c r="AU364" s="14">
        <v>5.4289343824248902E-3</v>
      </c>
      <c r="AV364" s="14"/>
      <c r="AW364" s="14">
        <v>1.3175213688847701E-3</v>
      </c>
      <c r="AX364" s="14">
        <v>1.4544178268986499E-2</v>
      </c>
      <c r="AY364" s="14"/>
      <c r="AZ364" s="14">
        <v>5.1618081128604098E-3</v>
      </c>
      <c r="BA364" s="14">
        <v>0</v>
      </c>
    </row>
    <row r="365" spans="2:53" x14ac:dyDescent="0.35">
      <c r="B365" t="s">
        <v>80</v>
      </c>
      <c r="C365" s="14">
        <v>1.8734882484568099E-2</v>
      </c>
      <c r="D365" s="14">
        <v>1.00920709780542E-2</v>
      </c>
      <c r="E365" s="14">
        <v>2.7402768485466598E-2</v>
      </c>
      <c r="F365" s="14"/>
      <c r="G365" s="14">
        <v>0</v>
      </c>
      <c r="H365" s="14">
        <v>2.0830870286825998E-2</v>
      </c>
      <c r="I365" s="14">
        <v>1.9886828005942599E-2</v>
      </c>
      <c r="J365" s="14">
        <v>1.41434367515706E-2</v>
      </c>
      <c r="K365" s="14">
        <v>4.5460174407328698E-3</v>
      </c>
      <c r="L365" s="14">
        <v>0.148895097137344</v>
      </c>
      <c r="M365" s="14"/>
      <c r="N365" s="14">
        <v>3.9181240760878498E-3</v>
      </c>
      <c r="O365" s="14">
        <v>9.4265154621446193E-3</v>
      </c>
      <c r="P365" s="14">
        <v>2.68518977899313E-2</v>
      </c>
      <c r="Q365" s="14">
        <v>3.7479534077224999E-2</v>
      </c>
      <c r="R365" s="14"/>
      <c r="S365" s="14">
        <v>1.7706861247123101E-2</v>
      </c>
      <c r="T365" s="14">
        <v>9.7349018922119595E-3</v>
      </c>
      <c r="U365" s="14">
        <v>7.3488751776576303E-3</v>
      </c>
      <c r="V365" s="14">
        <v>5.0246189811825902E-2</v>
      </c>
      <c r="W365" s="14">
        <v>2.54913971643158E-2</v>
      </c>
      <c r="X365" s="14">
        <v>1.5544725671332599E-2</v>
      </c>
      <c r="Y365" s="14">
        <v>2.5719861543684601E-2</v>
      </c>
      <c r="Z365" s="14">
        <v>0</v>
      </c>
      <c r="AA365" s="14">
        <v>1.27646418795499E-2</v>
      </c>
      <c r="AB365" s="14"/>
      <c r="AC365" s="14">
        <v>3.3575061308036801E-2</v>
      </c>
      <c r="AD365" s="14">
        <v>1.7279808217621699E-2</v>
      </c>
      <c r="AE365" s="14">
        <v>9.1676831949321792E-3</v>
      </c>
      <c r="AF365" s="14">
        <v>8.4446269774454599E-3</v>
      </c>
      <c r="AG365" s="14">
        <v>0</v>
      </c>
      <c r="AH365" s="14"/>
      <c r="AI365" s="14">
        <v>1.8373616555358199E-2</v>
      </c>
      <c r="AJ365" s="14">
        <v>3.6053276316378698E-3</v>
      </c>
      <c r="AK365" s="14">
        <v>1.8824530689706499E-2</v>
      </c>
      <c r="AL365" s="14">
        <v>2.1414839766647702E-2</v>
      </c>
      <c r="AM365" s="14">
        <v>0</v>
      </c>
      <c r="AN365" s="14">
        <v>4.5762351739849001E-2</v>
      </c>
      <c r="AO365" s="14"/>
      <c r="AP365" s="14">
        <v>1.14731421389642E-2</v>
      </c>
      <c r="AQ365" s="14">
        <v>2.6965736486379299E-2</v>
      </c>
      <c r="AR365" s="14"/>
      <c r="AS365" s="14">
        <v>6.6592384317869097E-3</v>
      </c>
      <c r="AT365" s="14">
        <v>2.37039401019341E-2</v>
      </c>
      <c r="AU365" s="14">
        <v>2.0515532788496001E-2</v>
      </c>
      <c r="AV365" s="14"/>
      <c r="AW365" s="14">
        <v>1.7391045868608599E-2</v>
      </c>
      <c r="AX365" s="14">
        <v>1.04860986678542E-2</v>
      </c>
      <c r="AY365" s="14"/>
      <c r="AZ365" s="14">
        <v>1.20421813842881E-2</v>
      </c>
      <c r="BA365" s="14">
        <v>2.8121096329559499E-2</v>
      </c>
    </row>
    <row r="366" spans="2:53" x14ac:dyDescent="0.35"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</row>
    <row r="367" spans="2:53" x14ac:dyDescent="0.35">
      <c r="B367" s="6" t="s">
        <v>156</v>
      </c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</row>
    <row r="368" spans="2:53" x14ac:dyDescent="0.35">
      <c r="B368" s="24" t="s">
        <v>118</v>
      </c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</row>
    <row r="369" spans="2:53" x14ac:dyDescent="0.35">
      <c r="B369" t="s">
        <v>154</v>
      </c>
      <c r="C369" s="14">
        <v>0.48055055638501398</v>
      </c>
      <c r="D369" s="14">
        <v>0.54645527171893904</v>
      </c>
      <c r="E369" s="14">
        <v>0.415059044629639</v>
      </c>
      <c r="F369" s="14"/>
      <c r="G369" s="14">
        <v>0.95284747022808303</v>
      </c>
      <c r="H369" s="14">
        <v>0.56456282956881698</v>
      </c>
      <c r="I369" s="14">
        <v>0.494857125854127</v>
      </c>
      <c r="J369" s="14">
        <v>0.43285408904214401</v>
      </c>
      <c r="K369" s="14">
        <v>0.41895449137256902</v>
      </c>
      <c r="L369" s="14">
        <v>0.39493726070712398</v>
      </c>
      <c r="M369" s="14"/>
      <c r="N369" s="14">
        <v>0.64743378109180505</v>
      </c>
      <c r="O369" s="14">
        <v>0.457858267998347</v>
      </c>
      <c r="P369" s="14">
        <v>0.44011585897986899</v>
      </c>
      <c r="Q369" s="14">
        <v>0.36003053837834897</v>
      </c>
      <c r="R369" s="14"/>
      <c r="S369" s="14">
        <v>0.66508597632854205</v>
      </c>
      <c r="T369" s="14">
        <v>0.46528579588007901</v>
      </c>
      <c r="U369" s="14">
        <v>0.399015895478949</v>
      </c>
      <c r="V369" s="14">
        <v>0.42822152051302798</v>
      </c>
      <c r="W369" s="14">
        <v>0.45940069603157302</v>
      </c>
      <c r="X369" s="14">
        <v>0.427651054013934</v>
      </c>
      <c r="Y369" s="14">
        <v>0.46904348908793297</v>
      </c>
      <c r="Z369" s="14">
        <v>0.42836711014668899</v>
      </c>
      <c r="AA369" s="14">
        <v>0.46397701918857998</v>
      </c>
      <c r="AB369" s="14"/>
      <c r="AC369" s="14">
        <v>0.14936842022210101</v>
      </c>
      <c r="AD369" s="14">
        <v>0.48265131925021498</v>
      </c>
      <c r="AE369" s="14">
        <v>0.59172525642567797</v>
      </c>
      <c r="AF369" s="14">
        <v>0.73092062008007996</v>
      </c>
      <c r="AG369" s="14">
        <v>0.77922543571701797</v>
      </c>
      <c r="AH369" s="14"/>
      <c r="AI369" s="14">
        <v>0.53333069200035799</v>
      </c>
      <c r="AJ369" s="14">
        <v>0.54330828488341398</v>
      </c>
      <c r="AK369" s="14">
        <v>0.557261962081814</v>
      </c>
      <c r="AL369" s="14">
        <v>0.42375269565547402</v>
      </c>
      <c r="AM369" s="14">
        <v>0.36573050552490299</v>
      </c>
      <c r="AN369" s="14">
        <v>0.41415343386973702</v>
      </c>
      <c r="AO369" s="14"/>
      <c r="AP369" s="14">
        <v>0.51559801383023496</v>
      </c>
      <c r="AQ369" s="14">
        <v>0.44080331124844702</v>
      </c>
      <c r="AR369" s="14"/>
      <c r="AS369" s="14">
        <v>0.54819301078409499</v>
      </c>
      <c r="AT369" s="14">
        <v>0.44857822361627803</v>
      </c>
      <c r="AU369" s="14">
        <v>0.47179967916090199</v>
      </c>
      <c r="AV369" s="14"/>
      <c r="AW369" s="14">
        <v>0.44051555179873098</v>
      </c>
      <c r="AX369" s="14">
        <v>0.74391375129320303</v>
      </c>
      <c r="AY369" s="14"/>
      <c r="AZ369" s="14">
        <v>0.55337488579621397</v>
      </c>
      <c r="BA369" s="14">
        <v>0.21668385697312401</v>
      </c>
    </row>
    <row r="370" spans="2:53" x14ac:dyDescent="0.35">
      <c r="B370" t="s">
        <v>155</v>
      </c>
      <c r="C370" s="14">
        <v>0.50755475942100503</v>
      </c>
      <c r="D370" s="14">
        <v>0.43974159296614801</v>
      </c>
      <c r="E370" s="14">
        <v>0.57494471621849497</v>
      </c>
      <c r="F370" s="14"/>
      <c r="G370" s="14">
        <v>4.7152529771917098E-2</v>
      </c>
      <c r="H370" s="14">
        <v>0.39822982866321599</v>
      </c>
      <c r="I370" s="14">
        <v>0.494945565064075</v>
      </c>
      <c r="J370" s="14">
        <v>0.56089889846180596</v>
      </c>
      <c r="K370" s="14">
        <v>0.58104550862743098</v>
      </c>
      <c r="L370" s="14">
        <v>0.60506273929287602</v>
      </c>
      <c r="M370" s="14"/>
      <c r="N370" s="14">
        <v>0.351029111562708</v>
      </c>
      <c r="O370" s="14">
        <v>0.52908276969777401</v>
      </c>
      <c r="P370" s="14">
        <v>0.53424875603755595</v>
      </c>
      <c r="Q370" s="14">
        <v>0.63005001115138004</v>
      </c>
      <c r="R370" s="14"/>
      <c r="S370" s="14">
        <v>0.30933313880702801</v>
      </c>
      <c r="T370" s="14">
        <v>0.52414304518474097</v>
      </c>
      <c r="U370" s="14">
        <v>0.59376364951113203</v>
      </c>
      <c r="V370" s="14">
        <v>0.55902763136974698</v>
      </c>
      <c r="W370" s="14">
        <v>0.53583297148791897</v>
      </c>
      <c r="X370" s="14">
        <v>0.55792064550397003</v>
      </c>
      <c r="Y370" s="14">
        <v>0.51963723772888604</v>
      </c>
      <c r="Z370" s="14">
        <v>0.56425988756852197</v>
      </c>
      <c r="AA370" s="14">
        <v>0.53128886145074805</v>
      </c>
      <c r="AB370" s="14"/>
      <c r="AC370" s="14">
        <v>0.84494802094066901</v>
      </c>
      <c r="AD370" s="14">
        <v>0.51142303092123098</v>
      </c>
      <c r="AE370" s="14">
        <v>0.38986724362499098</v>
      </c>
      <c r="AF370" s="14">
        <v>0.26244095378668297</v>
      </c>
      <c r="AG370" s="14">
        <v>0.22077456428298201</v>
      </c>
      <c r="AH370" s="14"/>
      <c r="AI370" s="14">
        <v>0.453559474665167</v>
      </c>
      <c r="AJ370" s="14">
        <v>0.44196241824577998</v>
      </c>
      <c r="AK370" s="14">
        <v>0.442738037918186</v>
      </c>
      <c r="AL370" s="14">
        <v>0.56887302294500697</v>
      </c>
      <c r="AM370" s="14">
        <v>0.62015021115356495</v>
      </c>
      <c r="AN370" s="14">
        <v>0.56170959450008795</v>
      </c>
      <c r="AO370" s="14"/>
      <c r="AP370" s="14">
        <v>0.47208426959935401</v>
      </c>
      <c r="AQ370" s="14">
        <v>0.54773964153749899</v>
      </c>
      <c r="AR370" s="14"/>
      <c r="AS370" s="14">
        <v>0.434061734009625</v>
      </c>
      <c r="AT370" s="14">
        <v>0.52510683830036498</v>
      </c>
      <c r="AU370" s="14">
        <v>0.52214422928860005</v>
      </c>
      <c r="AV370" s="14"/>
      <c r="AW370" s="14">
        <v>0.54838997982015303</v>
      </c>
      <c r="AX370" s="14">
        <v>0.24159141026081499</v>
      </c>
      <c r="AY370" s="14"/>
      <c r="AZ370" s="14">
        <v>0.43727211063708299</v>
      </c>
      <c r="BA370" s="14">
        <v>0.76951691946965906</v>
      </c>
    </row>
    <row r="371" spans="2:53" x14ac:dyDescent="0.35">
      <c r="B371" t="s">
        <v>80</v>
      </c>
      <c r="C371" s="14">
        <v>1.1894684193980799E-2</v>
      </c>
      <c r="D371" s="14">
        <v>1.3803135314912901E-2</v>
      </c>
      <c r="E371" s="14">
        <v>9.9962391518656907E-3</v>
      </c>
      <c r="F371" s="14"/>
      <c r="G371" s="14">
        <v>0</v>
      </c>
      <c r="H371" s="14">
        <v>3.7207341767966799E-2</v>
      </c>
      <c r="I371" s="14">
        <v>1.0197309081798099E-2</v>
      </c>
      <c r="J371" s="14">
        <v>6.2470124960501E-3</v>
      </c>
      <c r="K371" s="14">
        <v>0</v>
      </c>
      <c r="L371" s="14">
        <v>0</v>
      </c>
      <c r="M371" s="14"/>
      <c r="N371" s="14">
        <v>1.5371073454868401E-3</v>
      </c>
      <c r="O371" s="14">
        <v>1.3058962303879399E-2</v>
      </c>
      <c r="P371" s="14">
        <v>2.5635384982575001E-2</v>
      </c>
      <c r="Q371" s="14">
        <v>9.9194504702711395E-3</v>
      </c>
      <c r="R371" s="14"/>
      <c r="S371" s="14">
        <v>2.5580884864429301E-2</v>
      </c>
      <c r="T371" s="14">
        <v>1.0571158935179599E-2</v>
      </c>
      <c r="U371" s="14">
        <v>7.2204550099188103E-3</v>
      </c>
      <c r="V371" s="14">
        <v>1.2750848117225599E-2</v>
      </c>
      <c r="W371" s="14">
        <v>4.7663324805076301E-3</v>
      </c>
      <c r="X371" s="14">
        <v>1.44283004820954E-2</v>
      </c>
      <c r="Y371" s="14">
        <v>1.13192731831809E-2</v>
      </c>
      <c r="Z371" s="14">
        <v>7.3730022847892599E-3</v>
      </c>
      <c r="AA371" s="14">
        <v>4.7341193606715596E-3</v>
      </c>
      <c r="AB371" s="14"/>
      <c r="AC371" s="14">
        <v>5.6835588372297196E-3</v>
      </c>
      <c r="AD371" s="14">
        <v>5.9256498285548001E-3</v>
      </c>
      <c r="AE371" s="14">
        <v>1.8407499949330899E-2</v>
      </c>
      <c r="AF371" s="14">
        <v>6.63842613323658E-3</v>
      </c>
      <c r="AG371" s="14">
        <v>0</v>
      </c>
      <c r="AH371" s="14"/>
      <c r="AI371" s="14">
        <v>1.31098333344756E-2</v>
      </c>
      <c r="AJ371" s="14">
        <v>1.4729296870806E-2</v>
      </c>
      <c r="AK371" s="14">
        <v>0</v>
      </c>
      <c r="AL371" s="14">
        <v>7.3742813995184304E-3</v>
      </c>
      <c r="AM371" s="14">
        <v>1.4119283321532001E-2</v>
      </c>
      <c r="AN371" s="14">
        <v>2.4136971630175801E-2</v>
      </c>
      <c r="AO371" s="14"/>
      <c r="AP371" s="14">
        <v>1.2317716570410701E-2</v>
      </c>
      <c r="AQ371" s="14">
        <v>1.14570472140551E-2</v>
      </c>
      <c r="AR371" s="14"/>
      <c r="AS371" s="14">
        <v>1.77452552062798E-2</v>
      </c>
      <c r="AT371" s="14">
        <v>2.63149380833567E-2</v>
      </c>
      <c r="AU371" s="14">
        <v>6.0560915504986497E-3</v>
      </c>
      <c r="AV371" s="14"/>
      <c r="AW371" s="14">
        <v>1.1094468381115699E-2</v>
      </c>
      <c r="AX371" s="14">
        <v>1.4494838445982299E-2</v>
      </c>
      <c r="AY371" s="14"/>
      <c r="AZ371" s="14">
        <v>9.3530035667032402E-3</v>
      </c>
      <c r="BA371" s="14">
        <v>1.3799223557217299E-2</v>
      </c>
    </row>
    <row r="372" spans="2:53" x14ac:dyDescent="0.35"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</row>
    <row r="373" spans="2:53" x14ac:dyDescent="0.35">
      <c r="B373" s="6" t="s">
        <v>160</v>
      </c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</row>
    <row r="374" spans="2:53" x14ac:dyDescent="0.35">
      <c r="B374" s="24" t="s">
        <v>118</v>
      </c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</row>
    <row r="375" spans="2:53" x14ac:dyDescent="0.35">
      <c r="B375" t="s">
        <v>157</v>
      </c>
      <c r="C375" s="14">
        <v>0.218926249106386</v>
      </c>
      <c r="D375" s="14">
        <v>0.26789569492090598</v>
      </c>
      <c r="E375" s="14">
        <v>0.17012989969377401</v>
      </c>
      <c r="F375" s="14"/>
      <c r="G375" s="14">
        <v>0.78773670898581705</v>
      </c>
      <c r="H375" s="14">
        <v>0.32427597676300501</v>
      </c>
      <c r="I375" s="14">
        <v>0.212413359698543</v>
      </c>
      <c r="J375" s="14">
        <v>0.18586810756236299</v>
      </c>
      <c r="K375" s="14">
        <v>0.16762235269634301</v>
      </c>
      <c r="L375" s="14">
        <v>0.135356290375648</v>
      </c>
      <c r="M375" s="14"/>
      <c r="N375" s="14">
        <v>0.30077647092771698</v>
      </c>
      <c r="O375" s="14">
        <v>0.17558677853599</v>
      </c>
      <c r="P375" s="14">
        <v>0.21971824823111499</v>
      </c>
      <c r="Q375" s="14">
        <v>0.17234633525964799</v>
      </c>
      <c r="R375" s="14"/>
      <c r="S375" s="14">
        <v>0.35294066697514398</v>
      </c>
      <c r="T375" s="14">
        <v>0.21528057227575001</v>
      </c>
      <c r="U375" s="14">
        <v>0.116772407907932</v>
      </c>
      <c r="V375" s="14">
        <v>0.226382428607449</v>
      </c>
      <c r="W375" s="14">
        <v>0.19636309793742299</v>
      </c>
      <c r="X375" s="14">
        <v>0.23161744456338401</v>
      </c>
      <c r="Y375" s="14">
        <v>0.12925898594319701</v>
      </c>
      <c r="Z375" s="14">
        <v>0.19287427159034701</v>
      </c>
      <c r="AA375" s="14">
        <v>0.216164161827197</v>
      </c>
      <c r="AB375" s="14"/>
      <c r="AC375" s="14">
        <v>9.4558220549226205E-2</v>
      </c>
      <c r="AD375" s="14">
        <v>0.145762266595308</v>
      </c>
      <c r="AE375" s="14">
        <v>0.25399784160001498</v>
      </c>
      <c r="AF375" s="14">
        <v>0.40761586755153301</v>
      </c>
      <c r="AG375" s="14">
        <v>0.62671516459186505</v>
      </c>
      <c r="AH375" s="14"/>
      <c r="AI375" s="14">
        <v>0.244034503506916</v>
      </c>
      <c r="AJ375" s="14">
        <v>0.26986296963418099</v>
      </c>
      <c r="AK375" s="14">
        <v>0.17836356478066401</v>
      </c>
      <c r="AL375" s="14">
        <v>0.204209783020772</v>
      </c>
      <c r="AM375" s="14">
        <v>0.210593318395393</v>
      </c>
      <c r="AN375" s="14">
        <v>0.17947900832765201</v>
      </c>
      <c r="AO375" s="14"/>
      <c r="AP375" s="14">
        <v>0.23799550826013999</v>
      </c>
      <c r="AQ375" s="14">
        <v>0.196313563888769</v>
      </c>
      <c r="AR375" s="14"/>
      <c r="AS375" s="14">
        <v>0.25682560055403703</v>
      </c>
      <c r="AT375" s="14">
        <v>0.23870666215299699</v>
      </c>
      <c r="AU375" s="14">
        <v>0.202877238861112</v>
      </c>
      <c r="AV375" s="14"/>
      <c r="AW375" s="14">
        <v>0.19529985418439899</v>
      </c>
      <c r="AX375" s="14">
        <v>0.38446690856652399</v>
      </c>
      <c r="AY375" s="14"/>
      <c r="AZ375" s="14">
        <v>0.27078382714017402</v>
      </c>
      <c r="BA375" s="14">
        <v>2.70812048002331E-2</v>
      </c>
    </row>
    <row r="376" spans="2:53" x14ac:dyDescent="0.35">
      <c r="B376" t="s">
        <v>158</v>
      </c>
      <c r="C376" s="14">
        <v>0.478756093383856</v>
      </c>
      <c r="D376" s="14">
        <v>0.49548337588365698</v>
      </c>
      <c r="E376" s="14">
        <v>0.46247959676990502</v>
      </c>
      <c r="F376" s="14"/>
      <c r="G376" s="14">
        <v>0.21226329101418301</v>
      </c>
      <c r="H376" s="14">
        <v>0.46518919465345898</v>
      </c>
      <c r="I376" s="14">
        <v>0.495171378112575</v>
      </c>
      <c r="J376" s="14">
        <v>0.476604288177434</v>
      </c>
      <c r="K376" s="14">
        <v>0.46923014301855098</v>
      </c>
      <c r="L376" s="14">
        <v>0.334608514734903</v>
      </c>
      <c r="M376" s="14"/>
      <c r="N376" s="14">
        <v>0.48704789287545702</v>
      </c>
      <c r="O376" s="14">
        <v>0.52328269970481001</v>
      </c>
      <c r="P376" s="14">
        <v>0.515982619802553</v>
      </c>
      <c r="Q376" s="14">
        <v>0.392931590290578</v>
      </c>
      <c r="R376" s="14"/>
      <c r="S376" s="14">
        <v>0.44016388199631701</v>
      </c>
      <c r="T376" s="14">
        <v>0.49280995054469301</v>
      </c>
      <c r="U376" s="14">
        <v>0.471870713374276</v>
      </c>
      <c r="V376" s="14">
        <v>0.43899340814150101</v>
      </c>
      <c r="W376" s="14">
        <v>0.51692294819884599</v>
      </c>
      <c r="X376" s="14">
        <v>0.46501197094310998</v>
      </c>
      <c r="Y376" s="14">
        <v>0.53241536915584498</v>
      </c>
      <c r="Z376" s="14">
        <v>0.47831452167857003</v>
      </c>
      <c r="AA376" s="14">
        <v>0.49080963870502498</v>
      </c>
      <c r="AB376" s="14"/>
      <c r="AC376" s="14">
        <v>0.34281811052456701</v>
      </c>
      <c r="AD376" s="14">
        <v>0.56027265755262701</v>
      </c>
      <c r="AE376" s="14">
        <v>0.51443569062726702</v>
      </c>
      <c r="AF376" s="14">
        <v>0.49084561320102199</v>
      </c>
      <c r="AG376" s="14">
        <v>0.26865920446770197</v>
      </c>
      <c r="AH376" s="14"/>
      <c r="AI376" s="14">
        <v>0.49780988123784597</v>
      </c>
      <c r="AJ376" s="14">
        <v>0.52440734199873595</v>
      </c>
      <c r="AK376" s="14">
        <v>0.56429071772398498</v>
      </c>
      <c r="AL376" s="14">
        <v>0.49220020350600602</v>
      </c>
      <c r="AM376" s="14">
        <v>0.41151509520784801</v>
      </c>
      <c r="AN376" s="14">
        <v>0.36609748408280202</v>
      </c>
      <c r="AO376" s="14"/>
      <c r="AP376" s="14">
        <v>0.483528117101024</v>
      </c>
      <c r="AQ376" s="14">
        <v>0.47356969487940898</v>
      </c>
      <c r="AR376" s="14"/>
      <c r="AS376" s="14">
        <v>0.47389710716877298</v>
      </c>
      <c r="AT376" s="14">
        <v>0.47538461943222599</v>
      </c>
      <c r="AU376" s="14">
        <v>0.48106074468351301</v>
      </c>
      <c r="AV376" s="14"/>
      <c r="AW376" s="14">
        <v>0.48461257095124699</v>
      </c>
      <c r="AX376" s="14">
        <v>0.495370548409929</v>
      </c>
      <c r="AY376" s="14"/>
      <c r="AZ376" s="14">
        <v>0.51150482548288601</v>
      </c>
      <c r="BA376" s="14">
        <v>0.36427957208260298</v>
      </c>
    </row>
    <row r="377" spans="2:53" x14ac:dyDescent="0.35">
      <c r="B377" t="s">
        <v>159</v>
      </c>
      <c r="C377" s="14">
        <v>0.12949241583749399</v>
      </c>
      <c r="D377" s="14">
        <v>0.113286414365164</v>
      </c>
      <c r="E377" s="14">
        <v>0.14583692032735299</v>
      </c>
      <c r="F377" s="14"/>
      <c r="G377" s="14">
        <v>0</v>
      </c>
      <c r="H377" s="14">
        <v>9.6200832371599806E-2</v>
      </c>
      <c r="I377" s="14">
        <v>0.13258524299510599</v>
      </c>
      <c r="J377" s="14">
        <v>0.132439038641947</v>
      </c>
      <c r="K377" s="14">
        <v>0.15253132725062599</v>
      </c>
      <c r="L377" s="14">
        <v>0.21572232006417499</v>
      </c>
      <c r="M377" s="14"/>
      <c r="N377" s="14">
        <v>9.9799570350057001E-2</v>
      </c>
      <c r="O377" s="14">
        <v>0.12484965879370399</v>
      </c>
      <c r="P377" s="14">
        <v>9.4401174048553901E-2</v>
      </c>
      <c r="Q377" s="14">
        <v>0.19707565236117899</v>
      </c>
      <c r="R377" s="14"/>
      <c r="S377" s="14">
        <v>6.8002449518333896E-2</v>
      </c>
      <c r="T377" s="14">
        <v>0.11834540317910899</v>
      </c>
      <c r="U377" s="14">
        <v>0.16258512015945401</v>
      </c>
      <c r="V377" s="14">
        <v>0.15454860310494101</v>
      </c>
      <c r="W377" s="14">
        <v>0.12208803590084701</v>
      </c>
      <c r="X377" s="14">
        <v>0.16320771263344599</v>
      </c>
      <c r="Y377" s="14">
        <v>0.13108104026692599</v>
      </c>
      <c r="Z377" s="14">
        <v>0.17674760709286499</v>
      </c>
      <c r="AA377" s="14">
        <v>0.131830572509501</v>
      </c>
      <c r="AB377" s="14"/>
      <c r="AC377" s="14">
        <v>0.25708915509456798</v>
      </c>
      <c r="AD377" s="14">
        <v>0.17241042504878901</v>
      </c>
      <c r="AE377" s="14">
        <v>7.5004630740688999E-2</v>
      </c>
      <c r="AF377" s="14">
        <v>4.3815020523967303E-2</v>
      </c>
      <c r="AG377" s="14">
        <v>6.2123291605353896E-3</v>
      </c>
      <c r="AH377" s="14"/>
      <c r="AI377" s="14">
        <v>0.11577346493229899</v>
      </c>
      <c r="AJ377" s="14">
        <v>0.121852629494899</v>
      </c>
      <c r="AK377" s="14">
        <v>9.8892510595405006E-2</v>
      </c>
      <c r="AL377" s="14">
        <v>0.13172357568267301</v>
      </c>
      <c r="AM377" s="14">
        <v>0.17743749392927399</v>
      </c>
      <c r="AN377" s="14">
        <v>0.128540083355908</v>
      </c>
      <c r="AO377" s="14"/>
      <c r="AP377" s="14">
        <v>0.12286981478904201</v>
      </c>
      <c r="AQ377" s="14">
        <v>0.13736109381403599</v>
      </c>
      <c r="AR377" s="14"/>
      <c r="AS377" s="14">
        <v>0.107530148737825</v>
      </c>
      <c r="AT377" s="14">
        <v>0.13535247714977</v>
      </c>
      <c r="AU377" s="14">
        <v>0.133670435581696</v>
      </c>
      <c r="AV377" s="14"/>
      <c r="AW377" s="14">
        <v>0.14351593852511199</v>
      </c>
      <c r="AX377" s="14">
        <v>5.9689080761449999E-2</v>
      </c>
      <c r="AY377" s="14"/>
      <c r="AZ377" s="14">
        <v>8.7916591736121999E-2</v>
      </c>
      <c r="BA377" s="14">
        <v>0.282054533417748</v>
      </c>
    </row>
    <row r="378" spans="2:53" x14ac:dyDescent="0.35">
      <c r="B378" t="s">
        <v>116</v>
      </c>
      <c r="C378" s="14">
        <v>0.17282524167226401</v>
      </c>
      <c r="D378" s="14">
        <v>0.123334514830273</v>
      </c>
      <c r="E378" s="14">
        <v>0.22155358320896901</v>
      </c>
      <c r="F378" s="14"/>
      <c r="G378" s="14">
        <v>0</v>
      </c>
      <c r="H378" s="14">
        <v>0.114333996211936</v>
      </c>
      <c r="I378" s="14">
        <v>0.15983001919377601</v>
      </c>
      <c r="J378" s="14">
        <v>0.205088565618256</v>
      </c>
      <c r="K378" s="14">
        <v>0.21061617703447899</v>
      </c>
      <c r="L378" s="14">
        <v>0.31431287482527298</v>
      </c>
      <c r="M378" s="14"/>
      <c r="N378" s="14">
        <v>0.112376065846769</v>
      </c>
      <c r="O378" s="14">
        <v>0.176280862965495</v>
      </c>
      <c r="P378" s="14">
        <v>0.16989795791777801</v>
      </c>
      <c r="Q378" s="14">
        <v>0.23764642208859499</v>
      </c>
      <c r="R378" s="14"/>
      <c r="S378" s="14">
        <v>0.13889300151020501</v>
      </c>
      <c r="T378" s="14">
        <v>0.17356407400044799</v>
      </c>
      <c r="U378" s="14">
        <v>0.248771758558338</v>
      </c>
      <c r="V378" s="14">
        <v>0.18007556014610901</v>
      </c>
      <c r="W378" s="14">
        <v>0.16462591796288401</v>
      </c>
      <c r="X378" s="14">
        <v>0.14016287186005899</v>
      </c>
      <c r="Y378" s="14">
        <v>0.20724460463403099</v>
      </c>
      <c r="Z378" s="14">
        <v>0.152063599638219</v>
      </c>
      <c r="AA378" s="14">
        <v>0.16119562695827699</v>
      </c>
      <c r="AB378" s="14"/>
      <c r="AC378" s="14">
        <v>0.30553451383163899</v>
      </c>
      <c r="AD378" s="14">
        <v>0.121554650803275</v>
      </c>
      <c r="AE378" s="14">
        <v>0.156561837032028</v>
      </c>
      <c r="AF378" s="14">
        <v>5.77234987234784E-2</v>
      </c>
      <c r="AG378" s="14">
        <v>9.84133017798966E-2</v>
      </c>
      <c r="AH378" s="14"/>
      <c r="AI378" s="14">
        <v>0.14238215032293799</v>
      </c>
      <c r="AJ378" s="14">
        <v>8.3877058872184204E-2</v>
      </c>
      <c r="AK378" s="14">
        <v>0.15845320689994599</v>
      </c>
      <c r="AL378" s="14">
        <v>0.171866437790548</v>
      </c>
      <c r="AM378" s="14">
        <v>0.200454092467485</v>
      </c>
      <c r="AN378" s="14">
        <v>0.32588342423363797</v>
      </c>
      <c r="AO378" s="14"/>
      <c r="AP378" s="14">
        <v>0.15560655984979399</v>
      </c>
      <c r="AQ378" s="14">
        <v>0.192755647417786</v>
      </c>
      <c r="AR378" s="14"/>
      <c r="AS378" s="14">
        <v>0.16174714353936401</v>
      </c>
      <c r="AT378" s="14">
        <v>0.150556241265008</v>
      </c>
      <c r="AU378" s="14">
        <v>0.18239158087367899</v>
      </c>
      <c r="AV378" s="14"/>
      <c r="AW378" s="14">
        <v>0.176571636339241</v>
      </c>
      <c r="AX378" s="14">
        <v>6.04734622620971E-2</v>
      </c>
      <c r="AY378" s="14"/>
      <c r="AZ378" s="14">
        <v>0.12979475564081799</v>
      </c>
      <c r="BA378" s="14">
        <v>0.32658468969941701</v>
      </c>
    </row>
    <row r="379" spans="2:53" x14ac:dyDescent="0.35"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</row>
    <row r="380" spans="2:53" x14ac:dyDescent="0.35">
      <c r="B380" s="6" t="s">
        <v>161</v>
      </c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</row>
    <row r="381" spans="2:53" x14ac:dyDescent="0.35">
      <c r="B381" s="24" t="s">
        <v>118</v>
      </c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</row>
    <row r="382" spans="2:53" x14ac:dyDescent="0.35">
      <c r="B382" t="s">
        <v>154</v>
      </c>
      <c r="C382" s="14">
        <v>0.85324959522069199</v>
      </c>
      <c r="D382" s="14">
        <v>0.85040497729343101</v>
      </c>
      <c r="E382" s="14">
        <v>0.85595421105465497</v>
      </c>
      <c r="F382" s="14"/>
      <c r="G382" s="14">
        <v>1</v>
      </c>
      <c r="H382" s="14">
        <v>0.83659104300477505</v>
      </c>
      <c r="I382" s="14">
        <v>0.85416121589714999</v>
      </c>
      <c r="J382" s="14">
        <v>0.86875791300013905</v>
      </c>
      <c r="K382" s="14">
        <v>0.84797989539554497</v>
      </c>
      <c r="L382" s="14">
        <v>0.66338050380765701</v>
      </c>
      <c r="M382" s="14"/>
      <c r="N382" s="14">
        <v>0.889432509833887</v>
      </c>
      <c r="O382" s="14">
        <v>0.87426714611401402</v>
      </c>
      <c r="P382" s="14">
        <v>0.86001649166997796</v>
      </c>
      <c r="Q382" s="14">
        <v>0.78636225631189505</v>
      </c>
      <c r="R382" s="14"/>
      <c r="S382" s="14">
        <v>0.84250287229464405</v>
      </c>
      <c r="T382" s="14">
        <v>0.89970414148571298</v>
      </c>
      <c r="U382" s="14">
        <v>0.84896186992011902</v>
      </c>
      <c r="V382" s="14">
        <v>0.898677277050413</v>
      </c>
      <c r="W382" s="14">
        <v>0.85283424642106997</v>
      </c>
      <c r="X382" s="14">
        <v>0.85001888992200803</v>
      </c>
      <c r="Y382" s="14">
        <v>0.83105390416909997</v>
      </c>
      <c r="Z382" s="14">
        <v>0.80053813060922996</v>
      </c>
      <c r="AA382" s="14">
        <v>0.81429379210308706</v>
      </c>
      <c r="AB382" s="14"/>
      <c r="AC382" s="14">
        <v>0.82873385586371995</v>
      </c>
      <c r="AD382" s="14">
        <v>0.87451371352083995</v>
      </c>
      <c r="AE382" s="14">
        <v>0.88634554499993001</v>
      </c>
      <c r="AF382" s="14">
        <v>0.83354281556123599</v>
      </c>
      <c r="AG382" s="14">
        <v>0.943346335617126</v>
      </c>
      <c r="AH382" s="14"/>
      <c r="AI382" s="14">
        <v>0.86053146205879905</v>
      </c>
      <c r="AJ382" s="14">
        <v>0.83698295432609704</v>
      </c>
      <c r="AK382" s="14">
        <v>0.94033092819978903</v>
      </c>
      <c r="AL382" s="14">
        <v>0.84057507402390796</v>
      </c>
      <c r="AM382" s="14">
        <v>0.88839923456077696</v>
      </c>
      <c r="AN382" s="14">
        <v>0.84544636558328701</v>
      </c>
      <c r="AO382" s="14"/>
      <c r="AP382" s="14">
        <v>0.85120663474672398</v>
      </c>
      <c r="AQ382" s="14">
        <v>0.85507527037626097</v>
      </c>
      <c r="AR382" s="14"/>
      <c r="AS382" s="14">
        <v>0.87629637291955897</v>
      </c>
      <c r="AT382" s="14">
        <v>0.849418295713675</v>
      </c>
      <c r="AU382" s="14">
        <v>0.84817980071432397</v>
      </c>
      <c r="AV382" s="14"/>
      <c r="AW382" s="14">
        <v>0.86755683269332096</v>
      </c>
      <c r="AX382" s="14">
        <v>0.822529685439504</v>
      </c>
      <c r="AY382" s="14"/>
      <c r="AZ382" s="14">
        <v>0.86981581826174204</v>
      </c>
      <c r="BA382" s="14">
        <v>0.80633054760188405</v>
      </c>
    </row>
    <row r="383" spans="2:53" x14ac:dyDescent="0.35">
      <c r="B383" t="s">
        <v>155</v>
      </c>
      <c r="C383" s="14">
        <v>0.13536729052303001</v>
      </c>
      <c r="D383" s="14">
        <v>0.14108896123015</v>
      </c>
      <c r="E383" s="14">
        <v>0.129772285336371</v>
      </c>
      <c r="F383" s="14"/>
      <c r="G383" s="14">
        <v>0</v>
      </c>
      <c r="H383" s="14">
        <v>0.153729554742912</v>
      </c>
      <c r="I383" s="14">
        <v>0.12703619976937</v>
      </c>
      <c r="J383" s="14">
        <v>0.12551549367100201</v>
      </c>
      <c r="K383" s="14">
        <v>0.152020104604455</v>
      </c>
      <c r="L383" s="14">
        <v>0.33661949619234299</v>
      </c>
      <c r="M383" s="14"/>
      <c r="N383" s="14">
        <v>0.10376088360753299</v>
      </c>
      <c r="O383" s="14">
        <v>0.11372757768632601</v>
      </c>
      <c r="P383" s="14">
        <v>0.13483465930709501</v>
      </c>
      <c r="Q383" s="14">
        <v>0.19234375073476301</v>
      </c>
      <c r="R383" s="14"/>
      <c r="S383" s="14">
        <v>0.15286719062054499</v>
      </c>
      <c r="T383" s="14">
        <v>9.6574405684848999E-2</v>
      </c>
      <c r="U383" s="14">
        <v>0.13081949992373099</v>
      </c>
      <c r="V383" s="14">
        <v>8.5447405744891403E-2</v>
      </c>
      <c r="W383" s="14">
        <v>0.14133645769855399</v>
      </c>
      <c r="X383" s="14">
        <v>0.12721705467166999</v>
      </c>
      <c r="Y383" s="14">
        <v>0.16460559974778799</v>
      </c>
      <c r="Z383" s="14">
        <v>0.192088867105981</v>
      </c>
      <c r="AA383" s="14">
        <v>0.16516056625700901</v>
      </c>
      <c r="AB383" s="14"/>
      <c r="AC383" s="14">
        <v>0.164388505858199</v>
      </c>
      <c r="AD383" s="14">
        <v>0.11514068300349101</v>
      </c>
      <c r="AE383" s="14">
        <v>0.104286555969474</v>
      </c>
      <c r="AF383" s="14">
        <v>0.150818734030643</v>
      </c>
      <c r="AG383" s="14">
        <v>5.6653664382873802E-2</v>
      </c>
      <c r="AH383" s="14"/>
      <c r="AI383" s="14">
        <v>0.13044913217555701</v>
      </c>
      <c r="AJ383" s="14">
        <v>0.14750456558945099</v>
      </c>
      <c r="AK383" s="14">
        <v>5.8342840765379399E-2</v>
      </c>
      <c r="AL383" s="14">
        <v>0.15160596979171301</v>
      </c>
      <c r="AM383" s="14">
        <v>0.108541104215001</v>
      </c>
      <c r="AN383" s="14">
        <v>0.12849549728152901</v>
      </c>
      <c r="AO383" s="14"/>
      <c r="AP383" s="14">
        <v>0.14023684875634701</v>
      </c>
      <c r="AQ383" s="14">
        <v>0.130324611546448</v>
      </c>
      <c r="AR383" s="14"/>
      <c r="AS383" s="14">
        <v>0.11466606469869001</v>
      </c>
      <c r="AT383" s="14">
        <v>0.13431836566757999</v>
      </c>
      <c r="AU383" s="14">
        <v>0.14124887420807899</v>
      </c>
      <c r="AV383" s="14"/>
      <c r="AW383" s="14">
        <v>0.124512082862982</v>
      </c>
      <c r="AX383" s="14">
        <v>0.15923912479396199</v>
      </c>
      <c r="AY383" s="14"/>
      <c r="AZ383" s="14">
        <v>0.124303640474067</v>
      </c>
      <c r="BA383" s="14">
        <v>0.17184974660034</v>
      </c>
    </row>
    <row r="384" spans="2:53" x14ac:dyDescent="0.35">
      <c r="B384" t="s">
        <v>80</v>
      </c>
      <c r="C384" s="14">
        <v>1.13831142562779E-2</v>
      </c>
      <c r="D384" s="14">
        <v>8.5060614764185197E-3</v>
      </c>
      <c r="E384" s="14">
        <v>1.4273503608974201E-2</v>
      </c>
      <c r="F384" s="14"/>
      <c r="G384" s="14">
        <v>0</v>
      </c>
      <c r="H384" s="14">
        <v>9.6794022523131601E-3</v>
      </c>
      <c r="I384" s="14">
        <v>1.8802584333479699E-2</v>
      </c>
      <c r="J384" s="14">
        <v>5.7265933288589404E-3</v>
      </c>
      <c r="K384" s="14">
        <v>0</v>
      </c>
      <c r="L384" s="14">
        <v>0</v>
      </c>
      <c r="M384" s="14"/>
      <c r="N384" s="14">
        <v>6.8066065585799503E-3</v>
      </c>
      <c r="O384" s="14">
        <v>1.2005276199659701E-2</v>
      </c>
      <c r="P384" s="14">
        <v>5.1488490229266897E-3</v>
      </c>
      <c r="Q384" s="14">
        <v>2.12939929533419E-2</v>
      </c>
      <c r="R384" s="14"/>
      <c r="S384" s="14">
        <v>4.6299370848105802E-3</v>
      </c>
      <c r="T384" s="14">
        <v>3.72145282943804E-3</v>
      </c>
      <c r="U384" s="14">
        <v>2.0218630156149699E-2</v>
      </c>
      <c r="V384" s="14">
        <v>1.5875317204695299E-2</v>
      </c>
      <c r="W384" s="14">
        <v>5.8292958803759804E-3</v>
      </c>
      <c r="X384" s="14">
        <v>2.2764055406321902E-2</v>
      </c>
      <c r="Y384" s="14">
        <v>4.3404960831126202E-3</v>
      </c>
      <c r="Z384" s="14">
        <v>7.3730022847892599E-3</v>
      </c>
      <c r="AA384" s="14">
        <v>2.05456416399043E-2</v>
      </c>
      <c r="AB384" s="14"/>
      <c r="AC384" s="14">
        <v>6.8776382780816698E-3</v>
      </c>
      <c r="AD384" s="14">
        <v>1.0345603475668401E-2</v>
      </c>
      <c r="AE384" s="14">
        <v>9.3678990305955199E-3</v>
      </c>
      <c r="AF384" s="14">
        <v>1.56384504081209E-2</v>
      </c>
      <c r="AG384" s="14">
        <v>0</v>
      </c>
      <c r="AH384" s="14"/>
      <c r="AI384" s="14">
        <v>9.0194057656436295E-3</v>
      </c>
      <c r="AJ384" s="14">
        <v>1.5512480084452201E-2</v>
      </c>
      <c r="AK384" s="14">
        <v>1.32623103483172E-3</v>
      </c>
      <c r="AL384" s="14">
        <v>7.8189561843787104E-3</v>
      </c>
      <c r="AM384" s="14">
        <v>3.0596612242215901E-3</v>
      </c>
      <c r="AN384" s="14">
        <v>2.6058137135184501E-2</v>
      </c>
      <c r="AO384" s="14"/>
      <c r="AP384" s="14">
        <v>8.5565164969291993E-3</v>
      </c>
      <c r="AQ384" s="14">
        <v>1.4600118077291E-2</v>
      </c>
      <c r="AR384" s="14"/>
      <c r="AS384" s="14">
        <v>9.0375623817512702E-3</v>
      </c>
      <c r="AT384" s="14">
        <v>1.62633386187453E-2</v>
      </c>
      <c r="AU384" s="14">
        <v>1.05713250775962E-2</v>
      </c>
      <c r="AV384" s="14"/>
      <c r="AW384" s="14">
        <v>7.9310844436978507E-3</v>
      </c>
      <c r="AX384" s="14">
        <v>1.8231189766533901E-2</v>
      </c>
      <c r="AY384" s="14"/>
      <c r="AZ384" s="14">
        <v>5.88054126419025E-3</v>
      </c>
      <c r="BA384" s="14">
        <v>2.1819705797775799E-2</v>
      </c>
    </row>
    <row r="385" spans="2:53" x14ac:dyDescent="0.35"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</row>
    <row r="386" spans="2:53" x14ac:dyDescent="0.35">
      <c r="B386" s="6" t="s">
        <v>165</v>
      </c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</row>
    <row r="387" spans="2:53" x14ac:dyDescent="0.35">
      <c r="B387" s="24" t="s">
        <v>118</v>
      </c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</row>
    <row r="388" spans="2:53" x14ac:dyDescent="0.35">
      <c r="B388" t="s">
        <v>162</v>
      </c>
      <c r="C388" s="14">
        <v>0.29001280556853798</v>
      </c>
      <c r="D388" s="14">
        <v>0.35927036881826901</v>
      </c>
      <c r="E388" s="14">
        <v>0.22098103587224999</v>
      </c>
      <c r="F388" s="14"/>
      <c r="G388" s="14">
        <v>0.73676449334460903</v>
      </c>
      <c r="H388" s="14">
        <v>0.315404625882584</v>
      </c>
      <c r="I388" s="14">
        <v>0.28006820060250598</v>
      </c>
      <c r="J388" s="14">
        <v>0.272564567780746</v>
      </c>
      <c r="K388" s="14">
        <v>0.35337764557106</v>
      </c>
      <c r="L388" s="14">
        <v>0.12950602347552401</v>
      </c>
      <c r="M388" s="14"/>
      <c r="N388" s="14">
        <v>0.43523386102967598</v>
      </c>
      <c r="O388" s="14">
        <v>0.276107767472896</v>
      </c>
      <c r="P388" s="14">
        <v>0.25684839313051</v>
      </c>
      <c r="Q388" s="14">
        <v>0.17358018963416699</v>
      </c>
      <c r="R388" s="14"/>
      <c r="S388" s="14">
        <v>0.37524375677789801</v>
      </c>
      <c r="T388" s="14">
        <v>0.31607156368717398</v>
      </c>
      <c r="U388" s="14">
        <v>0.23715757314685801</v>
      </c>
      <c r="V388" s="14">
        <v>0.28920300749079397</v>
      </c>
      <c r="W388" s="14">
        <v>0.271765852204158</v>
      </c>
      <c r="X388" s="14">
        <v>0.30187357315090901</v>
      </c>
      <c r="Y388" s="14">
        <v>0.209306322335369</v>
      </c>
      <c r="Z388" s="14">
        <v>0.274552625770698</v>
      </c>
      <c r="AA388" s="14">
        <v>0.26630120829616899</v>
      </c>
      <c r="AB388" s="14"/>
      <c r="AC388" s="14">
        <v>0.108635962818521</v>
      </c>
      <c r="AD388" s="14">
        <v>0.25432945121454198</v>
      </c>
      <c r="AE388" s="14">
        <v>0.36708669708700298</v>
      </c>
      <c r="AF388" s="14">
        <v>0.44801260107798602</v>
      </c>
      <c r="AG388" s="14">
        <v>0.65851287263138802</v>
      </c>
      <c r="AH388" s="14"/>
      <c r="AI388" s="14">
        <v>0.30464567071785398</v>
      </c>
      <c r="AJ388" s="14">
        <v>0.32287646882899601</v>
      </c>
      <c r="AK388" s="14">
        <v>0.29793999639484198</v>
      </c>
      <c r="AL388" s="14">
        <v>0.29167428199623002</v>
      </c>
      <c r="AM388" s="14">
        <v>0.36602028289897998</v>
      </c>
      <c r="AN388" s="14">
        <v>0.25459423891973998</v>
      </c>
      <c r="AO388" s="14"/>
      <c r="AP388" s="14">
        <v>0.317182753399332</v>
      </c>
      <c r="AQ388" s="14">
        <v>0.25851480507765201</v>
      </c>
      <c r="AR388" s="14"/>
      <c r="AS388" s="14">
        <v>0.303120267862243</v>
      </c>
      <c r="AT388" s="14">
        <v>0.28810320040427601</v>
      </c>
      <c r="AU388" s="14">
        <v>0.28704979156576099</v>
      </c>
      <c r="AV388" s="14"/>
      <c r="AW388" s="14">
        <v>0.27186810020267099</v>
      </c>
      <c r="AX388" s="14">
        <v>0.43625757527372</v>
      </c>
      <c r="AY388" s="14"/>
      <c r="AZ388" s="14">
        <v>0.357185587882554</v>
      </c>
      <c r="BA388" s="14">
        <v>4.5646573421308803E-2</v>
      </c>
    </row>
    <row r="389" spans="2:53" x14ac:dyDescent="0.35">
      <c r="B389" t="s">
        <v>163</v>
      </c>
      <c r="C389" s="14">
        <v>0.52081361811119598</v>
      </c>
      <c r="D389" s="14">
        <v>0.50116569054187898</v>
      </c>
      <c r="E389" s="14">
        <v>0.54001267795905605</v>
      </c>
      <c r="F389" s="14"/>
      <c r="G389" s="14">
        <v>0.26323550665539103</v>
      </c>
      <c r="H389" s="14">
        <v>0.49746659526738801</v>
      </c>
      <c r="I389" s="14">
        <v>0.52839484611006404</v>
      </c>
      <c r="J389" s="14">
        <v>0.545225330563614</v>
      </c>
      <c r="K389" s="14">
        <v>0.47270586455971703</v>
      </c>
      <c r="L389" s="14">
        <v>0.43138493244194598</v>
      </c>
      <c r="M389" s="14"/>
      <c r="N389" s="14">
        <v>0.48596102252203599</v>
      </c>
      <c r="O389" s="14">
        <v>0.57438401175354803</v>
      </c>
      <c r="P389" s="14">
        <v>0.56375343151006296</v>
      </c>
      <c r="Q389" s="14">
        <v>0.46775475716239401</v>
      </c>
      <c r="R389" s="14"/>
      <c r="S389" s="14">
        <v>0.47653978284022303</v>
      </c>
      <c r="T389" s="14">
        <v>0.50279041775161404</v>
      </c>
      <c r="U389" s="14">
        <v>0.52867608017120904</v>
      </c>
      <c r="V389" s="14">
        <v>0.50695184580040298</v>
      </c>
      <c r="W389" s="14">
        <v>0.55222060327198197</v>
      </c>
      <c r="X389" s="14">
        <v>0.49626856461278201</v>
      </c>
      <c r="Y389" s="14">
        <v>0.58893906541497698</v>
      </c>
      <c r="Z389" s="14">
        <v>0.49517430179566602</v>
      </c>
      <c r="AA389" s="14">
        <v>0.55757499873998395</v>
      </c>
      <c r="AB389" s="14"/>
      <c r="AC389" s="14">
        <v>0.51791659663192502</v>
      </c>
      <c r="AD389" s="14">
        <v>0.52896079345053304</v>
      </c>
      <c r="AE389" s="14">
        <v>0.55449638813692104</v>
      </c>
      <c r="AF389" s="14">
        <v>0.48555362162693699</v>
      </c>
      <c r="AG389" s="14">
        <v>0.29070543556957901</v>
      </c>
      <c r="AH389" s="14"/>
      <c r="AI389" s="14">
        <v>0.538586731301824</v>
      </c>
      <c r="AJ389" s="14">
        <v>0.54351536206036299</v>
      </c>
      <c r="AK389" s="14">
        <v>0.59293678133803396</v>
      </c>
      <c r="AL389" s="14">
        <v>0.49168509542586503</v>
      </c>
      <c r="AM389" s="14">
        <v>0.46153865087202001</v>
      </c>
      <c r="AN389" s="14">
        <v>0.438099315463987</v>
      </c>
      <c r="AO389" s="14"/>
      <c r="AP389" s="14">
        <v>0.50593657067569997</v>
      </c>
      <c r="AQ389" s="14">
        <v>0.53787072070057096</v>
      </c>
      <c r="AR389" s="14"/>
      <c r="AS389" s="14">
        <v>0.50395814262822003</v>
      </c>
      <c r="AT389" s="14">
        <v>0.52904539987291999</v>
      </c>
      <c r="AU389" s="14">
        <v>0.52291591580395103</v>
      </c>
      <c r="AV389" s="14"/>
      <c r="AW389" s="14">
        <v>0.53764437117851605</v>
      </c>
      <c r="AX389" s="14">
        <v>0.45315600938034301</v>
      </c>
      <c r="AY389" s="14"/>
      <c r="AZ389" s="14">
        <v>0.52125038690235403</v>
      </c>
      <c r="BA389" s="14">
        <v>0.52704609627607701</v>
      </c>
    </row>
    <row r="390" spans="2:53" x14ac:dyDescent="0.35">
      <c r="B390" t="s">
        <v>164</v>
      </c>
      <c r="C390" s="14">
        <v>0.114230058057626</v>
      </c>
      <c r="D390" s="14">
        <v>8.3115429388741696E-2</v>
      </c>
      <c r="E390" s="14">
        <v>0.14548031354225199</v>
      </c>
      <c r="F390" s="14"/>
      <c r="G390" s="14">
        <v>0</v>
      </c>
      <c r="H390" s="14">
        <v>0.12642341841374599</v>
      </c>
      <c r="I390" s="14">
        <v>0.128133482820042</v>
      </c>
      <c r="J390" s="14">
        <v>0.102275065676287</v>
      </c>
      <c r="K390" s="14">
        <v>5.8048284081622901E-2</v>
      </c>
      <c r="L390" s="14">
        <v>0.21285376665539299</v>
      </c>
      <c r="M390" s="14"/>
      <c r="N390" s="14">
        <v>4.5724822269445797E-2</v>
      </c>
      <c r="O390" s="14">
        <v>9.1922931739202102E-2</v>
      </c>
      <c r="P390" s="14">
        <v>0.11980124349688601</v>
      </c>
      <c r="Q390" s="14">
        <v>0.20612100967216099</v>
      </c>
      <c r="R390" s="14"/>
      <c r="S390" s="14">
        <v>6.8078138492639606E-2</v>
      </c>
      <c r="T390" s="14">
        <v>0.12501549406273399</v>
      </c>
      <c r="U390" s="14">
        <v>0.13301008742895601</v>
      </c>
      <c r="V390" s="14">
        <v>0.13071245006211399</v>
      </c>
      <c r="W390" s="14">
        <v>0.120164039848062</v>
      </c>
      <c r="X390" s="14">
        <v>0.11799772186316999</v>
      </c>
      <c r="Y390" s="14">
        <v>0.12993890720425999</v>
      </c>
      <c r="Z390" s="14">
        <v>0.18337660286428201</v>
      </c>
      <c r="AA390" s="14">
        <v>8.3551032726703306E-2</v>
      </c>
      <c r="AB390" s="14"/>
      <c r="AC390" s="14">
        <v>0.239546142889762</v>
      </c>
      <c r="AD390" s="14">
        <v>0.15864986738614201</v>
      </c>
      <c r="AE390" s="14">
        <v>3.6387495702260797E-2</v>
      </c>
      <c r="AF390" s="14">
        <v>3.88798098763782E-2</v>
      </c>
      <c r="AG390" s="14">
        <v>2.8762393093582E-2</v>
      </c>
      <c r="AH390" s="14"/>
      <c r="AI390" s="14">
        <v>9.6599295489091505E-2</v>
      </c>
      <c r="AJ390" s="14">
        <v>8.2113404683793606E-2</v>
      </c>
      <c r="AK390" s="14">
        <v>9.32306662464127E-2</v>
      </c>
      <c r="AL390" s="14">
        <v>0.122977593760823</v>
      </c>
      <c r="AM390" s="14">
        <v>0.142049316206</v>
      </c>
      <c r="AN390" s="14">
        <v>0.153245158036799</v>
      </c>
      <c r="AO390" s="14"/>
      <c r="AP390" s="14">
        <v>0.110149577676272</v>
      </c>
      <c r="AQ390" s="14">
        <v>0.119189306940226</v>
      </c>
      <c r="AR390" s="14"/>
      <c r="AS390" s="14">
        <v>0.10955650305409501</v>
      </c>
      <c r="AT390" s="14">
        <v>0.137163099804505</v>
      </c>
      <c r="AU390" s="14">
        <v>0.108706684062591</v>
      </c>
      <c r="AV390" s="14"/>
      <c r="AW390" s="14">
        <v>0.12177396383976601</v>
      </c>
      <c r="AX390" s="14">
        <v>7.3710077348197206E-2</v>
      </c>
      <c r="AY390" s="14"/>
      <c r="AZ390" s="14">
        <v>6.2694904873956805E-2</v>
      </c>
      <c r="BA390" s="14">
        <v>0.30360613969364902</v>
      </c>
    </row>
    <row r="391" spans="2:53" x14ac:dyDescent="0.35">
      <c r="B391" t="s">
        <v>116</v>
      </c>
      <c r="C391" s="14">
        <v>7.4943518262640396E-2</v>
      </c>
      <c r="D391" s="14">
        <v>5.6448511251109799E-2</v>
      </c>
      <c r="E391" s="14">
        <v>9.3525972626442397E-2</v>
      </c>
      <c r="F391" s="14"/>
      <c r="G391" s="14">
        <v>0</v>
      </c>
      <c r="H391" s="14">
        <v>6.0705360436282697E-2</v>
      </c>
      <c r="I391" s="14">
        <v>6.3403470467387701E-2</v>
      </c>
      <c r="J391" s="14">
        <v>7.99350359793536E-2</v>
      </c>
      <c r="K391" s="14">
        <v>0.1158682057876</v>
      </c>
      <c r="L391" s="14">
        <v>0.226255277427136</v>
      </c>
      <c r="M391" s="14"/>
      <c r="N391" s="14">
        <v>3.3080294178841597E-2</v>
      </c>
      <c r="O391" s="14">
        <v>5.7585289034353997E-2</v>
      </c>
      <c r="P391" s="14">
        <v>5.9596931862541599E-2</v>
      </c>
      <c r="Q391" s="14">
        <v>0.15254404353127801</v>
      </c>
      <c r="R391" s="14"/>
      <c r="S391" s="14">
        <v>8.0138321889239597E-2</v>
      </c>
      <c r="T391" s="14">
        <v>5.6122524498477301E-2</v>
      </c>
      <c r="U391" s="14">
        <v>0.101156259252977</v>
      </c>
      <c r="V391" s="14">
        <v>7.3132696646689005E-2</v>
      </c>
      <c r="W391" s="14">
        <v>5.5849504675798002E-2</v>
      </c>
      <c r="X391" s="14">
        <v>8.3860140373138395E-2</v>
      </c>
      <c r="Y391" s="14">
        <v>7.1815705045394404E-2</v>
      </c>
      <c r="Z391" s="14">
        <v>4.68964695693544E-2</v>
      </c>
      <c r="AA391" s="14">
        <v>9.2572760237143698E-2</v>
      </c>
      <c r="AB391" s="14"/>
      <c r="AC391" s="14">
        <v>0.133901297659792</v>
      </c>
      <c r="AD391" s="14">
        <v>5.80598879487823E-2</v>
      </c>
      <c r="AE391" s="14">
        <v>4.2029419073815397E-2</v>
      </c>
      <c r="AF391" s="14">
        <v>2.7553967418699001E-2</v>
      </c>
      <c r="AG391" s="14">
        <v>2.2019298705451201E-2</v>
      </c>
      <c r="AH391" s="14"/>
      <c r="AI391" s="14">
        <v>6.0168302491230001E-2</v>
      </c>
      <c r="AJ391" s="14">
        <v>5.1494764426848E-2</v>
      </c>
      <c r="AK391" s="14">
        <v>1.5892556020711199E-2</v>
      </c>
      <c r="AL391" s="14">
        <v>9.36630288170823E-2</v>
      </c>
      <c r="AM391" s="14">
        <v>3.03917500230001E-2</v>
      </c>
      <c r="AN391" s="14">
        <v>0.15406128757947399</v>
      </c>
      <c r="AO391" s="14"/>
      <c r="AP391" s="14">
        <v>6.6731098248696094E-2</v>
      </c>
      <c r="AQ391" s="14">
        <v>8.4425167281550695E-2</v>
      </c>
      <c r="AR391" s="14"/>
      <c r="AS391" s="14">
        <v>8.3365086455441301E-2</v>
      </c>
      <c r="AT391" s="14">
        <v>4.5688299918298703E-2</v>
      </c>
      <c r="AU391" s="14">
        <v>8.1327608567696094E-2</v>
      </c>
      <c r="AV391" s="14"/>
      <c r="AW391" s="14">
        <v>6.8713564779047401E-2</v>
      </c>
      <c r="AX391" s="14">
        <v>3.6876337997739601E-2</v>
      </c>
      <c r="AY391" s="14"/>
      <c r="AZ391" s="14">
        <v>5.8869120341135103E-2</v>
      </c>
      <c r="BA391" s="14">
        <v>0.12370119060896601</v>
      </c>
    </row>
    <row r="392" spans="2:53" x14ac:dyDescent="0.35"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</row>
    <row r="393" spans="2:53" x14ac:dyDescent="0.35">
      <c r="B393" s="6" t="s">
        <v>170</v>
      </c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</row>
    <row r="394" spans="2:53" x14ac:dyDescent="0.35">
      <c r="B394" s="24" t="s">
        <v>118</v>
      </c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</row>
    <row r="395" spans="2:53" x14ac:dyDescent="0.35">
      <c r="B395" t="s">
        <v>166</v>
      </c>
      <c r="C395" s="14">
        <v>0.31554098923639501</v>
      </c>
      <c r="D395" s="14">
        <v>0.42960469876937002</v>
      </c>
      <c r="E395" s="14">
        <v>0.200722481949028</v>
      </c>
      <c r="F395" s="14"/>
      <c r="G395" s="14">
        <v>0.57053593827321503</v>
      </c>
      <c r="H395" s="14">
        <v>0.32749007028821803</v>
      </c>
      <c r="I395" s="14">
        <v>0.32453725698429198</v>
      </c>
      <c r="J395" s="14">
        <v>0.28635440995720102</v>
      </c>
      <c r="K395" s="14">
        <v>0.355182850283845</v>
      </c>
      <c r="L395" s="14">
        <v>0.187050405906383</v>
      </c>
      <c r="M395" s="14"/>
      <c r="N395" s="14">
        <v>0.411942050673819</v>
      </c>
      <c r="O395" s="14">
        <v>0.293285332071409</v>
      </c>
      <c r="P395" s="14">
        <v>0.31533826906539802</v>
      </c>
      <c r="Q395" s="14">
        <v>0.23589477239116699</v>
      </c>
      <c r="R395" s="14"/>
      <c r="S395" s="14">
        <v>0.38710827934519898</v>
      </c>
      <c r="T395" s="14">
        <v>0.33263478348700998</v>
      </c>
      <c r="U395" s="14">
        <v>0.315156706544791</v>
      </c>
      <c r="V395" s="14">
        <v>0.326586279220689</v>
      </c>
      <c r="W395" s="14">
        <v>0.34688846814711499</v>
      </c>
      <c r="X395" s="14">
        <v>0.30824877857439698</v>
      </c>
      <c r="Y395" s="14">
        <v>0.25332124716135002</v>
      </c>
      <c r="Z395" s="14">
        <v>0.26666360910716003</v>
      </c>
      <c r="AA395" s="14">
        <v>0.24805443284666601</v>
      </c>
      <c r="AB395" s="14"/>
      <c r="AC395" s="14">
        <v>0.200488300657329</v>
      </c>
      <c r="AD395" s="14">
        <v>0.31048751115841</v>
      </c>
      <c r="AE395" s="14">
        <v>0.34950491603253298</v>
      </c>
      <c r="AF395" s="14">
        <v>0.43689576564299298</v>
      </c>
      <c r="AG395" s="14">
        <v>0.60760461504641905</v>
      </c>
      <c r="AH395" s="14"/>
      <c r="AI395" s="14">
        <v>0.35781465764176701</v>
      </c>
      <c r="AJ395" s="14">
        <v>0.36326636079847602</v>
      </c>
      <c r="AK395" s="14">
        <v>0.28659477151035101</v>
      </c>
      <c r="AL395" s="14">
        <v>0.31406735618189302</v>
      </c>
      <c r="AM395" s="14">
        <v>0.26703531131819602</v>
      </c>
      <c r="AN395" s="14">
        <v>0.25698580247999497</v>
      </c>
      <c r="AO395" s="14"/>
      <c r="AP395" s="14">
        <v>0.34796113130724898</v>
      </c>
      <c r="AQ395" s="14">
        <v>0.279413890947312</v>
      </c>
      <c r="AR395" s="14"/>
      <c r="AS395" s="14">
        <v>0.33534148196199298</v>
      </c>
      <c r="AT395" s="14">
        <v>0.29496368742276002</v>
      </c>
      <c r="AU395" s="14">
        <v>0.31629659586682601</v>
      </c>
      <c r="AV395" s="14"/>
      <c r="AW395" s="14">
        <v>0.29684262748016399</v>
      </c>
      <c r="AX395" s="14">
        <v>0.46125103588025201</v>
      </c>
      <c r="AY395" s="14"/>
      <c r="AZ395" s="14">
        <v>0.40194633039707101</v>
      </c>
      <c r="BA395" s="14">
        <v>0</v>
      </c>
    </row>
    <row r="396" spans="2:53" x14ac:dyDescent="0.35">
      <c r="B396" t="s">
        <v>167</v>
      </c>
      <c r="C396" s="14">
        <v>0.46949165162558698</v>
      </c>
      <c r="D396" s="14">
        <v>0.46021731800115101</v>
      </c>
      <c r="E396" s="14">
        <v>0.47922857990685702</v>
      </c>
      <c r="F396" s="14"/>
      <c r="G396" s="14">
        <v>0.42946406172678497</v>
      </c>
      <c r="H396" s="14">
        <v>0.46835747620040502</v>
      </c>
      <c r="I396" s="14">
        <v>0.44961117149346302</v>
      </c>
      <c r="J396" s="14">
        <v>0.49354493267397398</v>
      </c>
      <c r="K396" s="14">
        <v>0.48643672666892901</v>
      </c>
      <c r="L396" s="14">
        <v>0.48686255899587799</v>
      </c>
      <c r="M396" s="14"/>
      <c r="N396" s="14">
        <v>0.461334805061621</v>
      </c>
      <c r="O396" s="14">
        <v>0.51120745415986901</v>
      </c>
      <c r="P396" s="14">
        <v>0.44524033061222101</v>
      </c>
      <c r="Q396" s="14">
        <v>0.45766267219588003</v>
      </c>
      <c r="R396" s="14"/>
      <c r="S396" s="14">
        <v>0.46352007310325499</v>
      </c>
      <c r="T396" s="14">
        <v>0.48389961917722302</v>
      </c>
      <c r="U396" s="14">
        <v>0.42573608645889599</v>
      </c>
      <c r="V396" s="14">
        <v>0.440014674471155</v>
      </c>
      <c r="W396" s="14">
        <v>0.454961604439509</v>
      </c>
      <c r="X396" s="14">
        <v>0.452494962322881</v>
      </c>
      <c r="Y396" s="14">
        <v>0.46296340208696601</v>
      </c>
      <c r="Z396" s="14">
        <v>0.45809834731791299</v>
      </c>
      <c r="AA396" s="14">
        <v>0.55050868045209</v>
      </c>
      <c r="AB396" s="14"/>
      <c r="AC396" s="14">
        <v>0.48857231053091499</v>
      </c>
      <c r="AD396" s="14">
        <v>0.45133746268879599</v>
      </c>
      <c r="AE396" s="14">
        <v>0.478027857751611</v>
      </c>
      <c r="AF396" s="14">
        <v>0.440891233869878</v>
      </c>
      <c r="AG396" s="14">
        <v>0.36633990564957503</v>
      </c>
      <c r="AH396" s="14"/>
      <c r="AI396" s="14">
        <v>0.46552615039211998</v>
      </c>
      <c r="AJ396" s="14">
        <v>0.47911952382921003</v>
      </c>
      <c r="AK396" s="14">
        <v>0.517867257295336</v>
      </c>
      <c r="AL396" s="14">
        <v>0.497881704728248</v>
      </c>
      <c r="AM396" s="14">
        <v>0.41319840479806103</v>
      </c>
      <c r="AN396" s="14">
        <v>0.42715352978804599</v>
      </c>
      <c r="AO396" s="14"/>
      <c r="AP396" s="14">
        <v>0.46428126152964599</v>
      </c>
      <c r="AQ396" s="14">
        <v>0.47686713127385999</v>
      </c>
      <c r="AR396" s="14"/>
      <c r="AS396" s="14">
        <v>0.481280733224285</v>
      </c>
      <c r="AT396" s="14">
        <v>0.47020617249763802</v>
      </c>
      <c r="AU396" s="14">
        <v>0.46610751833487402</v>
      </c>
      <c r="AV396" s="14"/>
      <c r="AW396" s="14">
        <v>0.47384720102462402</v>
      </c>
      <c r="AX396" s="14">
        <v>0.42702495635443199</v>
      </c>
      <c r="AY396" s="14"/>
      <c r="AZ396" s="14">
        <v>0.59805366960292905</v>
      </c>
      <c r="BA396" s="14">
        <v>0</v>
      </c>
    </row>
    <row r="397" spans="2:53" x14ac:dyDescent="0.35">
      <c r="B397" t="s">
        <v>168</v>
      </c>
      <c r="C397" s="14">
        <v>0.16954317289715901</v>
      </c>
      <c r="D397" s="14">
        <v>9.1981895086184498E-2</v>
      </c>
      <c r="E397" s="14">
        <v>0.24733084292999399</v>
      </c>
      <c r="F397" s="14"/>
      <c r="G397" s="14">
        <v>0</v>
      </c>
      <c r="H397" s="14">
        <v>0.14878215326882099</v>
      </c>
      <c r="I397" s="14">
        <v>0.17542400617199</v>
      </c>
      <c r="J397" s="14">
        <v>0.182382633360646</v>
      </c>
      <c r="K397" s="14">
        <v>0.140877146310041</v>
      </c>
      <c r="L397" s="14">
        <v>0.184027299783836</v>
      </c>
      <c r="M397" s="14"/>
      <c r="N397" s="14">
        <v>0.107024945886655</v>
      </c>
      <c r="O397" s="14">
        <v>0.17171639556802901</v>
      </c>
      <c r="P397" s="14">
        <v>0.16716770534356701</v>
      </c>
      <c r="Q397" s="14">
        <v>0.23551300718051099</v>
      </c>
      <c r="R397" s="14"/>
      <c r="S397" s="14">
        <v>0.118757554028858</v>
      </c>
      <c r="T397" s="14">
        <v>0.14275762635747299</v>
      </c>
      <c r="U397" s="14">
        <v>0.19980758492825801</v>
      </c>
      <c r="V397" s="14">
        <v>0.18141589188844001</v>
      </c>
      <c r="W397" s="14">
        <v>0.151231746904329</v>
      </c>
      <c r="X397" s="14">
        <v>0.20459586203237501</v>
      </c>
      <c r="Y397" s="14">
        <v>0.23058936847346001</v>
      </c>
      <c r="Z397" s="14">
        <v>0.22221056791229701</v>
      </c>
      <c r="AA397" s="14">
        <v>0.149841514668793</v>
      </c>
      <c r="AB397" s="14"/>
      <c r="AC397" s="14">
        <v>0.24875052735186701</v>
      </c>
      <c r="AD397" s="14">
        <v>0.17262669472438599</v>
      </c>
      <c r="AE397" s="14">
        <v>0.150911775968498</v>
      </c>
      <c r="AF397" s="14">
        <v>0.100985970425632</v>
      </c>
      <c r="AG397" s="14">
        <v>2.60554793040059E-2</v>
      </c>
      <c r="AH397" s="14"/>
      <c r="AI397" s="14">
        <v>0.139959001104806</v>
      </c>
      <c r="AJ397" s="14">
        <v>0.13195098863180599</v>
      </c>
      <c r="AK397" s="14">
        <v>0.17556570044165501</v>
      </c>
      <c r="AL397" s="14">
        <v>0.143075287346838</v>
      </c>
      <c r="AM397" s="14">
        <v>0.24397980314242401</v>
      </c>
      <c r="AN397" s="14">
        <v>0.19952964648070001</v>
      </c>
      <c r="AO397" s="14"/>
      <c r="AP397" s="14">
        <v>0.153062676590278</v>
      </c>
      <c r="AQ397" s="14">
        <v>0.186076483384359</v>
      </c>
      <c r="AR397" s="14"/>
      <c r="AS397" s="14">
        <v>0.14966434983980301</v>
      </c>
      <c r="AT397" s="14">
        <v>0.175011851792363</v>
      </c>
      <c r="AU397" s="14">
        <v>0.173276195115034</v>
      </c>
      <c r="AV397" s="14"/>
      <c r="AW397" s="14">
        <v>0.18099506849532501</v>
      </c>
      <c r="AX397" s="14">
        <v>0.100413871594925</v>
      </c>
      <c r="AY397" s="14"/>
      <c r="AZ397" s="14">
        <v>0</v>
      </c>
      <c r="BA397" s="14">
        <v>0.80527515855485599</v>
      </c>
    </row>
    <row r="398" spans="2:53" x14ac:dyDescent="0.35">
      <c r="B398" t="s">
        <v>169</v>
      </c>
      <c r="C398" s="14">
        <v>4.0997498941545897E-2</v>
      </c>
      <c r="D398" s="14">
        <v>1.38816909727453E-2</v>
      </c>
      <c r="E398" s="14">
        <v>6.8174736262044996E-2</v>
      </c>
      <c r="F398" s="14"/>
      <c r="G398" s="14">
        <v>0</v>
      </c>
      <c r="H398" s="14">
        <v>4.7313498879383402E-2</v>
      </c>
      <c r="I398" s="14">
        <v>4.6643903723958699E-2</v>
      </c>
      <c r="J398" s="14">
        <v>3.61268385323869E-2</v>
      </c>
      <c r="K398" s="14">
        <v>1.7503276737185301E-2</v>
      </c>
      <c r="L398" s="14">
        <v>7.0132536380984503E-2</v>
      </c>
      <c r="M398" s="14"/>
      <c r="N398" s="14">
        <v>1.7794968197507401E-2</v>
      </c>
      <c r="O398" s="14">
        <v>2.1654407017680601E-2</v>
      </c>
      <c r="P398" s="14">
        <v>6.71048453231856E-2</v>
      </c>
      <c r="Q398" s="14">
        <v>6.1982937645227797E-2</v>
      </c>
      <c r="R398" s="14"/>
      <c r="S398" s="14">
        <v>2.7406594653886601E-2</v>
      </c>
      <c r="T398" s="14">
        <v>4.0707970978293297E-2</v>
      </c>
      <c r="U398" s="14">
        <v>5.9299622068055002E-2</v>
      </c>
      <c r="V398" s="14">
        <v>4.6067130412798002E-2</v>
      </c>
      <c r="W398" s="14">
        <v>3.4804960121187903E-2</v>
      </c>
      <c r="X398" s="14">
        <v>1.91156722900741E-2</v>
      </c>
      <c r="Y398" s="14">
        <v>5.3125982278224203E-2</v>
      </c>
      <c r="Z398" s="14">
        <v>5.3027475662629497E-2</v>
      </c>
      <c r="AA398" s="14">
        <v>4.6861252671779402E-2</v>
      </c>
      <c r="AB398" s="14"/>
      <c r="AC398" s="14">
        <v>6.2188861459889402E-2</v>
      </c>
      <c r="AD398" s="14">
        <v>5.9622680949581397E-2</v>
      </c>
      <c r="AE398" s="14">
        <v>2.1555450247357801E-2</v>
      </c>
      <c r="AF398" s="14">
        <v>1.78108910276931E-2</v>
      </c>
      <c r="AG398" s="14">
        <v>0</v>
      </c>
      <c r="AH398" s="14"/>
      <c r="AI398" s="14">
        <v>3.2132524337368198E-2</v>
      </c>
      <c r="AJ398" s="14">
        <v>2.5663126740507101E-2</v>
      </c>
      <c r="AK398" s="14">
        <v>1.9972270752659199E-2</v>
      </c>
      <c r="AL398" s="14">
        <v>4.1380869932010199E-2</v>
      </c>
      <c r="AM398" s="14">
        <v>7.5786480741318996E-2</v>
      </c>
      <c r="AN398" s="14">
        <v>0.108048536210132</v>
      </c>
      <c r="AO398" s="14"/>
      <c r="AP398" s="14">
        <v>3.26785441658686E-2</v>
      </c>
      <c r="AQ398" s="14">
        <v>5.0489614526034801E-2</v>
      </c>
      <c r="AR398" s="14"/>
      <c r="AS398" s="14">
        <v>2.9931751404404398E-2</v>
      </c>
      <c r="AT398" s="14">
        <v>4.7863842715561898E-2</v>
      </c>
      <c r="AU398" s="14">
        <v>4.1945332454168698E-2</v>
      </c>
      <c r="AV398" s="14"/>
      <c r="AW398" s="14">
        <v>4.4678191345073698E-2</v>
      </c>
      <c r="AX398" s="14">
        <v>1.1310136170391E-2</v>
      </c>
      <c r="AY398" s="14"/>
      <c r="AZ398" s="14">
        <v>0</v>
      </c>
      <c r="BA398" s="14">
        <v>0.19472484144514399</v>
      </c>
    </row>
    <row r="399" spans="2:53" x14ac:dyDescent="0.35">
      <c r="B399" t="s">
        <v>116</v>
      </c>
      <c r="C399" s="14">
        <v>4.4266872993129402E-3</v>
      </c>
      <c r="D399" s="14">
        <v>4.31439717054903E-3</v>
      </c>
      <c r="E399" s="14">
        <v>4.54335895207584E-3</v>
      </c>
      <c r="F399" s="14"/>
      <c r="G399" s="14">
        <v>0</v>
      </c>
      <c r="H399" s="14">
        <v>8.0568013631725499E-3</v>
      </c>
      <c r="I399" s="14">
        <v>3.7836616262965001E-3</v>
      </c>
      <c r="J399" s="14">
        <v>1.59118547579138E-3</v>
      </c>
      <c r="K399" s="14">
        <v>0</v>
      </c>
      <c r="L399" s="14">
        <v>7.1927198932918504E-2</v>
      </c>
      <c r="M399" s="14"/>
      <c r="N399" s="14">
        <v>1.90323018039794E-3</v>
      </c>
      <c r="O399" s="14">
        <v>2.1364111830122498E-3</v>
      </c>
      <c r="P399" s="14">
        <v>5.1488496556280098E-3</v>
      </c>
      <c r="Q399" s="14">
        <v>8.9466105872149197E-3</v>
      </c>
      <c r="R399" s="14"/>
      <c r="S399" s="14">
        <v>3.2074988688016799E-3</v>
      </c>
      <c r="T399" s="14">
        <v>0</v>
      </c>
      <c r="U399" s="14">
        <v>0</v>
      </c>
      <c r="V399" s="14">
        <v>5.9160240069183103E-3</v>
      </c>
      <c r="W399" s="14">
        <v>1.2113220387858699E-2</v>
      </c>
      <c r="X399" s="14">
        <v>1.55447247802732E-2</v>
      </c>
      <c r="Y399" s="14">
        <v>0</v>
      </c>
      <c r="Z399" s="14">
        <v>0</v>
      </c>
      <c r="AA399" s="14">
        <v>4.7341193606715596E-3</v>
      </c>
      <c r="AB399" s="14"/>
      <c r="AC399" s="14">
        <v>0</v>
      </c>
      <c r="AD399" s="14">
        <v>5.9256504788265498E-3</v>
      </c>
      <c r="AE399" s="14">
        <v>0</v>
      </c>
      <c r="AF399" s="14">
        <v>3.4161390338037401E-3</v>
      </c>
      <c r="AG399" s="14">
        <v>0</v>
      </c>
      <c r="AH399" s="14"/>
      <c r="AI399" s="14">
        <v>4.5676665239391201E-3</v>
      </c>
      <c r="AJ399" s="14">
        <v>0</v>
      </c>
      <c r="AK399" s="14">
        <v>0</v>
      </c>
      <c r="AL399" s="14">
        <v>3.5947818110103899E-3</v>
      </c>
      <c r="AM399" s="14">
        <v>0</v>
      </c>
      <c r="AN399" s="14">
        <v>8.2824850411278503E-3</v>
      </c>
      <c r="AO399" s="14"/>
      <c r="AP399" s="14">
        <v>2.0163864069589E-3</v>
      </c>
      <c r="AQ399" s="14">
        <v>7.15287986843472E-3</v>
      </c>
      <c r="AR399" s="14"/>
      <c r="AS399" s="14">
        <v>3.78168356951394E-3</v>
      </c>
      <c r="AT399" s="14">
        <v>1.19544455716769E-2</v>
      </c>
      <c r="AU399" s="14">
        <v>2.3743582290979099E-3</v>
      </c>
      <c r="AV399" s="14"/>
      <c r="AW399" s="14">
        <v>3.63691165481328E-3</v>
      </c>
      <c r="AX399" s="14">
        <v>0</v>
      </c>
      <c r="AY399" s="14"/>
      <c r="AZ399" s="14">
        <v>0</v>
      </c>
      <c r="BA399" s="14">
        <v>0</v>
      </c>
    </row>
    <row r="400" spans="2:53" x14ac:dyDescent="0.35"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</row>
    <row r="401" spans="2:53" x14ac:dyDescent="0.35">
      <c r="B401" s="6" t="s">
        <v>177</v>
      </c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</row>
    <row r="402" spans="2:53" x14ac:dyDescent="0.35">
      <c r="B402" s="24" t="s">
        <v>118</v>
      </c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</row>
    <row r="403" spans="2:53" x14ac:dyDescent="0.35">
      <c r="B403" t="s">
        <v>171</v>
      </c>
      <c r="C403" s="14">
        <v>0.13844435094291699</v>
      </c>
      <c r="D403" s="14">
        <v>0.161859451800553</v>
      </c>
      <c r="E403" s="14">
        <v>0.115144751269149</v>
      </c>
      <c r="F403" s="14"/>
      <c r="G403" s="14">
        <v>5.8383768941911898E-2</v>
      </c>
      <c r="H403" s="14">
        <v>0.17798902444105599</v>
      </c>
      <c r="I403" s="14">
        <v>0.14419578286036799</v>
      </c>
      <c r="J403" s="14">
        <v>0.11439757092750499</v>
      </c>
      <c r="K403" s="14">
        <v>0.14290472548743799</v>
      </c>
      <c r="L403" s="14">
        <v>6.1818364403957E-2</v>
      </c>
      <c r="M403" s="14"/>
      <c r="N403" s="14">
        <v>0.17623993725051401</v>
      </c>
      <c r="O403" s="14">
        <v>0.10276427141514299</v>
      </c>
      <c r="P403" s="14">
        <v>0.167702000205073</v>
      </c>
      <c r="Q403" s="14">
        <v>0.110583083577713</v>
      </c>
      <c r="R403" s="14"/>
      <c r="S403" s="14">
        <v>0.214684651821408</v>
      </c>
      <c r="T403" s="14">
        <v>0.113683613631303</v>
      </c>
      <c r="U403" s="14">
        <v>0.120989822189256</v>
      </c>
      <c r="V403" s="14">
        <v>0.124700537555774</v>
      </c>
      <c r="W403" s="14">
        <v>0.16878470562287601</v>
      </c>
      <c r="X403" s="14">
        <v>0.15201765725121799</v>
      </c>
      <c r="Y403" s="14">
        <v>0.12094276947410899</v>
      </c>
      <c r="Z403" s="14">
        <v>8.9016563492458498E-2</v>
      </c>
      <c r="AA403" s="14">
        <v>0.10118073922163701</v>
      </c>
      <c r="AB403" s="14"/>
      <c r="AC403" s="14">
        <v>9.4998012294075507E-2</v>
      </c>
      <c r="AD403" s="14">
        <v>0.121921608545838</v>
      </c>
      <c r="AE403" s="14">
        <v>0.13950720894723301</v>
      </c>
      <c r="AF403" s="14">
        <v>0.23690798738864799</v>
      </c>
      <c r="AG403" s="14">
        <v>0.29971284373953</v>
      </c>
      <c r="AH403" s="14"/>
      <c r="AI403" s="14">
        <v>0.171375013205086</v>
      </c>
      <c r="AJ403" s="14">
        <v>0.15430539774639801</v>
      </c>
      <c r="AK403" s="14">
        <v>9.7227945417504999E-2</v>
      </c>
      <c r="AL403" s="14">
        <v>0.117544819356734</v>
      </c>
      <c r="AM403" s="14">
        <v>0.17090617252290599</v>
      </c>
      <c r="AN403" s="14">
        <v>6.9616829037212793E-2</v>
      </c>
      <c r="AO403" s="14"/>
      <c r="AP403" s="14">
        <v>0.149191247372706</v>
      </c>
      <c r="AQ403" s="14">
        <v>0.126131951879625</v>
      </c>
      <c r="AR403" s="14"/>
      <c r="AS403" s="14">
        <v>0.17867321063510799</v>
      </c>
      <c r="AT403" s="14">
        <v>0.14439503079013299</v>
      </c>
      <c r="AU403" s="14">
        <v>0.125857774670461</v>
      </c>
      <c r="AV403" s="14"/>
      <c r="AW403" s="14">
        <v>0.113949501038208</v>
      </c>
      <c r="AX403" s="14">
        <v>0.25364992103378498</v>
      </c>
      <c r="AY403" s="14"/>
      <c r="AZ403" s="14">
        <v>0.16454104225003499</v>
      </c>
      <c r="BA403" s="14">
        <v>4.4049740765972997E-2</v>
      </c>
    </row>
    <row r="404" spans="2:53" x14ac:dyDescent="0.35">
      <c r="B404" t="s">
        <v>172</v>
      </c>
      <c r="C404" s="14">
        <v>0.358205936877595</v>
      </c>
      <c r="D404" s="14">
        <v>0.38513098650960098</v>
      </c>
      <c r="E404" s="14">
        <v>0.33063712947436202</v>
      </c>
      <c r="F404" s="14"/>
      <c r="G404" s="14">
        <v>0.68569963023940395</v>
      </c>
      <c r="H404" s="14">
        <v>0.41529441946578799</v>
      </c>
      <c r="I404" s="14">
        <v>0.360998233513737</v>
      </c>
      <c r="J404" s="14">
        <v>0.32074530892516701</v>
      </c>
      <c r="K404" s="14">
        <v>0.387458232628969</v>
      </c>
      <c r="L404" s="14">
        <v>0.165404119913484</v>
      </c>
      <c r="M404" s="14"/>
      <c r="N404" s="14">
        <v>0.39586988685725599</v>
      </c>
      <c r="O404" s="14">
        <v>0.36660717673125998</v>
      </c>
      <c r="P404" s="14">
        <v>0.37202479789967102</v>
      </c>
      <c r="Q404" s="14">
        <v>0.29574407489253401</v>
      </c>
      <c r="R404" s="14"/>
      <c r="S404" s="14">
        <v>0.37878610238068999</v>
      </c>
      <c r="T404" s="14">
        <v>0.39974081531849998</v>
      </c>
      <c r="U404" s="14">
        <v>0.32745951282547298</v>
      </c>
      <c r="V404" s="14">
        <v>0.296610486129464</v>
      </c>
      <c r="W404" s="14">
        <v>0.36064967543927501</v>
      </c>
      <c r="X404" s="14">
        <v>0.33834730655013001</v>
      </c>
      <c r="Y404" s="14">
        <v>0.35439103295782098</v>
      </c>
      <c r="Z404" s="14">
        <v>0.40201101167085801</v>
      </c>
      <c r="AA404" s="14">
        <v>0.357406688533004</v>
      </c>
      <c r="AB404" s="14"/>
      <c r="AC404" s="14">
        <v>0.31651616272501398</v>
      </c>
      <c r="AD404" s="14">
        <v>0.34516439473046101</v>
      </c>
      <c r="AE404" s="14">
        <v>0.366798145888456</v>
      </c>
      <c r="AF404" s="14">
        <v>0.40578881118494298</v>
      </c>
      <c r="AG404" s="14">
        <v>0.320743385390796</v>
      </c>
      <c r="AH404" s="14"/>
      <c r="AI404" s="14">
        <v>0.38045604896466501</v>
      </c>
      <c r="AJ404" s="14">
        <v>0.44465402608226601</v>
      </c>
      <c r="AK404" s="14">
        <v>0.34574155615305402</v>
      </c>
      <c r="AL404" s="14">
        <v>0.36090511132507003</v>
      </c>
      <c r="AM404" s="14">
        <v>0.25148854930415498</v>
      </c>
      <c r="AN404" s="14">
        <v>0.28747650646544398</v>
      </c>
      <c r="AO404" s="14"/>
      <c r="AP404" s="14">
        <v>0.38279987834026802</v>
      </c>
      <c r="AQ404" s="14">
        <v>0.33049288229152701</v>
      </c>
      <c r="AR404" s="14"/>
      <c r="AS404" s="14">
        <v>0.394420350268682</v>
      </c>
      <c r="AT404" s="14">
        <v>0.39050037259926501</v>
      </c>
      <c r="AU404" s="14">
        <v>0.338910065648245</v>
      </c>
      <c r="AV404" s="14"/>
      <c r="AW404" s="14">
        <v>0.35649747120759201</v>
      </c>
      <c r="AX404" s="14">
        <v>0.42833814346937199</v>
      </c>
      <c r="AY404" s="14"/>
      <c r="AZ404" s="14">
        <v>0.40575815845605101</v>
      </c>
      <c r="BA404" s="14">
        <v>0.18843170702875101</v>
      </c>
    </row>
    <row r="405" spans="2:53" x14ac:dyDescent="0.35">
      <c r="B405" t="s">
        <v>173</v>
      </c>
      <c r="C405" s="14">
        <v>0.29998973145556201</v>
      </c>
      <c r="D405" s="14">
        <v>0.28671547770275602</v>
      </c>
      <c r="E405" s="14">
        <v>0.31356544362373001</v>
      </c>
      <c r="F405" s="14"/>
      <c r="G405" s="14">
        <v>0.255916600818684</v>
      </c>
      <c r="H405" s="14">
        <v>0.28758887896518098</v>
      </c>
      <c r="I405" s="14">
        <v>0.30065536610725202</v>
      </c>
      <c r="J405" s="14">
        <v>0.32307660218602402</v>
      </c>
      <c r="K405" s="14">
        <v>0.21933293826581299</v>
      </c>
      <c r="L405" s="14">
        <v>0.45039717554355801</v>
      </c>
      <c r="M405" s="14"/>
      <c r="N405" s="14">
        <v>0.27427999526675301</v>
      </c>
      <c r="O405" s="14">
        <v>0.35348566845877599</v>
      </c>
      <c r="P405" s="14">
        <v>0.25959280246942701</v>
      </c>
      <c r="Q405" s="14">
        <v>0.30964550693113402</v>
      </c>
      <c r="R405" s="14"/>
      <c r="S405" s="14">
        <v>0.26202564049710803</v>
      </c>
      <c r="T405" s="14">
        <v>0.30955962144233501</v>
      </c>
      <c r="U405" s="14">
        <v>0.32046011375149802</v>
      </c>
      <c r="V405" s="14">
        <v>0.292530071978925</v>
      </c>
      <c r="W405" s="14">
        <v>0.30021036463143702</v>
      </c>
      <c r="X405" s="14">
        <v>0.29080874233012699</v>
      </c>
      <c r="Y405" s="14">
        <v>0.27792607246988099</v>
      </c>
      <c r="Z405" s="14">
        <v>0.33964629195443802</v>
      </c>
      <c r="AA405" s="14">
        <v>0.33418715186659498</v>
      </c>
      <c r="AB405" s="14"/>
      <c r="AC405" s="14">
        <v>0.32751003566201797</v>
      </c>
      <c r="AD405" s="14">
        <v>0.32997755438187498</v>
      </c>
      <c r="AE405" s="14">
        <v>0.31300134591393097</v>
      </c>
      <c r="AF405" s="14">
        <v>0.23677706426725001</v>
      </c>
      <c r="AG405" s="14">
        <v>0.30281054228980597</v>
      </c>
      <c r="AH405" s="14"/>
      <c r="AI405" s="14">
        <v>0.28226554074391502</v>
      </c>
      <c r="AJ405" s="14">
        <v>0.25383955318780599</v>
      </c>
      <c r="AK405" s="14">
        <v>0.352222098785057</v>
      </c>
      <c r="AL405" s="14">
        <v>0.31094343419732701</v>
      </c>
      <c r="AM405" s="14">
        <v>0.301006779761609</v>
      </c>
      <c r="AN405" s="14">
        <v>0.35871461948674599</v>
      </c>
      <c r="AO405" s="14"/>
      <c r="AP405" s="14">
        <v>0.29575713223528399</v>
      </c>
      <c r="AQ405" s="14">
        <v>0.30571879476782599</v>
      </c>
      <c r="AR405" s="14"/>
      <c r="AS405" s="14">
        <v>0.30512053113577597</v>
      </c>
      <c r="AT405" s="14">
        <v>0.29978331715254503</v>
      </c>
      <c r="AU405" s="14">
        <v>0.29866989009391898</v>
      </c>
      <c r="AV405" s="14"/>
      <c r="AW405" s="14">
        <v>0.31960213766080298</v>
      </c>
      <c r="AX405" s="14">
        <v>0.207016309669764</v>
      </c>
      <c r="AY405" s="14"/>
      <c r="AZ405" s="14">
        <v>0.28542531419247502</v>
      </c>
      <c r="BA405" s="14">
        <v>0.35245060597790001</v>
      </c>
    </row>
    <row r="406" spans="2:53" x14ac:dyDescent="0.35">
      <c r="B406" t="s">
        <v>174</v>
      </c>
      <c r="C406" s="14">
        <v>0.118835578703417</v>
      </c>
      <c r="D406" s="14">
        <v>9.41998134104991E-2</v>
      </c>
      <c r="E406" s="14">
        <v>0.14360625545941699</v>
      </c>
      <c r="F406" s="14"/>
      <c r="G406" s="14">
        <v>0</v>
      </c>
      <c r="H406" s="14">
        <v>7.4423413899184401E-2</v>
      </c>
      <c r="I406" s="14">
        <v>0.12172301825050399</v>
      </c>
      <c r="J406" s="14">
        <v>0.13688064027522201</v>
      </c>
      <c r="K406" s="14">
        <v>0.134085235720562</v>
      </c>
      <c r="L406" s="14">
        <v>6.4394233971469497E-2</v>
      </c>
      <c r="M406" s="14"/>
      <c r="N406" s="14">
        <v>0.105627372487581</v>
      </c>
      <c r="O406" s="14">
        <v>0.110100014946449</v>
      </c>
      <c r="P406" s="14">
        <v>0.13690433581702799</v>
      </c>
      <c r="Q406" s="14">
        <v>0.12409554822990999</v>
      </c>
      <c r="R406" s="14"/>
      <c r="S406" s="14">
        <v>7.6843577413770903E-2</v>
      </c>
      <c r="T406" s="14">
        <v>0.106423222203322</v>
      </c>
      <c r="U406" s="14">
        <v>0.16639347552736</v>
      </c>
      <c r="V406" s="14">
        <v>0.16644501682747301</v>
      </c>
      <c r="W406" s="14">
        <v>0.10609205255371799</v>
      </c>
      <c r="X406" s="14">
        <v>0.118835288378878</v>
      </c>
      <c r="Y406" s="14">
        <v>0.14190252170016801</v>
      </c>
      <c r="Z406" s="14">
        <v>0.10958592548740501</v>
      </c>
      <c r="AA406" s="14">
        <v>0.103328593919136</v>
      </c>
      <c r="AB406" s="14"/>
      <c r="AC406" s="14">
        <v>0.107652701075465</v>
      </c>
      <c r="AD406" s="14">
        <v>0.13879536159372699</v>
      </c>
      <c r="AE406" s="14">
        <v>0.128428170917495</v>
      </c>
      <c r="AF406" s="14">
        <v>7.0164216694769702E-2</v>
      </c>
      <c r="AG406" s="14">
        <v>5.5946658193459099E-2</v>
      </c>
      <c r="AH406" s="14"/>
      <c r="AI406" s="14">
        <v>0.10207472935461701</v>
      </c>
      <c r="AJ406" s="14">
        <v>0.111824260505791</v>
      </c>
      <c r="AK406" s="14">
        <v>0.11171293885811399</v>
      </c>
      <c r="AL406" s="14">
        <v>0.10798471788945301</v>
      </c>
      <c r="AM406" s="14">
        <v>0.17641261956403401</v>
      </c>
      <c r="AN406" s="14">
        <v>0.14717325846168999</v>
      </c>
      <c r="AO406" s="14"/>
      <c r="AP406" s="14">
        <v>0.106025162670272</v>
      </c>
      <c r="AQ406" s="14">
        <v>0.13363207154899101</v>
      </c>
      <c r="AR406" s="14"/>
      <c r="AS406" s="14">
        <v>5.0234494562492599E-2</v>
      </c>
      <c r="AT406" s="14">
        <v>9.0880484108614407E-2</v>
      </c>
      <c r="AU406" s="14">
        <v>0.14556470982660799</v>
      </c>
      <c r="AV406" s="14"/>
      <c r="AW406" s="14">
        <v>0.12109764146973</v>
      </c>
      <c r="AX406" s="14">
        <v>8.9197387493295005E-2</v>
      </c>
      <c r="AY406" s="14"/>
      <c r="AZ406" s="14">
        <v>8.9117405865197702E-2</v>
      </c>
      <c r="BA406" s="14">
        <v>0.23214282448825499</v>
      </c>
    </row>
    <row r="407" spans="2:53" x14ac:dyDescent="0.35">
      <c r="B407" t="s">
        <v>175</v>
      </c>
      <c r="C407" s="14">
        <v>7.8253741709128397E-2</v>
      </c>
      <c r="D407" s="14">
        <v>6.6881311911994298E-2</v>
      </c>
      <c r="E407" s="14">
        <v>8.9711132985692194E-2</v>
      </c>
      <c r="F407" s="14"/>
      <c r="G407" s="14">
        <v>0</v>
      </c>
      <c r="H407" s="14">
        <v>4.1333327815263603E-2</v>
      </c>
      <c r="I407" s="14">
        <v>6.7193370437280006E-2</v>
      </c>
      <c r="J407" s="14">
        <v>9.6963135390066305E-2</v>
      </c>
      <c r="K407" s="14">
        <v>0.116218867897218</v>
      </c>
      <c r="L407" s="14">
        <v>0.18605890723461299</v>
      </c>
      <c r="M407" s="14"/>
      <c r="N407" s="14">
        <v>4.5896054579620101E-2</v>
      </c>
      <c r="O407" s="14">
        <v>6.5516645667451301E-2</v>
      </c>
      <c r="P407" s="14">
        <v>5.6591794297996302E-2</v>
      </c>
      <c r="Q407" s="14">
        <v>0.14494600880043501</v>
      </c>
      <c r="R407" s="14"/>
      <c r="S407" s="14">
        <v>5.7979888834428499E-2</v>
      </c>
      <c r="T407" s="14">
        <v>7.0592727404539299E-2</v>
      </c>
      <c r="U407" s="14">
        <v>6.4697075706413004E-2</v>
      </c>
      <c r="V407" s="14">
        <v>0.11460333488814201</v>
      </c>
      <c r="W407" s="14">
        <v>5.2149981364835001E-2</v>
      </c>
      <c r="X407" s="14">
        <v>8.9967399306394899E-2</v>
      </c>
      <c r="Y407" s="14">
        <v>9.4298689700935995E-2</v>
      </c>
      <c r="Z407" s="14">
        <v>5.9740207394839602E-2</v>
      </c>
      <c r="AA407" s="14">
        <v>9.6115826699273904E-2</v>
      </c>
      <c r="AB407" s="14"/>
      <c r="AC407" s="14">
        <v>0.14855197782370499</v>
      </c>
      <c r="AD407" s="14">
        <v>6.12626654144015E-2</v>
      </c>
      <c r="AE407" s="14">
        <v>4.7231248170445897E-2</v>
      </c>
      <c r="AF407" s="14">
        <v>4.6407364634136097E-2</v>
      </c>
      <c r="AG407" s="14">
        <v>2.07865703864096E-2</v>
      </c>
      <c r="AH407" s="14"/>
      <c r="AI407" s="14">
        <v>5.6570277677072199E-2</v>
      </c>
      <c r="AJ407" s="14">
        <v>3.5376762477739902E-2</v>
      </c>
      <c r="AK407" s="14">
        <v>8.8692151956303103E-2</v>
      </c>
      <c r="AL407" s="14">
        <v>0.102621917231416</v>
      </c>
      <c r="AM407" s="14">
        <v>0.100185878847297</v>
      </c>
      <c r="AN407" s="14">
        <v>0.113709423282616</v>
      </c>
      <c r="AO407" s="14"/>
      <c r="AP407" s="14">
        <v>6.3462921559439195E-2</v>
      </c>
      <c r="AQ407" s="14">
        <v>9.3787560899821806E-2</v>
      </c>
      <c r="AR407" s="14"/>
      <c r="AS407" s="14">
        <v>6.8337236193821399E-2</v>
      </c>
      <c r="AT407" s="14">
        <v>6.2276211052085299E-2</v>
      </c>
      <c r="AU407" s="14">
        <v>8.5647098369241101E-2</v>
      </c>
      <c r="AV407" s="14"/>
      <c r="AW407" s="14">
        <v>8.3970120177142907E-2</v>
      </c>
      <c r="AX407" s="14">
        <v>2.1798238333783301E-2</v>
      </c>
      <c r="AY407" s="14"/>
      <c r="AZ407" s="14">
        <v>5.3183027006837899E-2</v>
      </c>
      <c r="BA407" s="14">
        <v>0.173378992524929</v>
      </c>
    </row>
    <row r="408" spans="2:53" x14ac:dyDescent="0.35">
      <c r="B408" t="s">
        <v>176</v>
      </c>
      <c r="C408" s="14">
        <v>6.2706603113805897E-3</v>
      </c>
      <c r="D408" s="14">
        <v>5.2129586645956998E-3</v>
      </c>
      <c r="E408" s="14">
        <v>7.3352871876497996E-3</v>
      </c>
      <c r="F408" s="14"/>
      <c r="G408" s="14">
        <v>0</v>
      </c>
      <c r="H408" s="14">
        <v>3.3709354135267101E-3</v>
      </c>
      <c r="I408" s="14">
        <v>5.2342288308582299E-3</v>
      </c>
      <c r="J408" s="14">
        <v>7.9367422960158699E-3</v>
      </c>
      <c r="K408" s="14">
        <v>0</v>
      </c>
      <c r="L408" s="14">
        <v>7.1927198932918504E-2</v>
      </c>
      <c r="M408" s="14"/>
      <c r="N408" s="14">
        <v>2.0867535582765398E-3</v>
      </c>
      <c r="O408" s="14">
        <v>1.5262227809200899E-3</v>
      </c>
      <c r="P408" s="14">
        <v>7.1842693108047501E-3</v>
      </c>
      <c r="Q408" s="14">
        <v>1.4985777568273E-2</v>
      </c>
      <c r="R408" s="14"/>
      <c r="S408" s="14">
        <v>9.6801390525945892E-3</v>
      </c>
      <c r="T408" s="14">
        <v>0</v>
      </c>
      <c r="U408" s="14">
        <v>0</v>
      </c>
      <c r="V408" s="14">
        <v>5.1105526202214896E-3</v>
      </c>
      <c r="W408" s="14">
        <v>1.2113220387858699E-2</v>
      </c>
      <c r="X408" s="14">
        <v>1.00236061832515E-2</v>
      </c>
      <c r="Y408" s="14">
        <v>1.05389136970836E-2</v>
      </c>
      <c r="Z408" s="14">
        <v>0</v>
      </c>
      <c r="AA408" s="14">
        <v>7.7809997603544203E-3</v>
      </c>
      <c r="AB408" s="14"/>
      <c r="AC408" s="14">
        <v>4.7711104197229598E-3</v>
      </c>
      <c r="AD408" s="14">
        <v>2.8784153336974998E-3</v>
      </c>
      <c r="AE408" s="14">
        <v>5.0338801624398299E-3</v>
      </c>
      <c r="AF408" s="14">
        <v>3.9545558302534096E-3</v>
      </c>
      <c r="AG408" s="14">
        <v>0</v>
      </c>
      <c r="AH408" s="14"/>
      <c r="AI408" s="14">
        <v>7.2583900546448702E-3</v>
      </c>
      <c r="AJ408" s="14">
        <v>0</v>
      </c>
      <c r="AK408" s="14">
        <v>4.4033088299661096E-3</v>
      </c>
      <c r="AL408" s="14">
        <v>0</v>
      </c>
      <c r="AM408" s="14">
        <v>0</v>
      </c>
      <c r="AN408" s="14">
        <v>2.3309363266290999E-2</v>
      </c>
      <c r="AO408" s="14"/>
      <c r="AP408" s="14">
        <v>2.7636578220308298E-3</v>
      </c>
      <c r="AQ408" s="14">
        <v>1.02367386122092E-2</v>
      </c>
      <c r="AR408" s="14"/>
      <c r="AS408" s="14">
        <v>3.21417720412064E-3</v>
      </c>
      <c r="AT408" s="14">
        <v>1.21645842973582E-2</v>
      </c>
      <c r="AU408" s="14">
        <v>5.3504613915253902E-3</v>
      </c>
      <c r="AV408" s="14"/>
      <c r="AW408" s="14">
        <v>4.8831284465241697E-3</v>
      </c>
      <c r="AX408" s="14">
        <v>0</v>
      </c>
      <c r="AY408" s="14"/>
      <c r="AZ408" s="14">
        <v>1.9750522294035501E-3</v>
      </c>
      <c r="BA408" s="14">
        <v>9.5461292141924003E-3</v>
      </c>
    </row>
    <row r="409" spans="2:53" x14ac:dyDescent="0.35"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</row>
    <row r="410" spans="2:53" x14ac:dyDescent="0.35">
      <c r="B410" s="6" t="s">
        <v>178</v>
      </c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</row>
    <row r="411" spans="2:53" x14ac:dyDescent="0.35">
      <c r="B411" s="24" t="s">
        <v>118</v>
      </c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</row>
    <row r="412" spans="2:53" x14ac:dyDescent="0.35">
      <c r="B412" t="s">
        <v>171</v>
      </c>
      <c r="C412" s="14">
        <v>0.120563432079499</v>
      </c>
      <c r="D412" s="14">
        <v>0.132337033118474</v>
      </c>
      <c r="E412" s="14">
        <v>0.10889730490871601</v>
      </c>
      <c r="F412" s="14"/>
      <c r="G412" s="14">
        <v>5.8383768941911898E-2</v>
      </c>
      <c r="H412" s="14">
        <v>0.13419838495273201</v>
      </c>
      <c r="I412" s="14">
        <v>0.124762382528398</v>
      </c>
      <c r="J412" s="14">
        <v>0.112241186237931</v>
      </c>
      <c r="K412" s="14">
        <v>0.12534860380427101</v>
      </c>
      <c r="L412" s="14">
        <v>2.3454654728952501E-2</v>
      </c>
      <c r="M412" s="14"/>
      <c r="N412" s="14">
        <v>0.161627673506887</v>
      </c>
      <c r="O412" s="14">
        <v>0.107380982628539</v>
      </c>
      <c r="P412" s="14">
        <v>0.10344827051638</v>
      </c>
      <c r="Q412" s="14">
        <v>0.10638370530091</v>
      </c>
      <c r="R412" s="14"/>
      <c r="S412" s="14">
        <v>0.207331763390459</v>
      </c>
      <c r="T412" s="14">
        <v>0.103490755497957</v>
      </c>
      <c r="U412" s="14">
        <v>0.100004537647056</v>
      </c>
      <c r="V412" s="14">
        <v>7.6970080089577994E-2</v>
      </c>
      <c r="W412" s="14">
        <v>0.161383429002916</v>
      </c>
      <c r="X412" s="14">
        <v>0.106596920050155</v>
      </c>
      <c r="Y412" s="14">
        <v>0.12654656752899601</v>
      </c>
      <c r="Z412" s="14">
        <v>5.5445643960348998E-2</v>
      </c>
      <c r="AA412" s="14">
        <v>9.0447591328717394E-2</v>
      </c>
      <c r="AB412" s="14"/>
      <c r="AC412" s="14">
        <v>7.4007794160023593E-2</v>
      </c>
      <c r="AD412" s="14">
        <v>0.10506698325527</v>
      </c>
      <c r="AE412" s="14">
        <v>0.12845167864098</v>
      </c>
      <c r="AF412" s="14">
        <v>0.17752302827854399</v>
      </c>
      <c r="AG412" s="14">
        <v>0.28032097839452302</v>
      </c>
      <c r="AH412" s="14"/>
      <c r="AI412" s="14">
        <v>0.15538948412364301</v>
      </c>
      <c r="AJ412" s="14">
        <v>0.113592362435795</v>
      </c>
      <c r="AK412" s="14">
        <v>0.106294153527559</v>
      </c>
      <c r="AL412" s="14">
        <v>0.12609412893403699</v>
      </c>
      <c r="AM412" s="14">
        <v>0.108393809799063</v>
      </c>
      <c r="AN412" s="14">
        <v>5.4682419846910101E-2</v>
      </c>
      <c r="AO412" s="14"/>
      <c r="AP412" s="14">
        <v>0.14036702464731299</v>
      </c>
      <c r="AQ412" s="14">
        <v>9.8670161540806295E-2</v>
      </c>
      <c r="AR412" s="14"/>
      <c r="AS412" s="14">
        <v>0.163887453906399</v>
      </c>
      <c r="AT412" s="14">
        <v>0.12444243082164599</v>
      </c>
      <c r="AU412" s="14">
        <v>0.10775642594113</v>
      </c>
      <c r="AV412" s="14"/>
      <c r="AW412" s="14">
        <v>0.103376846422121</v>
      </c>
      <c r="AX412" s="14">
        <v>0.20029067754058999</v>
      </c>
      <c r="AY412" s="14"/>
      <c r="AZ412" s="14">
        <v>0.133903118362483</v>
      </c>
      <c r="BA412" s="14">
        <v>7.3359286435531301E-2</v>
      </c>
    </row>
    <row r="413" spans="2:53" x14ac:dyDescent="0.35">
      <c r="B413" t="s">
        <v>172</v>
      </c>
      <c r="C413" s="14">
        <v>0.36297743931925103</v>
      </c>
      <c r="D413" s="14">
        <v>0.38336115080705802</v>
      </c>
      <c r="E413" s="14">
        <v>0.34195982652679302</v>
      </c>
      <c r="F413" s="14"/>
      <c r="G413" s="14">
        <v>0.49404890371103699</v>
      </c>
      <c r="H413" s="14">
        <v>0.43351007065670499</v>
      </c>
      <c r="I413" s="14">
        <v>0.37161261101512999</v>
      </c>
      <c r="J413" s="14">
        <v>0.31954095039133901</v>
      </c>
      <c r="K413" s="14">
        <v>0.35973776676126301</v>
      </c>
      <c r="L413" s="14">
        <v>0.2550259725356</v>
      </c>
      <c r="M413" s="14"/>
      <c r="N413" s="14">
        <v>0.38170484261342302</v>
      </c>
      <c r="O413" s="14">
        <v>0.35753853742977898</v>
      </c>
      <c r="P413" s="14">
        <v>0.43274320837857499</v>
      </c>
      <c r="Q413" s="14">
        <v>0.28872633573517098</v>
      </c>
      <c r="R413" s="14"/>
      <c r="S413" s="14">
        <v>0.36293771023323201</v>
      </c>
      <c r="T413" s="14">
        <v>0.36546943733964199</v>
      </c>
      <c r="U413" s="14">
        <v>0.34119360850839903</v>
      </c>
      <c r="V413" s="14">
        <v>0.36294905000748801</v>
      </c>
      <c r="W413" s="14">
        <v>0.38095479420868</v>
      </c>
      <c r="X413" s="14">
        <v>0.36671404334157798</v>
      </c>
      <c r="Y413" s="14">
        <v>0.29664487623778601</v>
      </c>
      <c r="Z413" s="14">
        <v>0.46986995720563601</v>
      </c>
      <c r="AA413" s="14">
        <v>0.371595504908448</v>
      </c>
      <c r="AB413" s="14"/>
      <c r="AC413" s="14">
        <v>0.32563671310294401</v>
      </c>
      <c r="AD413" s="14">
        <v>0.36400751198165898</v>
      </c>
      <c r="AE413" s="14">
        <v>0.374399676466735</v>
      </c>
      <c r="AF413" s="14">
        <v>0.435337549992663</v>
      </c>
      <c r="AG413" s="14">
        <v>0.308891552980397</v>
      </c>
      <c r="AH413" s="14"/>
      <c r="AI413" s="14">
        <v>0.38498470585207401</v>
      </c>
      <c r="AJ413" s="14">
        <v>0.45662887857629902</v>
      </c>
      <c r="AK413" s="14">
        <v>0.32512989114007701</v>
      </c>
      <c r="AL413" s="14">
        <v>0.32510701286286597</v>
      </c>
      <c r="AM413" s="14">
        <v>0.30745170081057799</v>
      </c>
      <c r="AN413" s="14">
        <v>0.32676309364108103</v>
      </c>
      <c r="AO413" s="14"/>
      <c r="AP413" s="14">
        <v>0.38525540058361701</v>
      </c>
      <c r="AQ413" s="14">
        <v>0.33721875725012801</v>
      </c>
      <c r="AR413" s="14"/>
      <c r="AS413" s="14">
        <v>0.393079611636522</v>
      </c>
      <c r="AT413" s="14">
        <v>0.39612019150217198</v>
      </c>
      <c r="AU413" s="14">
        <v>0.34507574215568698</v>
      </c>
      <c r="AV413" s="14"/>
      <c r="AW413" s="14">
        <v>0.35777095362786498</v>
      </c>
      <c r="AX413" s="14">
        <v>0.43240775519879998</v>
      </c>
      <c r="AY413" s="14"/>
      <c r="AZ413" s="14">
        <v>0.40473648462806</v>
      </c>
      <c r="BA413" s="14">
        <v>0.214904263120963</v>
      </c>
    </row>
    <row r="414" spans="2:53" x14ac:dyDescent="0.35">
      <c r="B414" t="s">
        <v>173</v>
      </c>
      <c r="C414" s="14">
        <v>0.30641076989587401</v>
      </c>
      <c r="D414" s="14">
        <v>0.29700305117318998</v>
      </c>
      <c r="E414" s="14">
        <v>0.31612308065857297</v>
      </c>
      <c r="F414" s="14"/>
      <c r="G414" s="14">
        <v>0.33895242183150898</v>
      </c>
      <c r="H414" s="14">
        <v>0.29865220861067598</v>
      </c>
      <c r="I414" s="14">
        <v>0.30101712938532599</v>
      </c>
      <c r="J414" s="14">
        <v>0.33451921007823698</v>
      </c>
      <c r="K414" s="14">
        <v>0.25379699079763302</v>
      </c>
      <c r="L414" s="14">
        <v>0.28838906004870801</v>
      </c>
      <c r="M414" s="14"/>
      <c r="N414" s="14">
        <v>0.311399875690199</v>
      </c>
      <c r="O414" s="14">
        <v>0.34869504835695903</v>
      </c>
      <c r="P414" s="14">
        <v>0.25308941102924998</v>
      </c>
      <c r="Q414" s="14">
        <v>0.30457506194546702</v>
      </c>
      <c r="R414" s="14"/>
      <c r="S414" s="14">
        <v>0.27756875182176999</v>
      </c>
      <c r="T414" s="14">
        <v>0.36099591178388102</v>
      </c>
      <c r="U414" s="14">
        <v>0.31390812423043502</v>
      </c>
      <c r="V414" s="14">
        <v>0.23191001435344699</v>
      </c>
      <c r="W414" s="14">
        <v>0.29227233841830202</v>
      </c>
      <c r="X414" s="14">
        <v>0.30410850833006098</v>
      </c>
      <c r="Y414" s="14">
        <v>0.35646322474846598</v>
      </c>
      <c r="Z414" s="14">
        <v>0.25224730730787198</v>
      </c>
      <c r="AA414" s="14">
        <v>0.32576911701348699</v>
      </c>
      <c r="AB414" s="14"/>
      <c r="AC414" s="14">
        <v>0.32356778360625099</v>
      </c>
      <c r="AD414" s="14">
        <v>0.31814060784530201</v>
      </c>
      <c r="AE414" s="14">
        <v>0.309830196242109</v>
      </c>
      <c r="AF414" s="14">
        <v>0.27115571643162101</v>
      </c>
      <c r="AG414" s="14">
        <v>0.33041579259786102</v>
      </c>
      <c r="AH414" s="14"/>
      <c r="AI414" s="14">
        <v>0.31107177416480902</v>
      </c>
      <c r="AJ414" s="14">
        <v>0.246596971791185</v>
      </c>
      <c r="AK414" s="14">
        <v>0.31258428012614098</v>
      </c>
      <c r="AL414" s="14">
        <v>0.33166561856221</v>
      </c>
      <c r="AM414" s="14">
        <v>0.34140272142755601</v>
      </c>
      <c r="AN414" s="14">
        <v>0.33998715723633399</v>
      </c>
      <c r="AO414" s="14"/>
      <c r="AP414" s="14">
        <v>0.290640849512316</v>
      </c>
      <c r="AQ414" s="14">
        <v>0.32514163042362498</v>
      </c>
      <c r="AR414" s="14"/>
      <c r="AS414" s="14">
        <v>0.29831587683578498</v>
      </c>
      <c r="AT414" s="14">
        <v>0.30694565131018903</v>
      </c>
      <c r="AU414" s="14">
        <v>0.30843122597948602</v>
      </c>
      <c r="AV414" s="14"/>
      <c r="AW414" s="14">
        <v>0.31631572998367302</v>
      </c>
      <c r="AX414" s="14">
        <v>0.25119835844216498</v>
      </c>
      <c r="AY414" s="14"/>
      <c r="AZ414" s="14">
        <v>0.29860853056987502</v>
      </c>
      <c r="BA414" s="14">
        <v>0.33379284881778898</v>
      </c>
    </row>
    <row r="415" spans="2:53" x14ac:dyDescent="0.35">
      <c r="B415" t="s">
        <v>174</v>
      </c>
      <c r="C415" s="14">
        <v>0.11997623718337599</v>
      </c>
      <c r="D415" s="14">
        <v>0.107148524252699</v>
      </c>
      <c r="E415" s="14">
        <v>0.13293052579381201</v>
      </c>
      <c r="F415" s="14"/>
      <c r="G415" s="14">
        <v>0.108614905515542</v>
      </c>
      <c r="H415" s="14">
        <v>7.5258262815059901E-2</v>
      </c>
      <c r="I415" s="14">
        <v>0.125859279720134</v>
      </c>
      <c r="J415" s="14">
        <v>0.12930048873517999</v>
      </c>
      <c r="K415" s="14">
        <v>0.1236044752402</v>
      </c>
      <c r="L415" s="14">
        <v>0.187985931838797</v>
      </c>
      <c r="M415" s="14"/>
      <c r="N415" s="14">
        <v>9.8055852007850497E-2</v>
      </c>
      <c r="O415" s="14">
        <v>0.11274414920881599</v>
      </c>
      <c r="P415" s="14">
        <v>0.119894846590633</v>
      </c>
      <c r="Q415" s="14">
        <v>0.14651350369247301</v>
      </c>
      <c r="R415" s="14"/>
      <c r="S415" s="14">
        <v>7.7865383541451505E-2</v>
      </c>
      <c r="T415" s="14">
        <v>0.111847053690892</v>
      </c>
      <c r="U415" s="14">
        <v>0.17531488818485899</v>
      </c>
      <c r="V415" s="14">
        <v>0.17492406718727699</v>
      </c>
      <c r="W415" s="14">
        <v>9.3902153408817204E-2</v>
      </c>
      <c r="X415" s="14">
        <v>0.11068486037816</v>
      </c>
      <c r="Y415" s="14">
        <v>0.107093218209702</v>
      </c>
      <c r="Z415" s="14">
        <v>0.13425577971789801</v>
      </c>
      <c r="AA415" s="14">
        <v>0.12226936862521599</v>
      </c>
      <c r="AB415" s="14"/>
      <c r="AC415" s="14">
        <v>0.12304062271919</v>
      </c>
      <c r="AD415" s="14">
        <v>0.131802374152098</v>
      </c>
      <c r="AE415" s="14">
        <v>0.121134351910889</v>
      </c>
      <c r="AF415" s="14">
        <v>6.7947099511215303E-2</v>
      </c>
      <c r="AG415" s="14">
        <v>4.6436673668636699E-2</v>
      </c>
      <c r="AH415" s="14"/>
      <c r="AI415" s="14">
        <v>8.7601865840071E-2</v>
      </c>
      <c r="AJ415" s="14">
        <v>0.12800903077557399</v>
      </c>
      <c r="AK415" s="14">
        <v>0.16469106584161</v>
      </c>
      <c r="AL415" s="14">
        <v>0.119296414631904</v>
      </c>
      <c r="AM415" s="14">
        <v>0.14458128721657901</v>
      </c>
      <c r="AN415" s="14">
        <v>0.117748017469685</v>
      </c>
      <c r="AO415" s="14"/>
      <c r="AP415" s="14">
        <v>0.112647466400221</v>
      </c>
      <c r="AQ415" s="14">
        <v>0.12860878672078599</v>
      </c>
      <c r="AR415" s="14"/>
      <c r="AS415" s="14">
        <v>8.7559895253528697E-2</v>
      </c>
      <c r="AT415" s="14">
        <v>9.7117218290912799E-2</v>
      </c>
      <c r="AU415" s="14">
        <v>0.13545990740080799</v>
      </c>
      <c r="AV415" s="14"/>
      <c r="AW415" s="14">
        <v>0.130449355822155</v>
      </c>
      <c r="AX415" s="14">
        <v>8.4186322804258806E-2</v>
      </c>
      <c r="AY415" s="14"/>
      <c r="AZ415" s="14">
        <v>9.86681269062194E-2</v>
      </c>
      <c r="BA415" s="14">
        <v>0.201949279338555</v>
      </c>
    </row>
    <row r="416" spans="2:53" x14ac:dyDescent="0.35">
      <c r="B416" t="s">
        <v>175</v>
      </c>
      <c r="C416" s="14">
        <v>8.2772280107950902E-2</v>
      </c>
      <c r="D416" s="14">
        <v>7.4857760464741893E-2</v>
      </c>
      <c r="E416" s="14">
        <v>9.0773377088670004E-2</v>
      </c>
      <c r="F416" s="14"/>
      <c r="G416" s="14">
        <v>0</v>
      </c>
      <c r="H416" s="14">
        <v>5.50101375512995E-2</v>
      </c>
      <c r="I416" s="14">
        <v>6.8646439166352199E-2</v>
      </c>
      <c r="J416" s="14">
        <v>9.7203584184645697E-2</v>
      </c>
      <c r="K416" s="14">
        <v>0.137512163396634</v>
      </c>
      <c r="L416" s="14">
        <v>0.173217181915023</v>
      </c>
      <c r="M416" s="14"/>
      <c r="N416" s="14">
        <v>4.7211756181639801E-2</v>
      </c>
      <c r="O416" s="14">
        <v>6.8486788621194797E-2</v>
      </c>
      <c r="P416" s="14">
        <v>8.3639994174356802E-2</v>
      </c>
      <c r="Q416" s="14">
        <v>0.136205190518979</v>
      </c>
      <c r="R416" s="14"/>
      <c r="S416" s="14">
        <v>6.0541333848203802E-2</v>
      </c>
      <c r="T416" s="14">
        <v>5.8196841687629002E-2</v>
      </c>
      <c r="U416" s="14">
        <v>6.9578841429251206E-2</v>
      </c>
      <c r="V416" s="14">
        <v>0.15324678836221001</v>
      </c>
      <c r="W416" s="14">
        <v>5.93740645734257E-2</v>
      </c>
      <c r="X416" s="14">
        <v>9.8496580093728706E-2</v>
      </c>
      <c r="Y416" s="14">
        <v>0.102713199577966</v>
      </c>
      <c r="Z416" s="14">
        <v>7.6121628114399903E-2</v>
      </c>
      <c r="AA416" s="14">
        <v>8.2137418363776804E-2</v>
      </c>
      <c r="AB416" s="14"/>
      <c r="AC416" s="14">
        <v>0.147282405284309</v>
      </c>
      <c r="AD416" s="14">
        <v>7.8104107431973005E-2</v>
      </c>
      <c r="AE416" s="14">
        <v>6.3086119414495406E-2</v>
      </c>
      <c r="AF416" s="14">
        <v>4.0071464326555298E-2</v>
      </c>
      <c r="AG416" s="14">
        <v>3.3935002358583197E-2</v>
      </c>
      <c r="AH416" s="14"/>
      <c r="AI416" s="14">
        <v>5.3693779964759297E-2</v>
      </c>
      <c r="AJ416" s="14">
        <v>5.5172756421146302E-2</v>
      </c>
      <c r="AK416" s="14">
        <v>8.6897300534646504E-2</v>
      </c>
      <c r="AL416" s="14">
        <v>9.5639060239260401E-2</v>
      </c>
      <c r="AM416" s="14">
        <v>9.8170480746224004E-2</v>
      </c>
      <c r="AN416" s="14">
        <v>0.14508439858793201</v>
      </c>
      <c r="AO416" s="14"/>
      <c r="AP416" s="14">
        <v>6.6378758365462406E-2</v>
      </c>
      <c r="AQ416" s="14">
        <v>0.100123925452445</v>
      </c>
      <c r="AR416" s="14"/>
      <c r="AS416" s="14">
        <v>5.3942985163644902E-2</v>
      </c>
      <c r="AT416" s="14">
        <v>6.3209923777722304E-2</v>
      </c>
      <c r="AU416" s="14">
        <v>9.6315743588795494E-2</v>
      </c>
      <c r="AV416" s="14"/>
      <c r="AW416" s="14">
        <v>8.6753669863013805E-2</v>
      </c>
      <c r="AX416" s="14">
        <v>2.82677284555444E-2</v>
      </c>
      <c r="AY416" s="14"/>
      <c r="AZ416" s="14">
        <v>6.1228744876497397E-2</v>
      </c>
      <c r="BA416" s="14">
        <v>0.16484091419389801</v>
      </c>
    </row>
    <row r="417" spans="2:53" x14ac:dyDescent="0.35">
      <c r="B417" t="s">
        <v>176</v>
      </c>
      <c r="C417" s="14">
        <v>7.2998414140487602E-3</v>
      </c>
      <c r="D417" s="14">
        <v>5.2924801838379202E-3</v>
      </c>
      <c r="E417" s="14">
        <v>9.3158850234362194E-3</v>
      </c>
      <c r="F417" s="14"/>
      <c r="G417" s="14">
        <v>0</v>
      </c>
      <c r="H417" s="14">
        <v>3.3709354135267101E-3</v>
      </c>
      <c r="I417" s="14">
        <v>8.1021581846595202E-3</v>
      </c>
      <c r="J417" s="14">
        <v>7.19458037266803E-3</v>
      </c>
      <c r="K417" s="14">
        <v>0</v>
      </c>
      <c r="L417" s="14">
        <v>7.1927198932918504E-2</v>
      </c>
      <c r="M417" s="14"/>
      <c r="N417" s="14">
        <v>0</v>
      </c>
      <c r="O417" s="14">
        <v>5.15449375471198E-3</v>
      </c>
      <c r="P417" s="14">
        <v>7.1842693108047501E-3</v>
      </c>
      <c r="Q417" s="14">
        <v>1.7596202807000399E-2</v>
      </c>
      <c r="R417" s="14"/>
      <c r="S417" s="14">
        <v>1.3755057164883899E-2</v>
      </c>
      <c r="T417" s="14">
        <v>0</v>
      </c>
      <c r="U417" s="14">
        <v>0</v>
      </c>
      <c r="V417" s="14">
        <v>0</v>
      </c>
      <c r="W417" s="14">
        <v>1.2113220387858699E-2</v>
      </c>
      <c r="X417" s="14">
        <v>1.3399087806316899E-2</v>
      </c>
      <c r="Y417" s="14">
        <v>1.05389136970836E-2</v>
      </c>
      <c r="Z417" s="14">
        <v>1.20596836938449E-2</v>
      </c>
      <c r="AA417" s="14">
        <v>7.7809997603544203E-3</v>
      </c>
      <c r="AB417" s="14"/>
      <c r="AC417" s="14">
        <v>6.4646811272813902E-3</v>
      </c>
      <c r="AD417" s="14">
        <v>2.8784153336974998E-3</v>
      </c>
      <c r="AE417" s="14">
        <v>3.0979773247910699E-3</v>
      </c>
      <c r="AF417" s="14">
        <v>7.9651414594010695E-3</v>
      </c>
      <c r="AG417" s="14">
        <v>0</v>
      </c>
      <c r="AH417" s="14"/>
      <c r="AI417" s="14">
        <v>7.2583900546448702E-3</v>
      </c>
      <c r="AJ417" s="14">
        <v>0</v>
      </c>
      <c r="AK417" s="14">
        <v>4.4033088299661096E-3</v>
      </c>
      <c r="AL417" s="14">
        <v>2.1977647697227999E-3</v>
      </c>
      <c r="AM417" s="14">
        <v>0</v>
      </c>
      <c r="AN417" s="14">
        <v>1.5734913218057801E-2</v>
      </c>
      <c r="AO417" s="14"/>
      <c r="AP417" s="14">
        <v>4.7105004910709498E-3</v>
      </c>
      <c r="AQ417" s="14">
        <v>1.02367386122092E-2</v>
      </c>
      <c r="AR417" s="14"/>
      <c r="AS417" s="14">
        <v>3.21417720412064E-3</v>
      </c>
      <c r="AT417" s="14">
        <v>1.21645842973582E-2</v>
      </c>
      <c r="AU417" s="14">
        <v>6.9609549340938397E-3</v>
      </c>
      <c r="AV417" s="14"/>
      <c r="AW417" s="14">
        <v>5.3334442811716898E-3</v>
      </c>
      <c r="AX417" s="14">
        <v>3.6491575586411699E-3</v>
      </c>
      <c r="AY417" s="14"/>
      <c r="AZ417" s="14">
        <v>2.8549946568647102E-3</v>
      </c>
      <c r="BA417" s="14">
        <v>1.11534080932638E-2</v>
      </c>
    </row>
    <row r="418" spans="2:53" x14ac:dyDescent="0.35"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</row>
    <row r="419" spans="2:53" x14ac:dyDescent="0.35">
      <c r="B419" s="6" t="s">
        <v>195</v>
      </c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</row>
    <row r="420" spans="2:53" x14ac:dyDescent="0.35">
      <c r="B420" s="24" t="s">
        <v>118</v>
      </c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</row>
    <row r="421" spans="2:53" x14ac:dyDescent="0.35">
      <c r="B421" t="s">
        <v>179</v>
      </c>
      <c r="C421" s="14">
        <v>0.75909755828776104</v>
      </c>
      <c r="D421" s="14">
        <v>0.72595302428534103</v>
      </c>
      <c r="E421" s="14">
        <v>0.79202619925600204</v>
      </c>
      <c r="F421" s="14"/>
      <c r="G421" s="14">
        <v>0.78928836633876398</v>
      </c>
      <c r="H421" s="14">
        <v>0.70212360058856604</v>
      </c>
      <c r="I421" s="14">
        <v>0.74086909028528003</v>
      </c>
      <c r="J421" s="14">
        <v>0.81018847307624398</v>
      </c>
      <c r="K421" s="14">
        <v>0.78313531127826297</v>
      </c>
      <c r="L421" s="14">
        <v>0.67480903324449104</v>
      </c>
      <c r="M421" s="14"/>
      <c r="N421" s="14">
        <v>0.81171227212619101</v>
      </c>
      <c r="O421" s="14">
        <v>0.81996909540226504</v>
      </c>
      <c r="P421" s="14">
        <v>0.70520165898342302</v>
      </c>
      <c r="Q421" s="14">
        <v>0.68623252959666503</v>
      </c>
      <c r="R421" s="14"/>
      <c r="S421" s="14">
        <v>0.70318989782169805</v>
      </c>
      <c r="T421" s="14">
        <v>0.78807204536985898</v>
      </c>
      <c r="U421" s="14">
        <v>0.81231868606695401</v>
      </c>
      <c r="V421" s="14">
        <v>0.78136512470771802</v>
      </c>
      <c r="W421" s="14">
        <v>0.73297058870901999</v>
      </c>
      <c r="X421" s="14">
        <v>0.75015415549068898</v>
      </c>
      <c r="Y421" s="14">
        <v>0.76481927620319701</v>
      </c>
      <c r="Z421" s="14">
        <v>0.75825220815671202</v>
      </c>
      <c r="AA421" s="14">
        <v>0.75322180055863497</v>
      </c>
      <c r="AB421" s="14"/>
      <c r="AC421" s="14">
        <v>0.74288407559199299</v>
      </c>
      <c r="AD421" s="14">
        <v>0.77552953393347601</v>
      </c>
      <c r="AE421" s="14">
        <v>0.79436308286295498</v>
      </c>
      <c r="AF421" s="14">
        <v>0.71770193358763301</v>
      </c>
      <c r="AG421" s="14">
        <v>0.84229797603252299</v>
      </c>
      <c r="AH421" s="14"/>
      <c r="AI421" s="14">
        <v>0.71081132160691396</v>
      </c>
      <c r="AJ421" s="14">
        <v>0.75818182128414902</v>
      </c>
      <c r="AK421" s="14">
        <v>0.79906081337488299</v>
      </c>
      <c r="AL421" s="14">
        <v>0.80448442385847097</v>
      </c>
      <c r="AM421" s="14">
        <v>0.74649016430099802</v>
      </c>
      <c r="AN421" s="14">
        <v>0.78093411956793801</v>
      </c>
      <c r="AO421" s="14"/>
      <c r="AP421" s="14">
        <v>0.74985241680020198</v>
      </c>
      <c r="AQ421" s="14">
        <v>0.76872064626922898</v>
      </c>
      <c r="AR421" s="14"/>
      <c r="AS421" s="14">
        <v>0.72742375544055304</v>
      </c>
      <c r="AT421" s="14">
        <v>0.74280674108931499</v>
      </c>
      <c r="AU421" s="14">
        <v>0.77244198081549598</v>
      </c>
      <c r="AV421" s="14"/>
      <c r="AW421" s="14">
        <v>0.77446289309097205</v>
      </c>
      <c r="AX421" s="14">
        <v>0.71701513532556105</v>
      </c>
      <c r="AY421" s="14"/>
      <c r="AZ421" s="14">
        <v>0.75988130143893595</v>
      </c>
      <c r="BA421" s="14">
        <v>0.76707313447489001</v>
      </c>
    </row>
    <row r="422" spans="2:53" x14ac:dyDescent="0.35">
      <c r="B422" t="s">
        <v>180</v>
      </c>
      <c r="C422" s="14">
        <v>0.63665487483142202</v>
      </c>
      <c r="D422" s="14">
        <v>0.62504711168073501</v>
      </c>
      <c r="E422" s="14">
        <v>0.64791655633580503</v>
      </c>
      <c r="F422" s="14"/>
      <c r="G422" s="14">
        <v>0.59683706951470505</v>
      </c>
      <c r="H422" s="14">
        <v>0.53476875834580495</v>
      </c>
      <c r="I422" s="14">
        <v>0.60029001228527101</v>
      </c>
      <c r="J422" s="14">
        <v>0.71184399184634595</v>
      </c>
      <c r="K422" s="14">
        <v>0.72400349612191295</v>
      </c>
      <c r="L422" s="14">
        <v>0.67897118806830703</v>
      </c>
      <c r="M422" s="14"/>
      <c r="N422" s="14">
        <v>0.69626209345173395</v>
      </c>
      <c r="O422" s="14">
        <v>0.66863460733258495</v>
      </c>
      <c r="P422" s="14">
        <v>0.57095270421375699</v>
      </c>
      <c r="Q422" s="14">
        <v>0.59711032090933502</v>
      </c>
      <c r="R422" s="14"/>
      <c r="S422" s="14">
        <v>0.63404405731992297</v>
      </c>
      <c r="T422" s="14">
        <v>0.65847375172759504</v>
      </c>
      <c r="U422" s="14">
        <v>0.68756132256525304</v>
      </c>
      <c r="V422" s="14">
        <v>0.64467263868747904</v>
      </c>
      <c r="W422" s="14">
        <v>0.62927518241285096</v>
      </c>
      <c r="X422" s="14">
        <v>0.63873015395483801</v>
      </c>
      <c r="Y422" s="14">
        <v>0.566327974048768</v>
      </c>
      <c r="Z422" s="14">
        <v>0.60340021398339405</v>
      </c>
      <c r="AA422" s="14">
        <v>0.63744059865410796</v>
      </c>
      <c r="AB422" s="14"/>
      <c r="AC422" s="14">
        <v>0.60951774395004998</v>
      </c>
      <c r="AD422" s="14">
        <v>0.625956976478108</v>
      </c>
      <c r="AE422" s="14">
        <v>0.65681797492014105</v>
      </c>
      <c r="AF422" s="14">
        <v>0.66848099780403902</v>
      </c>
      <c r="AG422" s="14">
        <v>0.74163697685985297</v>
      </c>
      <c r="AH422" s="14"/>
      <c r="AI422" s="14">
        <v>0.59584943393644596</v>
      </c>
      <c r="AJ422" s="14">
        <v>0.65209871882552395</v>
      </c>
      <c r="AK422" s="14">
        <v>0.71040417131495204</v>
      </c>
      <c r="AL422" s="14">
        <v>0.66868582507349095</v>
      </c>
      <c r="AM422" s="14">
        <v>0.60604244982383204</v>
      </c>
      <c r="AN422" s="14">
        <v>0.686955822069515</v>
      </c>
      <c r="AO422" s="14"/>
      <c r="AP422" s="14">
        <v>0.64449442355069098</v>
      </c>
      <c r="AQ422" s="14">
        <v>0.62666553058423902</v>
      </c>
      <c r="AR422" s="14"/>
      <c r="AS422" s="14">
        <v>0.524810407864858</v>
      </c>
      <c r="AT422" s="14">
        <v>0.54854223696980797</v>
      </c>
      <c r="AU422" s="14">
        <v>0.69282231178084397</v>
      </c>
      <c r="AV422" s="14"/>
      <c r="AW422" s="14">
        <v>0.63368346432188505</v>
      </c>
      <c r="AX422" s="14">
        <v>0.64760992283700802</v>
      </c>
      <c r="AY422" s="14"/>
      <c r="AZ422" s="14">
        <v>0.64848629461640395</v>
      </c>
      <c r="BA422" s="14">
        <v>0.60349906527539798</v>
      </c>
    </row>
    <row r="423" spans="2:53" x14ac:dyDescent="0.35">
      <c r="B423" t="s">
        <v>181</v>
      </c>
      <c r="C423" s="14">
        <v>0.62266380730067805</v>
      </c>
      <c r="D423" s="14">
        <v>0.59277594806560296</v>
      </c>
      <c r="E423" s="14">
        <v>0.65317127771498995</v>
      </c>
      <c r="F423" s="14"/>
      <c r="G423" s="14">
        <v>0.70545197503024704</v>
      </c>
      <c r="H423" s="14">
        <v>0.56732372513801899</v>
      </c>
      <c r="I423" s="14">
        <v>0.60273994558018495</v>
      </c>
      <c r="J423" s="14">
        <v>0.67198242637707395</v>
      </c>
      <c r="K423" s="14">
        <v>0.67018589467912904</v>
      </c>
      <c r="L423" s="14">
        <v>0.44496061033725998</v>
      </c>
      <c r="M423" s="14"/>
      <c r="N423" s="14">
        <v>0.68284689931999398</v>
      </c>
      <c r="O423" s="14">
        <v>0.68188904465890299</v>
      </c>
      <c r="P423" s="14">
        <v>0.58072844801124002</v>
      </c>
      <c r="Q423" s="14">
        <v>0.53422694130635295</v>
      </c>
      <c r="R423" s="14"/>
      <c r="S423" s="14">
        <v>0.567356274592273</v>
      </c>
      <c r="T423" s="14">
        <v>0.65462308444680095</v>
      </c>
      <c r="U423" s="14">
        <v>0.68003187089725103</v>
      </c>
      <c r="V423" s="14">
        <v>0.62372330329203596</v>
      </c>
      <c r="W423" s="14">
        <v>0.56876250515123705</v>
      </c>
      <c r="X423" s="14">
        <v>0.56265231636951096</v>
      </c>
      <c r="Y423" s="14">
        <v>0.66762883417681895</v>
      </c>
      <c r="Z423" s="14">
        <v>0.64680547865089699</v>
      </c>
      <c r="AA423" s="14">
        <v>0.64598436286187699</v>
      </c>
      <c r="AB423" s="14"/>
      <c r="AC423" s="14">
        <v>0.55994999389172795</v>
      </c>
      <c r="AD423" s="14">
        <v>0.63838700760719702</v>
      </c>
      <c r="AE423" s="14">
        <v>0.64703039620231595</v>
      </c>
      <c r="AF423" s="14">
        <v>0.66225005000704096</v>
      </c>
      <c r="AG423" s="14">
        <v>0.70110910795346804</v>
      </c>
      <c r="AH423" s="14"/>
      <c r="AI423" s="14">
        <v>0.60655600214494698</v>
      </c>
      <c r="AJ423" s="14">
        <v>0.59604132113488495</v>
      </c>
      <c r="AK423" s="14">
        <v>0.65351738574648</v>
      </c>
      <c r="AL423" s="14">
        <v>0.65417944531193195</v>
      </c>
      <c r="AM423" s="14">
        <v>0.68028200008696504</v>
      </c>
      <c r="AN423" s="14">
        <v>0.65032947171099798</v>
      </c>
      <c r="AO423" s="14"/>
      <c r="AP423" s="14">
        <v>0.63258966845275</v>
      </c>
      <c r="AQ423" s="14">
        <v>0.61028257061207802</v>
      </c>
      <c r="AR423" s="14"/>
      <c r="AS423" s="14">
        <v>0.551416094913316</v>
      </c>
      <c r="AT423" s="14">
        <v>0.59654774763954799</v>
      </c>
      <c r="AU423" s="14">
        <v>0.64956705171567197</v>
      </c>
      <c r="AV423" s="14"/>
      <c r="AW423" s="14">
        <v>0.63158871815704298</v>
      </c>
      <c r="AX423" s="14">
        <v>0.58364029789863303</v>
      </c>
      <c r="AY423" s="14"/>
      <c r="AZ423" s="14">
        <v>0.63619653249087504</v>
      </c>
      <c r="BA423" s="14">
        <v>0.58530527447422498</v>
      </c>
    </row>
    <row r="424" spans="2:53" x14ac:dyDescent="0.35">
      <c r="B424" t="s">
        <v>182</v>
      </c>
      <c r="C424" s="14">
        <v>0.60546970258744104</v>
      </c>
      <c r="D424" s="14">
        <v>0.58773172580410404</v>
      </c>
      <c r="E424" s="14">
        <v>0.62283463052880506</v>
      </c>
      <c r="F424" s="14"/>
      <c r="G424" s="14">
        <v>0.62228969188131</v>
      </c>
      <c r="H424" s="14">
        <v>0.54008078877213805</v>
      </c>
      <c r="I424" s="14">
        <v>0.58773659137604495</v>
      </c>
      <c r="J424" s="14">
        <v>0.65530654223344498</v>
      </c>
      <c r="K424" s="14">
        <v>0.64931898561328905</v>
      </c>
      <c r="L424" s="14">
        <v>0.49904700584419398</v>
      </c>
      <c r="M424" s="14"/>
      <c r="N424" s="14">
        <v>0.67995605457227803</v>
      </c>
      <c r="O424" s="14">
        <v>0.65832780370759003</v>
      </c>
      <c r="P424" s="14">
        <v>0.53290452487367501</v>
      </c>
      <c r="Q424" s="14">
        <v>0.53606091400072697</v>
      </c>
      <c r="R424" s="14"/>
      <c r="S424" s="14">
        <v>0.57570961076694405</v>
      </c>
      <c r="T424" s="14">
        <v>0.67281390367340599</v>
      </c>
      <c r="U424" s="14">
        <v>0.68675218144156702</v>
      </c>
      <c r="V424" s="14">
        <v>0.61901962085990703</v>
      </c>
      <c r="W424" s="14">
        <v>0.563678082362569</v>
      </c>
      <c r="X424" s="14">
        <v>0.58470130540557397</v>
      </c>
      <c r="Y424" s="14">
        <v>0.58804866349610196</v>
      </c>
      <c r="Z424" s="14">
        <v>0.54174704581698296</v>
      </c>
      <c r="AA424" s="14">
        <v>0.56789413118038801</v>
      </c>
      <c r="AB424" s="14"/>
      <c r="AC424" s="14">
        <v>0.50841145364764995</v>
      </c>
      <c r="AD424" s="14">
        <v>0.61398367756751304</v>
      </c>
      <c r="AE424" s="14">
        <v>0.67348261690632105</v>
      </c>
      <c r="AF424" s="14">
        <v>0.64212952563775705</v>
      </c>
      <c r="AG424" s="14">
        <v>0.78012950634169498</v>
      </c>
      <c r="AH424" s="14"/>
      <c r="AI424" s="14">
        <v>0.59560749510209199</v>
      </c>
      <c r="AJ424" s="14">
        <v>0.621134586549006</v>
      </c>
      <c r="AK424" s="14">
        <v>0.67651492729309703</v>
      </c>
      <c r="AL424" s="14">
        <v>0.55300611576735303</v>
      </c>
      <c r="AM424" s="14">
        <v>0.61472193050727597</v>
      </c>
      <c r="AN424" s="14">
        <v>0.60972760791122205</v>
      </c>
      <c r="AO424" s="14"/>
      <c r="AP424" s="14">
        <v>0.59068990875869598</v>
      </c>
      <c r="AQ424" s="14">
        <v>0.62082337523488695</v>
      </c>
      <c r="AR424" s="14"/>
      <c r="AS424" s="14">
        <v>0.64189465767863496</v>
      </c>
      <c r="AT424" s="14">
        <v>0.60176055341758405</v>
      </c>
      <c r="AU424" s="14">
        <v>0.59676143986075902</v>
      </c>
      <c r="AV424" s="14"/>
      <c r="AW424" s="14">
        <v>0.61395883607290103</v>
      </c>
      <c r="AX424" s="14">
        <v>0.575536630030132</v>
      </c>
      <c r="AY424" s="14"/>
      <c r="AZ424" s="14">
        <v>0.61392159110354005</v>
      </c>
      <c r="BA424" s="14">
        <v>0.58669110947177405</v>
      </c>
    </row>
    <row r="425" spans="2:53" x14ac:dyDescent="0.35">
      <c r="B425" t="s">
        <v>183</v>
      </c>
      <c r="C425" s="14">
        <v>0.59669243240150904</v>
      </c>
      <c r="D425" s="14">
        <v>0.57479704205932403</v>
      </c>
      <c r="E425" s="14">
        <v>0.61820848002846696</v>
      </c>
      <c r="F425" s="14"/>
      <c r="G425" s="14">
        <v>0.649816338998496</v>
      </c>
      <c r="H425" s="14">
        <v>0.49809468859477801</v>
      </c>
      <c r="I425" s="14">
        <v>0.59278660662732996</v>
      </c>
      <c r="J425" s="14">
        <v>0.64166174185212599</v>
      </c>
      <c r="K425" s="14">
        <v>0.64372632059866497</v>
      </c>
      <c r="L425" s="14">
        <v>0.48364520078240703</v>
      </c>
      <c r="M425" s="14"/>
      <c r="N425" s="14">
        <v>0.67410751212216902</v>
      </c>
      <c r="O425" s="14">
        <v>0.661192065213692</v>
      </c>
      <c r="P425" s="14">
        <v>0.545877922151771</v>
      </c>
      <c r="Q425" s="14">
        <v>0.491239347796049</v>
      </c>
      <c r="R425" s="14"/>
      <c r="S425" s="14">
        <v>0.61081637098993702</v>
      </c>
      <c r="T425" s="14">
        <v>0.63173997351250499</v>
      </c>
      <c r="U425" s="14">
        <v>0.64977978700380601</v>
      </c>
      <c r="V425" s="14">
        <v>0.63747809819724999</v>
      </c>
      <c r="W425" s="14">
        <v>0.55489053971411395</v>
      </c>
      <c r="X425" s="14">
        <v>0.55973294284868003</v>
      </c>
      <c r="Y425" s="14">
        <v>0.57482143572950695</v>
      </c>
      <c r="Z425" s="14">
        <v>0.53858403131166399</v>
      </c>
      <c r="AA425" s="14">
        <v>0.55735991750130798</v>
      </c>
      <c r="AB425" s="14"/>
      <c r="AC425" s="14">
        <v>0.53016201805604302</v>
      </c>
      <c r="AD425" s="14">
        <v>0.60421793629209197</v>
      </c>
      <c r="AE425" s="14">
        <v>0.65690652063406396</v>
      </c>
      <c r="AF425" s="14">
        <v>0.63093881779227001</v>
      </c>
      <c r="AG425" s="14">
        <v>0.65592213141139499</v>
      </c>
      <c r="AH425" s="14"/>
      <c r="AI425" s="14">
        <v>0.57351567672129899</v>
      </c>
      <c r="AJ425" s="14">
        <v>0.60579960228446705</v>
      </c>
      <c r="AK425" s="14">
        <v>0.62864866396740204</v>
      </c>
      <c r="AL425" s="14">
        <v>0.56186135609991805</v>
      </c>
      <c r="AM425" s="14">
        <v>0.64943690138681298</v>
      </c>
      <c r="AN425" s="14">
        <v>0.64671935850426399</v>
      </c>
      <c r="AO425" s="14"/>
      <c r="AP425" s="14">
        <v>0.61327786821224295</v>
      </c>
      <c r="AQ425" s="14">
        <v>0.57673642886329601</v>
      </c>
      <c r="AR425" s="14"/>
      <c r="AS425" s="14">
        <v>0.491043746121058</v>
      </c>
      <c r="AT425" s="14">
        <v>0.60427330016357905</v>
      </c>
      <c r="AU425" s="14">
        <v>0.62289001119948295</v>
      </c>
      <c r="AV425" s="14"/>
      <c r="AW425" s="14">
        <v>0.61759167698091699</v>
      </c>
      <c r="AX425" s="14">
        <v>0.54888218523144106</v>
      </c>
      <c r="AY425" s="14"/>
      <c r="AZ425" s="14">
        <v>0.60458997090692401</v>
      </c>
      <c r="BA425" s="14">
        <v>0.57716696973855897</v>
      </c>
    </row>
    <row r="426" spans="2:53" x14ac:dyDescent="0.35">
      <c r="B426" t="s">
        <v>184</v>
      </c>
      <c r="C426" s="14">
        <v>0.499110808354297</v>
      </c>
      <c r="D426" s="14">
        <v>0.47267026445850402</v>
      </c>
      <c r="E426" s="14">
        <v>0.52507982521506502</v>
      </c>
      <c r="F426" s="14"/>
      <c r="G426" s="14">
        <v>0.48629628678708298</v>
      </c>
      <c r="H426" s="14">
        <v>0.38952838758118602</v>
      </c>
      <c r="I426" s="14">
        <v>0.47514631054707002</v>
      </c>
      <c r="J426" s="14">
        <v>0.54866777147608703</v>
      </c>
      <c r="K426" s="14">
        <v>0.62692597684213103</v>
      </c>
      <c r="L426" s="14">
        <v>0.51330820474664896</v>
      </c>
      <c r="M426" s="14"/>
      <c r="N426" s="14">
        <v>0.56108344319588199</v>
      </c>
      <c r="O426" s="14">
        <v>0.52560763611719197</v>
      </c>
      <c r="P426" s="14">
        <v>0.48425952870232902</v>
      </c>
      <c r="Q426" s="14">
        <v>0.41846841866133</v>
      </c>
      <c r="R426" s="14"/>
      <c r="S426" s="14">
        <v>0.48051612779695602</v>
      </c>
      <c r="T426" s="14">
        <v>0.52682852432199601</v>
      </c>
      <c r="U426" s="14">
        <v>0.51227832289257902</v>
      </c>
      <c r="V426" s="14">
        <v>0.49514739957469001</v>
      </c>
      <c r="W426" s="14">
        <v>0.50566887699818497</v>
      </c>
      <c r="X426" s="14">
        <v>0.53249475552862602</v>
      </c>
      <c r="Y426" s="14">
        <v>0.45363691459199201</v>
      </c>
      <c r="Z426" s="14">
        <v>0.486250036483932</v>
      </c>
      <c r="AA426" s="14">
        <v>0.49073979432234799</v>
      </c>
      <c r="AB426" s="14"/>
      <c r="AC426" s="14">
        <v>0.479472503743334</v>
      </c>
      <c r="AD426" s="14">
        <v>0.49297453531431401</v>
      </c>
      <c r="AE426" s="14">
        <v>0.50627564029008199</v>
      </c>
      <c r="AF426" s="14">
        <v>0.53994775882952195</v>
      </c>
      <c r="AG426" s="14">
        <v>0.58355277297326902</v>
      </c>
      <c r="AH426" s="14"/>
      <c r="AI426" s="14">
        <v>0.46741292495178899</v>
      </c>
      <c r="AJ426" s="14">
        <v>0.48790227089655203</v>
      </c>
      <c r="AK426" s="14">
        <v>0.551827020849886</v>
      </c>
      <c r="AL426" s="14">
        <v>0.55611525454731503</v>
      </c>
      <c r="AM426" s="14">
        <v>0.54479362189971903</v>
      </c>
      <c r="AN426" s="14">
        <v>0.49729644145112101</v>
      </c>
      <c r="AO426" s="14"/>
      <c r="AP426" s="14">
        <v>0.50271799585843002</v>
      </c>
      <c r="AQ426" s="14">
        <v>0.49410579940481603</v>
      </c>
      <c r="AR426" s="14"/>
      <c r="AS426" s="14">
        <v>0.28093801665727902</v>
      </c>
      <c r="AT426" s="14">
        <v>0.43404481849735499</v>
      </c>
      <c r="AU426" s="14">
        <v>0.57708466616436105</v>
      </c>
      <c r="AV426" s="14"/>
      <c r="AW426" s="14">
        <v>0.51604775179128404</v>
      </c>
      <c r="AX426" s="14">
        <v>0.45596759466820302</v>
      </c>
      <c r="AY426" s="14"/>
      <c r="AZ426" s="14">
        <v>0.50465841032570602</v>
      </c>
      <c r="BA426" s="14">
        <v>0.48648927628484701</v>
      </c>
    </row>
    <row r="427" spans="2:53" x14ac:dyDescent="0.35">
      <c r="B427" t="s">
        <v>185</v>
      </c>
      <c r="C427" s="14">
        <v>0.45498321928811403</v>
      </c>
      <c r="D427" s="14">
        <v>0.46662332982703097</v>
      </c>
      <c r="E427" s="14">
        <v>0.44280850316354298</v>
      </c>
      <c r="F427" s="14"/>
      <c r="G427" s="14">
        <v>0.74725954127199201</v>
      </c>
      <c r="H427" s="14">
        <v>0.33502922536217</v>
      </c>
      <c r="I427" s="14">
        <v>0.44266372805406301</v>
      </c>
      <c r="J427" s="14">
        <v>0.50920692461865602</v>
      </c>
      <c r="K427" s="14">
        <v>0.51298652199321704</v>
      </c>
      <c r="L427" s="14">
        <v>0.45971113116884099</v>
      </c>
      <c r="M427" s="14"/>
      <c r="N427" s="14">
        <v>0.56450058736881104</v>
      </c>
      <c r="O427" s="14">
        <v>0.49463248226270501</v>
      </c>
      <c r="P427" s="14">
        <v>0.36627122623050701</v>
      </c>
      <c r="Q427" s="14">
        <v>0.37329345031012601</v>
      </c>
      <c r="R427" s="14"/>
      <c r="S427" s="14">
        <v>0.46637636966520801</v>
      </c>
      <c r="T427" s="14">
        <v>0.50895951565965802</v>
      </c>
      <c r="U427" s="14">
        <v>0.47976054697938297</v>
      </c>
      <c r="V427" s="14">
        <v>0.42547531713388898</v>
      </c>
      <c r="W427" s="14">
        <v>0.386912731590623</v>
      </c>
      <c r="X427" s="14">
        <v>0.44998494337403999</v>
      </c>
      <c r="Y427" s="14">
        <v>0.43560560783472502</v>
      </c>
      <c r="Z427" s="14">
        <v>0.41615806071718697</v>
      </c>
      <c r="AA427" s="14">
        <v>0.46132684105937799</v>
      </c>
      <c r="AB427" s="14"/>
      <c r="AC427" s="14">
        <v>0.38508776126995298</v>
      </c>
      <c r="AD427" s="14">
        <v>0.39673783571730697</v>
      </c>
      <c r="AE427" s="14">
        <v>0.51431566900709202</v>
      </c>
      <c r="AF427" s="14">
        <v>0.53155656384861105</v>
      </c>
      <c r="AG427" s="14">
        <v>0.62280482339334597</v>
      </c>
      <c r="AH427" s="14"/>
      <c r="AI427" s="14">
        <v>0.47745577144710799</v>
      </c>
      <c r="AJ427" s="14">
        <v>0.47265370189883299</v>
      </c>
      <c r="AK427" s="14">
        <v>0.51442380253904196</v>
      </c>
      <c r="AL427" s="14">
        <v>0.41743365950591699</v>
      </c>
      <c r="AM427" s="14">
        <v>0.41673748991884701</v>
      </c>
      <c r="AN427" s="14">
        <v>0.465907413613872</v>
      </c>
      <c r="AO427" s="14"/>
      <c r="AP427" s="14">
        <v>0.475964213161854</v>
      </c>
      <c r="AQ427" s="14">
        <v>0.43098626781436</v>
      </c>
      <c r="AR427" s="14"/>
      <c r="AS427" s="14">
        <v>0.31440253937989499</v>
      </c>
      <c r="AT427" s="14">
        <v>0.38972758549862901</v>
      </c>
      <c r="AU427" s="14">
        <v>0.51212606972429697</v>
      </c>
      <c r="AV427" s="14"/>
      <c r="AW427" s="14">
        <v>0.455404195526594</v>
      </c>
      <c r="AX427" s="14">
        <v>0.466117444760765</v>
      </c>
      <c r="AY427" s="14"/>
      <c r="AZ427" s="14">
        <v>0.48489102211434099</v>
      </c>
      <c r="BA427" s="14">
        <v>0.35042360815492402</v>
      </c>
    </row>
    <row r="428" spans="2:53" x14ac:dyDescent="0.35">
      <c r="B428" t="s">
        <v>186</v>
      </c>
      <c r="C428" s="14">
        <v>0.40091354096860898</v>
      </c>
      <c r="D428" s="14">
        <v>0.39544954479940903</v>
      </c>
      <c r="E428" s="14">
        <v>0.405799626359378</v>
      </c>
      <c r="F428" s="14"/>
      <c r="G428" s="14">
        <v>0.43642200379707002</v>
      </c>
      <c r="H428" s="14">
        <v>0.33737912273175402</v>
      </c>
      <c r="I428" s="14">
        <v>0.39434888680493302</v>
      </c>
      <c r="J428" s="14">
        <v>0.44671522648378598</v>
      </c>
      <c r="K428" s="14">
        <v>0.40142493765343901</v>
      </c>
      <c r="L428" s="14">
        <v>0.291412758609359</v>
      </c>
      <c r="M428" s="14"/>
      <c r="N428" s="14">
        <v>0.46441717449179698</v>
      </c>
      <c r="O428" s="14">
        <v>0.41603127925365402</v>
      </c>
      <c r="P428" s="14">
        <v>0.369461043052349</v>
      </c>
      <c r="Q428" s="14">
        <v>0.34401559575900198</v>
      </c>
      <c r="R428" s="14"/>
      <c r="S428" s="14">
        <v>0.36379685224771802</v>
      </c>
      <c r="T428" s="14">
        <v>0.44019551273923102</v>
      </c>
      <c r="U428" s="14">
        <v>0.452007628917652</v>
      </c>
      <c r="V428" s="14">
        <v>0.42500927288343499</v>
      </c>
      <c r="W428" s="14">
        <v>0.37511766300466798</v>
      </c>
      <c r="X428" s="14">
        <v>0.418317092827588</v>
      </c>
      <c r="Y428" s="14">
        <v>0.350423559532131</v>
      </c>
      <c r="Z428" s="14">
        <v>0.35988811308959701</v>
      </c>
      <c r="AA428" s="14">
        <v>0.39753322038295402</v>
      </c>
      <c r="AB428" s="14"/>
      <c r="AC428" s="14">
        <v>0.35200062462014797</v>
      </c>
      <c r="AD428" s="14">
        <v>0.33933891510740899</v>
      </c>
      <c r="AE428" s="14">
        <v>0.45362551149969399</v>
      </c>
      <c r="AF428" s="14">
        <v>0.45487980892785002</v>
      </c>
      <c r="AG428" s="14">
        <v>0.55362810486564995</v>
      </c>
      <c r="AH428" s="14"/>
      <c r="AI428" s="14">
        <v>0.41642320751149903</v>
      </c>
      <c r="AJ428" s="14">
        <v>0.35514540780801501</v>
      </c>
      <c r="AK428" s="14">
        <v>0.45987715157789899</v>
      </c>
      <c r="AL428" s="14">
        <v>0.35970713774789798</v>
      </c>
      <c r="AM428" s="14">
        <v>0.437941723711328</v>
      </c>
      <c r="AN428" s="14">
        <v>0.478453533878472</v>
      </c>
      <c r="AO428" s="14"/>
      <c r="AP428" s="14">
        <v>0.41158127893116397</v>
      </c>
      <c r="AQ428" s="14">
        <v>0.38764995791224899</v>
      </c>
      <c r="AR428" s="14"/>
      <c r="AS428" s="14">
        <v>0.33631100586262802</v>
      </c>
      <c r="AT428" s="14">
        <v>0.34793681079234201</v>
      </c>
      <c r="AU428" s="14">
        <v>0.43397219100474699</v>
      </c>
      <c r="AV428" s="14"/>
      <c r="AW428" s="14">
        <v>0.40432495051713901</v>
      </c>
      <c r="AX428" s="14">
        <v>0.404358373374261</v>
      </c>
      <c r="AY428" s="14"/>
      <c r="AZ428" s="14">
        <v>0.40225600542144202</v>
      </c>
      <c r="BA428" s="14">
        <v>0.401904207943104</v>
      </c>
    </row>
    <row r="429" spans="2:53" x14ac:dyDescent="0.35">
      <c r="B429" t="s">
        <v>187</v>
      </c>
      <c r="C429" s="14">
        <v>0.39412540407882302</v>
      </c>
      <c r="D429" s="14">
        <v>0.391693561697327</v>
      </c>
      <c r="E429" s="14">
        <v>0.39694065285636898</v>
      </c>
      <c r="F429" s="14"/>
      <c r="G429" s="14">
        <v>0.20297950098732401</v>
      </c>
      <c r="H429" s="14">
        <v>0.33010147376719201</v>
      </c>
      <c r="I429" s="14">
        <v>0.408143209811829</v>
      </c>
      <c r="J429" s="14">
        <v>0.40215850269560599</v>
      </c>
      <c r="K429" s="14">
        <v>0.42251998783127598</v>
      </c>
      <c r="L429" s="14">
        <v>0.35690039484561797</v>
      </c>
      <c r="M429" s="14"/>
      <c r="N429" s="14">
        <v>0.42895736516522698</v>
      </c>
      <c r="O429" s="14">
        <v>0.39348238277704001</v>
      </c>
      <c r="P429" s="14">
        <v>0.36006902892764497</v>
      </c>
      <c r="Q429" s="14">
        <v>0.38598234254160801</v>
      </c>
      <c r="R429" s="14"/>
      <c r="S429" s="14">
        <v>0.44440948833848298</v>
      </c>
      <c r="T429" s="14">
        <v>0.36305361557739302</v>
      </c>
      <c r="U429" s="14">
        <v>0.42688050040561298</v>
      </c>
      <c r="V429" s="14">
        <v>0.38016037735944702</v>
      </c>
      <c r="W429" s="14">
        <v>0.396001941247274</v>
      </c>
      <c r="X429" s="14">
        <v>0.35428920646762102</v>
      </c>
      <c r="Y429" s="14">
        <v>0.38138777434304599</v>
      </c>
      <c r="Z429" s="14">
        <v>0.35390836921698798</v>
      </c>
      <c r="AA429" s="14">
        <v>0.411770224971587</v>
      </c>
      <c r="AB429" s="14"/>
      <c r="AC429" s="14">
        <v>0.36638461125869198</v>
      </c>
      <c r="AD429" s="14">
        <v>0.39256561166931703</v>
      </c>
      <c r="AE429" s="14">
        <v>0.37503624885282</v>
      </c>
      <c r="AF429" s="14">
        <v>0.48940340949111899</v>
      </c>
      <c r="AG429" s="14">
        <v>0.492606044349153</v>
      </c>
      <c r="AH429" s="14"/>
      <c r="AI429" s="14">
        <v>0.38206535881899301</v>
      </c>
      <c r="AJ429" s="14">
        <v>0.419082680040332</v>
      </c>
      <c r="AK429" s="14">
        <v>0.41498193239165698</v>
      </c>
      <c r="AL429" s="14">
        <v>0.37650547223306902</v>
      </c>
      <c r="AM429" s="14">
        <v>0.36327551158527899</v>
      </c>
      <c r="AN429" s="14">
        <v>0.47633690397358802</v>
      </c>
      <c r="AO429" s="14"/>
      <c r="AP429" s="14">
        <v>0.405670868209765</v>
      </c>
      <c r="AQ429" s="14">
        <v>0.38121274856794601</v>
      </c>
      <c r="AR429" s="14"/>
      <c r="AS429" s="14">
        <v>0.31615623832272299</v>
      </c>
      <c r="AT429" s="14">
        <v>0.37766806960823601</v>
      </c>
      <c r="AU429" s="14">
        <v>0.41998136889624799</v>
      </c>
      <c r="AV429" s="14"/>
      <c r="AW429" s="14">
        <v>0.39284352829785602</v>
      </c>
      <c r="AX429" s="14">
        <v>0.42114598965709599</v>
      </c>
      <c r="AY429" s="14"/>
      <c r="AZ429" s="14">
        <v>0.40646164404726098</v>
      </c>
      <c r="BA429" s="14">
        <v>0.35124006194811302</v>
      </c>
    </row>
    <row r="430" spans="2:53" x14ac:dyDescent="0.35">
      <c r="B430" t="s">
        <v>80</v>
      </c>
      <c r="C430" s="14">
        <v>2.26104979198463E-2</v>
      </c>
      <c r="D430" s="14">
        <v>9.4197341453495804E-3</v>
      </c>
      <c r="E430" s="14">
        <v>3.5830213307964702E-2</v>
      </c>
      <c r="F430" s="14"/>
      <c r="G430" s="14">
        <v>0</v>
      </c>
      <c r="H430" s="14">
        <v>1.1035634961120901E-2</v>
      </c>
      <c r="I430" s="14">
        <v>2.4325889997556301E-2</v>
      </c>
      <c r="J430" s="14">
        <v>2.60312999386717E-2</v>
      </c>
      <c r="K430" s="14">
        <v>1.6516835693504199E-2</v>
      </c>
      <c r="L430" s="14">
        <v>6.4394233971469497E-2</v>
      </c>
      <c r="M430" s="14"/>
      <c r="N430" s="14">
        <v>3.5984672079049599E-3</v>
      </c>
      <c r="O430" s="14">
        <v>1.3285386070628701E-2</v>
      </c>
      <c r="P430" s="14">
        <v>2.53340298914243E-2</v>
      </c>
      <c r="Q430" s="14">
        <v>5.0680979713271998E-2</v>
      </c>
      <c r="R430" s="14"/>
      <c r="S430" s="14">
        <v>1.23066714118401E-2</v>
      </c>
      <c r="T430" s="14">
        <v>1.20350456954468E-2</v>
      </c>
      <c r="U430" s="14">
        <v>3.0976954348335899E-2</v>
      </c>
      <c r="V430" s="14">
        <v>4.2274557421879203E-2</v>
      </c>
      <c r="W430" s="14">
        <v>1.08445978625029E-2</v>
      </c>
      <c r="X430" s="14">
        <v>2.7568822003265599E-2</v>
      </c>
      <c r="Y430" s="14">
        <v>2.66506049156774E-2</v>
      </c>
      <c r="Z430" s="14">
        <v>3.45869272895728E-2</v>
      </c>
      <c r="AA430" s="14">
        <v>2.1812454765928E-2</v>
      </c>
      <c r="AB430" s="14"/>
      <c r="AC430" s="14">
        <v>2.51108519383865E-2</v>
      </c>
      <c r="AD430" s="14">
        <v>2.0519279845254201E-2</v>
      </c>
      <c r="AE430" s="14">
        <v>1.6096905237808701E-2</v>
      </c>
      <c r="AF430" s="14">
        <v>2.63597412233702E-3</v>
      </c>
      <c r="AG430" s="14">
        <v>0</v>
      </c>
      <c r="AH430" s="14"/>
      <c r="AI430" s="14">
        <v>1.24785837175017E-2</v>
      </c>
      <c r="AJ430" s="14">
        <v>2.70292724189247E-3</v>
      </c>
      <c r="AK430" s="14">
        <v>8.9987566322030296E-3</v>
      </c>
      <c r="AL430" s="14">
        <v>1.68935630912577E-2</v>
      </c>
      <c r="AM430" s="14">
        <v>6.2883161363257403E-2</v>
      </c>
      <c r="AN430" s="14">
        <v>8.7445527058112496E-2</v>
      </c>
      <c r="AO430" s="14"/>
      <c r="AP430" s="14">
        <v>2.10866479023822E-2</v>
      </c>
      <c r="AQ430" s="14">
        <v>2.4397479119106402E-2</v>
      </c>
      <c r="AR430" s="14"/>
      <c r="AS430" s="14">
        <v>1.5873923610156101E-2</v>
      </c>
      <c r="AT430" s="14">
        <v>2.0222112936338001E-2</v>
      </c>
      <c r="AU430" s="14">
        <v>2.51303041183038E-2</v>
      </c>
      <c r="AV430" s="14"/>
      <c r="AW430" s="14">
        <v>2.1097498173511298E-2</v>
      </c>
      <c r="AX430" s="14">
        <v>6.5425164280091402E-3</v>
      </c>
      <c r="AY430" s="14"/>
      <c r="AZ430" s="14">
        <v>1.04140975235166E-2</v>
      </c>
      <c r="BA430" s="14">
        <v>5.7774087378068502E-2</v>
      </c>
    </row>
    <row r="431" spans="2:53" x14ac:dyDescent="0.35">
      <c r="B431" t="s">
        <v>188</v>
      </c>
      <c r="C431" s="14">
        <v>1.2444013299235299E-3</v>
      </c>
      <c r="D431" s="14">
        <v>0</v>
      </c>
      <c r="E431" s="14">
        <v>2.4906723655531999E-3</v>
      </c>
      <c r="F431" s="14"/>
      <c r="G431" s="14">
        <v>0</v>
      </c>
      <c r="H431" s="14">
        <v>3.96986740031555E-3</v>
      </c>
      <c r="I431" s="14">
        <v>1.4905283247896E-3</v>
      </c>
      <c r="J431" s="14">
        <v>0</v>
      </c>
      <c r="K431" s="14">
        <v>0</v>
      </c>
      <c r="L431" s="14">
        <v>0</v>
      </c>
      <c r="M431" s="14"/>
      <c r="N431" s="14">
        <v>0</v>
      </c>
      <c r="O431" s="14">
        <v>0</v>
      </c>
      <c r="P431" s="14">
        <v>2.7041455523795E-3</v>
      </c>
      <c r="Q431" s="14">
        <v>2.6104244072203699E-3</v>
      </c>
      <c r="R431" s="14"/>
      <c r="S431" s="14">
        <v>7.7879485898106502E-3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/>
      <c r="AC431" s="14">
        <v>0</v>
      </c>
      <c r="AD431" s="14">
        <v>3.0501155610393E-3</v>
      </c>
      <c r="AE431" s="14">
        <v>0</v>
      </c>
      <c r="AF431" s="14">
        <v>0</v>
      </c>
      <c r="AG431" s="14">
        <v>0</v>
      </c>
      <c r="AH431" s="14"/>
      <c r="AI431" s="14">
        <v>1.8544701668059601E-3</v>
      </c>
      <c r="AJ431" s="14">
        <v>0</v>
      </c>
      <c r="AK431" s="14">
        <v>0</v>
      </c>
      <c r="AL431" s="14">
        <v>3.8526732185918001E-3</v>
      </c>
      <c r="AM431" s="14">
        <v>0</v>
      </c>
      <c r="AN431" s="14">
        <v>0</v>
      </c>
      <c r="AO431" s="14"/>
      <c r="AP431" s="14">
        <v>1.1224233560977899E-3</v>
      </c>
      <c r="AQ431" s="14">
        <v>1.3856194832708301E-3</v>
      </c>
      <c r="AR431" s="14"/>
      <c r="AS431" s="14">
        <v>0</v>
      </c>
      <c r="AT431" s="14">
        <v>3.4452535247035299E-3</v>
      </c>
      <c r="AU431" s="14">
        <v>9.2846581563050905E-4</v>
      </c>
      <c r="AV431" s="14"/>
      <c r="AW431" s="14">
        <v>1.6557417327585399E-3</v>
      </c>
      <c r="AX431" s="14">
        <v>0</v>
      </c>
      <c r="AY431" s="14"/>
      <c r="AZ431" s="14">
        <v>7.5577789187493904E-4</v>
      </c>
      <c r="BA431" s="14">
        <v>3.0921623362342599E-3</v>
      </c>
    </row>
    <row r="432" spans="2:53" x14ac:dyDescent="0.35">
      <c r="B432" t="s">
        <v>189</v>
      </c>
      <c r="C432" s="14">
        <v>1.2444013299235299E-3</v>
      </c>
      <c r="D432" s="14">
        <v>0</v>
      </c>
      <c r="E432" s="14">
        <v>2.4906723655531999E-3</v>
      </c>
      <c r="F432" s="14"/>
      <c r="G432" s="14">
        <v>0</v>
      </c>
      <c r="H432" s="14">
        <v>3.96986740031555E-3</v>
      </c>
      <c r="I432" s="14">
        <v>1.4905283247896E-3</v>
      </c>
      <c r="J432" s="14">
        <v>0</v>
      </c>
      <c r="K432" s="14">
        <v>0</v>
      </c>
      <c r="L432" s="14">
        <v>0</v>
      </c>
      <c r="M432" s="14"/>
      <c r="N432" s="14">
        <v>0</v>
      </c>
      <c r="O432" s="14">
        <v>0</v>
      </c>
      <c r="P432" s="14">
        <v>2.7041455523795E-3</v>
      </c>
      <c r="Q432" s="14">
        <v>2.6104244072203699E-3</v>
      </c>
      <c r="R432" s="14"/>
      <c r="S432" s="14">
        <v>7.7879485898106502E-3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/>
      <c r="AC432" s="14">
        <v>0</v>
      </c>
      <c r="AD432" s="14">
        <v>3.0501155610393E-3</v>
      </c>
      <c r="AE432" s="14">
        <v>0</v>
      </c>
      <c r="AF432" s="14">
        <v>0</v>
      </c>
      <c r="AG432" s="14">
        <v>0</v>
      </c>
      <c r="AH432" s="14"/>
      <c r="AI432" s="14">
        <v>1.8544701668059601E-3</v>
      </c>
      <c r="AJ432" s="14">
        <v>0</v>
      </c>
      <c r="AK432" s="14">
        <v>0</v>
      </c>
      <c r="AL432" s="14">
        <v>3.8526732185918001E-3</v>
      </c>
      <c r="AM432" s="14">
        <v>0</v>
      </c>
      <c r="AN432" s="14">
        <v>0</v>
      </c>
      <c r="AO432" s="14"/>
      <c r="AP432" s="14">
        <v>1.1224233560977899E-3</v>
      </c>
      <c r="AQ432" s="14">
        <v>1.3856194832708301E-3</v>
      </c>
      <c r="AR432" s="14"/>
      <c r="AS432" s="14">
        <v>0</v>
      </c>
      <c r="AT432" s="14">
        <v>3.4452535247035299E-3</v>
      </c>
      <c r="AU432" s="14">
        <v>9.2846581563050905E-4</v>
      </c>
      <c r="AV432" s="14"/>
      <c r="AW432" s="14">
        <v>1.6557417327585399E-3</v>
      </c>
      <c r="AX432" s="14">
        <v>0</v>
      </c>
      <c r="AY432" s="14"/>
      <c r="AZ432" s="14">
        <v>7.5577789187493904E-4</v>
      </c>
      <c r="BA432" s="14">
        <v>3.0921623362342599E-3</v>
      </c>
    </row>
    <row r="433" spans="2:53" x14ac:dyDescent="0.35">
      <c r="B433" t="s">
        <v>190</v>
      </c>
      <c r="C433" s="14">
        <v>1.2444013299235299E-3</v>
      </c>
      <c r="D433" s="14">
        <v>0</v>
      </c>
      <c r="E433" s="14">
        <v>2.4906723655531999E-3</v>
      </c>
      <c r="F433" s="14"/>
      <c r="G433" s="14">
        <v>0</v>
      </c>
      <c r="H433" s="14">
        <v>3.96986740031555E-3</v>
      </c>
      <c r="I433" s="14">
        <v>1.4905283247896E-3</v>
      </c>
      <c r="J433" s="14">
        <v>0</v>
      </c>
      <c r="K433" s="14">
        <v>0</v>
      </c>
      <c r="L433" s="14">
        <v>0</v>
      </c>
      <c r="M433" s="14"/>
      <c r="N433" s="14">
        <v>0</v>
      </c>
      <c r="O433" s="14">
        <v>0</v>
      </c>
      <c r="P433" s="14">
        <v>2.7041455523795E-3</v>
      </c>
      <c r="Q433" s="14">
        <v>2.6104244072203699E-3</v>
      </c>
      <c r="R433" s="14"/>
      <c r="S433" s="14">
        <v>7.7879485898106502E-3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/>
      <c r="AC433" s="14">
        <v>0</v>
      </c>
      <c r="AD433" s="14">
        <v>3.0501155610393E-3</v>
      </c>
      <c r="AE433" s="14">
        <v>0</v>
      </c>
      <c r="AF433" s="14">
        <v>0</v>
      </c>
      <c r="AG433" s="14">
        <v>0</v>
      </c>
      <c r="AH433" s="14"/>
      <c r="AI433" s="14">
        <v>1.8544701668059601E-3</v>
      </c>
      <c r="AJ433" s="14">
        <v>0</v>
      </c>
      <c r="AK433" s="14">
        <v>0</v>
      </c>
      <c r="AL433" s="14">
        <v>3.8526732185918001E-3</v>
      </c>
      <c r="AM433" s="14">
        <v>0</v>
      </c>
      <c r="AN433" s="14">
        <v>0</v>
      </c>
      <c r="AO433" s="14"/>
      <c r="AP433" s="14">
        <v>1.1224233560977899E-3</v>
      </c>
      <c r="AQ433" s="14">
        <v>1.3856194832708301E-3</v>
      </c>
      <c r="AR433" s="14"/>
      <c r="AS433" s="14">
        <v>0</v>
      </c>
      <c r="AT433" s="14">
        <v>3.4452535247035299E-3</v>
      </c>
      <c r="AU433" s="14">
        <v>9.2846581563050905E-4</v>
      </c>
      <c r="AV433" s="14"/>
      <c r="AW433" s="14">
        <v>1.6557417327585399E-3</v>
      </c>
      <c r="AX433" s="14">
        <v>0</v>
      </c>
      <c r="AY433" s="14"/>
      <c r="AZ433" s="14">
        <v>7.5577789187493904E-4</v>
      </c>
      <c r="BA433" s="14">
        <v>3.0921623362342599E-3</v>
      </c>
    </row>
    <row r="434" spans="2:53" x14ac:dyDescent="0.35">
      <c r="B434" t="s">
        <v>191</v>
      </c>
      <c r="C434" s="14">
        <v>1.2444013299235299E-3</v>
      </c>
      <c r="D434" s="14">
        <v>0</v>
      </c>
      <c r="E434" s="14">
        <v>2.4906723655531999E-3</v>
      </c>
      <c r="F434" s="14"/>
      <c r="G434" s="14">
        <v>0</v>
      </c>
      <c r="H434" s="14">
        <v>3.96986740031555E-3</v>
      </c>
      <c r="I434" s="14">
        <v>1.4905283247896E-3</v>
      </c>
      <c r="J434" s="14">
        <v>0</v>
      </c>
      <c r="K434" s="14">
        <v>0</v>
      </c>
      <c r="L434" s="14">
        <v>0</v>
      </c>
      <c r="M434" s="14"/>
      <c r="N434" s="14">
        <v>0</v>
      </c>
      <c r="O434" s="14">
        <v>0</v>
      </c>
      <c r="P434" s="14">
        <v>2.7041455523795E-3</v>
      </c>
      <c r="Q434" s="14">
        <v>2.6104244072203699E-3</v>
      </c>
      <c r="R434" s="14"/>
      <c r="S434" s="14">
        <v>7.7879485898106502E-3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/>
      <c r="AC434" s="14">
        <v>0</v>
      </c>
      <c r="AD434" s="14">
        <v>3.0501155610393E-3</v>
      </c>
      <c r="AE434" s="14">
        <v>0</v>
      </c>
      <c r="AF434" s="14">
        <v>0</v>
      </c>
      <c r="AG434" s="14">
        <v>0</v>
      </c>
      <c r="AH434" s="14"/>
      <c r="AI434" s="14">
        <v>1.8544701668059601E-3</v>
      </c>
      <c r="AJ434" s="14">
        <v>0</v>
      </c>
      <c r="AK434" s="14">
        <v>0</v>
      </c>
      <c r="AL434" s="14">
        <v>3.8526732185918001E-3</v>
      </c>
      <c r="AM434" s="14">
        <v>0</v>
      </c>
      <c r="AN434" s="14">
        <v>0</v>
      </c>
      <c r="AO434" s="14"/>
      <c r="AP434" s="14">
        <v>1.1224233560977899E-3</v>
      </c>
      <c r="AQ434" s="14">
        <v>1.3856194832708301E-3</v>
      </c>
      <c r="AR434" s="14"/>
      <c r="AS434" s="14">
        <v>0</v>
      </c>
      <c r="AT434" s="14">
        <v>3.4452535247035299E-3</v>
      </c>
      <c r="AU434" s="14">
        <v>9.2846581563050905E-4</v>
      </c>
      <c r="AV434" s="14"/>
      <c r="AW434" s="14">
        <v>1.6557417327585399E-3</v>
      </c>
      <c r="AX434" s="14">
        <v>0</v>
      </c>
      <c r="AY434" s="14"/>
      <c r="AZ434" s="14">
        <v>7.5577789187493904E-4</v>
      </c>
      <c r="BA434" s="14">
        <v>3.0921623362342599E-3</v>
      </c>
    </row>
    <row r="435" spans="2:53" x14ac:dyDescent="0.35">
      <c r="B435" t="s">
        <v>192</v>
      </c>
      <c r="C435" s="14">
        <v>6.5111265753191501E-4</v>
      </c>
      <c r="D435" s="14">
        <v>0</v>
      </c>
      <c r="E435" s="14">
        <v>1.30320360801632E-3</v>
      </c>
      <c r="F435" s="14"/>
      <c r="G435" s="14">
        <v>0</v>
      </c>
      <c r="H435" s="14">
        <v>0</v>
      </c>
      <c r="I435" s="14">
        <v>1.4905283247896E-3</v>
      </c>
      <c r="J435" s="14">
        <v>0</v>
      </c>
      <c r="K435" s="14">
        <v>0</v>
      </c>
      <c r="L435" s="14">
        <v>0</v>
      </c>
      <c r="M435" s="14"/>
      <c r="N435" s="14">
        <v>0</v>
      </c>
      <c r="O435" s="14">
        <v>0</v>
      </c>
      <c r="P435" s="14">
        <v>0</v>
      </c>
      <c r="Q435" s="14">
        <v>2.6104244072203699E-3</v>
      </c>
      <c r="R435" s="14"/>
      <c r="S435" s="14">
        <v>4.0749168142926702E-3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/>
      <c r="AC435" s="14">
        <v>0</v>
      </c>
      <c r="AD435" s="14">
        <v>3.0501155610393E-3</v>
      </c>
      <c r="AE435" s="14">
        <v>0</v>
      </c>
      <c r="AF435" s="14">
        <v>0</v>
      </c>
      <c r="AG435" s="14">
        <v>0</v>
      </c>
      <c r="AH435" s="14"/>
      <c r="AI435" s="14">
        <v>1.8544701668059601E-3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/>
      <c r="AP435" s="14">
        <v>0</v>
      </c>
      <c r="AQ435" s="14">
        <v>1.3856194832708301E-3</v>
      </c>
      <c r="AR435" s="14"/>
      <c r="AS435" s="14">
        <v>0</v>
      </c>
      <c r="AT435" s="14">
        <v>3.4452535247035299E-3</v>
      </c>
      <c r="AU435" s="14">
        <v>0</v>
      </c>
      <c r="AV435" s="14"/>
      <c r="AW435" s="14">
        <v>8.6633980041564505E-4</v>
      </c>
      <c r="AX435" s="14">
        <v>0</v>
      </c>
      <c r="AY435" s="14"/>
      <c r="AZ435" s="14">
        <v>0</v>
      </c>
      <c r="BA435" s="14">
        <v>3.0921623362342599E-3</v>
      </c>
    </row>
    <row r="436" spans="2:53" x14ac:dyDescent="0.35">
      <c r="B436" t="s">
        <v>193</v>
      </c>
      <c r="C436" s="14">
        <v>6.5111265753191501E-4</v>
      </c>
      <c r="D436" s="14">
        <v>0</v>
      </c>
      <c r="E436" s="14">
        <v>1.30320360801632E-3</v>
      </c>
      <c r="F436" s="14"/>
      <c r="G436" s="14">
        <v>0</v>
      </c>
      <c r="H436" s="14">
        <v>0</v>
      </c>
      <c r="I436" s="14">
        <v>1.4905283247896E-3</v>
      </c>
      <c r="J436" s="14">
        <v>0</v>
      </c>
      <c r="K436" s="14">
        <v>0</v>
      </c>
      <c r="L436" s="14">
        <v>0</v>
      </c>
      <c r="M436" s="14"/>
      <c r="N436" s="14">
        <v>0</v>
      </c>
      <c r="O436" s="14">
        <v>0</v>
      </c>
      <c r="P436" s="14">
        <v>0</v>
      </c>
      <c r="Q436" s="14">
        <v>2.6104244072203699E-3</v>
      </c>
      <c r="R436" s="14"/>
      <c r="S436" s="14">
        <v>4.0749168142926702E-3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/>
      <c r="AC436" s="14">
        <v>0</v>
      </c>
      <c r="AD436" s="14">
        <v>3.0501155610393E-3</v>
      </c>
      <c r="AE436" s="14">
        <v>0</v>
      </c>
      <c r="AF436" s="14">
        <v>0</v>
      </c>
      <c r="AG436" s="14">
        <v>0</v>
      </c>
      <c r="AH436" s="14"/>
      <c r="AI436" s="14">
        <v>1.8544701668059601E-3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/>
      <c r="AP436" s="14">
        <v>0</v>
      </c>
      <c r="AQ436" s="14">
        <v>1.3856194832708301E-3</v>
      </c>
      <c r="AR436" s="14"/>
      <c r="AS436" s="14">
        <v>0</v>
      </c>
      <c r="AT436" s="14">
        <v>3.4452535247035299E-3</v>
      </c>
      <c r="AU436" s="14">
        <v>0</v>
      </c>
      <c r="AV436" s="14"/>
      <c r="AW436" s="14">
        <v>8.6633980041564505E-4</v>
      </c>
      <c r="AX436" s="14">
        <v>0</v>
      </c>
      <c r="AY436" s="14"/>
      <c r="AZ436" s="14">
        <v>0</v>
      </c>
      <c r="BA436" s="14">
        <v>3.0921623362342599E-3</v>
      </c>
    </row>
    <row r="437" spans="2:53" x14ac:dyDescent="0.35">
      <c r="B437" t="s">
        <v>194</v>
      </c>
      <c r="C437" s="14">
        <v>4.0382116852382497E-3</v>
      </c>
      <c r="D437" s="14">
        <v>4.6246640437224299E-3</v>
      </c>
      <c r="E437" s="14">
        <v>3.4553618641279798E-3</v>
      </c>
      <c r="F437" s="14"/>
      <c r="G437" s="14">
        <v>0</v>
      </c>
      <c r="H437" s="14">
        <v>5.3329514389261704E-3</v>
      </c>
      <c r="I437" s="14">
        <v>2.9713492692727298E-3</v>
      </c>
      <c r="J437" s="14">
        <v>3.6278917980870099E-3</v>
      </c>
      <c r="K437" s="14">
        <v>9.2343815647045295E-3</v>
      </c>
      <c r="L437" s="14">
        <v>0</v>
      </c>
      <c r="M437" s="14"/>
      <c r="N437" s="14">
        <v>4.1539757494962496E-3</v>
      </c>
      <c r="O437" s="14">
        <v>4.93541207574443E-3</v>
      </c>
      <c r="P437" s="14">
        <v>0</v>
      </c>
      <c r="Q437" s="14">
        <v>6.5803553297451804E-3</v>
      </c>
      <c r="R437" s="14"/>
      <c r="S437" s="14">
        <v>1.9609889265924801E-3</v>
      </c>
      <c r="T437" s="14">
        <v>6.83211120374181E-3</v>
      </c>
      <c r="U437" s="14">
        <v>8.4902110100567602E-3</v>
      </c>
      <c r="V437" s="14">
        <v>0</v>
      </c>
      <c r="W437" s="14">
        <v>1.44084907051858E-2</v>
      </c>
      <c r="X437" s="14">
        <v>0</v>
      </c>
      <c r="Y437" s="14">
        <v>0</v>
      </c>
      <c r="Z437" s="14">
        <v>0</v>
      </c>
      <c r="AA437" s="14">
        <v>3.7263802098519701E-3</v>
      </c>
      <c r="AB437" s="14"/>
      <c r="AC437" s="14">
        <v>9.1481649027580596E-3</v>
      </c>
      <c r="AD437" s="14">
        <v>5.1154099932918303E-3</v>
      </c>
      <c r="AE437" s="14">
        <v>1.10655985825212E-3</v>
      </c>
      <c r="AF437" s="14">
        <v>0</v>
      </c>
      <c r="AG437" s="14">
        <v>2.0295637469083899E-2</v>
      </c>
      <c r="AH437" s="14"/>
      <c r="AI437" s="14">
        <v>7.2701673864849301E-3</v>
      </c>
      <c r="AJ437" s="14">
        <v>0</v>
      </c>
      <c r="AK437" s="14">
        <v>0</v>
      </c>
      <c r="AL437" s="14">
        <v>9.6472820844738898E-3</v>
      </c>
      <c r="AM437" s="14">
        <v>0</v>
      </c>
      <c r="AN437" s="14">
        <v>0</v>
      </c>
      <c r="AO437" s="14"/>
      <c r="AP437" s="14">
        <v>3.3560424853672499E-3</v>
      </c>
      <c r="AQ437" s="14">
        <v>4.8185684886876403E-3</v>
      </c>
      <c r="AR437" s="14"/>
      <c r="AS437" s="14">
        <v>6.4998155246100602E-3</v>
      </c>
      <c r="AT437" s="14">
        <v>0</v>
      </c>
      <c r="AU437" s="14">
        <v>4.5698989329124801E-3</v>
      </c>
      <c r="AV437" s="14"/>
      <c r="AW437" s="14">
        <v>5.3730540559395398E-3</v>
      </c>
      <c r="AX437" s="14">
        <v>0</v>
      </c>
      <c r="AY437" s="14"/>
      <c r="AZ437" s="14">
        <v>1.0251075023995099E-3</v>
      </c>
      <c r="BA437" s="14">
        <v>1.53560235714562E-2</v>
      </c>
    </row>
    <row r="438" spans="2:53" x14ac:dyDescent="0.35"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</row>
    <row r="439" spans="2:53" x14ac:dyDescent="0.35">
      <c r="B439" s="6" t="s">
        <v>203</v>
      </c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</row>
    <row r="440" spans="2:53" x14ac:dyDescent="0.35">
      <c r="B440" s="24" t="s">
        <v>118</v>
      </c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</row>
    <row r="441" spans="2:53" x14ac:dyDescent="0.35">
      <c r="B441" t="s">
        <v>76</v>
      </c>
      <c r="C441" s="14">
        <v>0.57059795313673201</v>
      </c>
      <c r="D441" s="14">
        <v>0.594640836059666</v>
      </c>
      <c r="E441" s="14">
        <v>0.54708904858674801</v>
      </c>
      <c r="F441" s="14"/>
      <c r="G441" s="14">
        <v>0.74213583656684701</v>
      </c>
      <c r="H441" s="14">
        <v>0.52950791876356795</v>
      </c>
      <c r="I441" s="14">
        <v>0.55658209266444103</v>
      </c>
      <c r="J441" s="14">
        <v>0.59367733386316102</v>
      </c>
      <c r="K441" s="14">
        <v>0.63502092163077795</v>
      </c>
      <c r="L441" s="14">
        <v>0.46871162729505</v>
      </c>
      <c r="M441" s="14"/>
      <c r="N441" s="14">
        <v>0.61867657147903599</v>
      </c>
      <c r="O441" s="14">
        <v>0.58169820796356797</v>
      </c>
      <c r="P441" s="14">
        <v>0.56605652732420597</v>
      </c>
      <c r="Q441" s="14">
        <v>0.50971790785119897</v>
      </c>
      <c r="R441" s="14"/>
      <c r="S441" s="14">
        <v>0.61519212894575104</v>
      </c>
      <c r="T441" s="14">
        <v>0.57403391066554299</v>
      </c>
      <c r="U441" s="14">
        <v>0.52882881818132998</v>
      </c>
      <c r="V441" s="14">
        <v>0.51823075662640095</v>
      </c>
      <c r="W441" s="14">
        <v>0.61133194579197303</v>
      </c>
      <c r="X441" s="14">
        <v>0.58160320783622499</v>
      </c>
      <c r="Y441" s="14">
        <v>0.59270681882934995</v>
      </c>
      <c r="Z441" s="14">
        <v>0.52201709748342695</v>
      </c>
      <c r="AA441" s="14">
        <v>0.55291891432569096</v>
      </c>
      <c r="AB441" s="14"/>
      <c r="AC441" s="14">
        <v>0.54558950172368503</v>
      </c>
      <c r="AD441" s="14">
        <v>0.55330308181140098</v>
      </c>
      <c r="AE441" s="14">
        <v>0.56430036754343005</v>
      </c>
      <c r="AF441" s="14">
        <v>0.65962995601723595</v>
      </c>
      <c r="AG441" s="14">
        <v>0.638599364811687</v>
      </c>
      <c r="AH441" s="14"/>
      <c r="AI441" s="14">
        <v>0.61596184547813104</v>
      </c>
      <c r="AJ441" s="14">
        <v>0.62499842908576497</v>
      </c>
      <c r="AK441" s="14">
        <v>0.508809865862489</v>
      </c>
      <c r="AL441" s="14">
        <v>0.559922236329916</v>
      </c>
      <c r="AM441" s="14">
        <v>0.51583799759472204</v>
      </c>
      <c r="AN441" s="14">
        <v>0.45955316766719201</v>
      </c>
      <c r="AO441" s="14"/>
      <c r="AP441" s="14">
        <v>0.58822937800837305</v>
      </c>
      <c r="AQ441" s="14">
        <v>0.55193222308969503</v>
      </c>
      <c r="AR441" s="14"/>
      <c r="AS441" s="14">
        <v>0.54704163997114796</v>
      </c>
      <c r="AT441" s="14">
        <v>0.54399124817070499</v>
      </c>
      <c r="AU441" s="14">
        <v>0.58480525352370005</v>
      </c>
      <c r="AV441" s="14"/>
      <c r="AW441" s="14">
        <v>0.56507595024475998</v>
      </c>
      <c r="AX441" s="14">
        <v>0.68744066456428998</v>
      </c>
      <c r="AY441" s="14"/>
      <c r="AZ441" s="14">
        <v>0.59228581701044503</v>
      </c>
      <c r="BA441" s="14">
        <v>0.49654626092216497</v>
      </c>
    </row>
    <row r="442" spans="2:53" x14ac:dyDescent="0.35">
      <c r="B442" t="s">
        <v>77</v>
      </c>
      <c r="C442" s="14">
        <v>0.35583832276301097</v>
      </c>
      <c r="D442" s="14">
        <v>0.34063764354926701</v>
      </c>
      <c r="E442" s="14">
        <v>0.37042663232217499</v>
      </c>
      <c r="F442" s="14"/>
      <c r="G442" s="14">
        <v>0.25786416343315299</v>
      </c>
      <c r="H442" s="14">
        <v>0.37608372631549303</v>
      </c>
      <c r="I442" s="14">
        <v>0.36394277057598201</v>
      </c>
      <c r="J442" s="14">
        <v>0.344854204921763</v>
      </c>
      <c r="K442" s="14">
        <v>0.30791868295889002</v>
      </c>
      <c r="L442" s="14">
        <v>0.46689413873348001</v>
      </c>
      <c r="M442" s="14"/>
      <c r="N442" s="14">
        <v>0.32658459110141003</v>
      </c>
      <c r="O442" s="14">
        <v>0.34447416028036798</v>
      </c>
      <c r="P442" s="14">
        <v>0.34345312187031302</v>
      </c>
      <c r="Q442" s="14">
        <v>0.41070076233194203</v>
      </c>
      <c r="R442" s="14"/>
      <c r="S442" s="14">
        <v>0.30906063870304401</v>
      </c>
      <c r="T442" s="14">
        <v>0.35994411032023998</v>
      </c>
      <c r="U442" s="14">
        <v>0.364454295000535</v>
      </c>
      <c r="V442" s="14">
        <v>0.42078516083717399</v>
      </c>
      <c r="W442" s="14">
        <v>0.31183548571862302</v>
      </c>
      <c r="X442" s="14">
        <v>0.347665486880538</v>
      </c>
      <c r="Y442" s="14">
        <v>0.33925959128372701</v>
      </c>
      <c r="Z442" s="14">
        <v>0.41284369506822</v>
      </c>
      <c r="AA442" s="14">
        <v>0.37444133314824202</v>
      </c>
      <c r="AB442" s="14"/>
      <c r="AC442" s="14">
        <v>0.38861405072982302</v>
      </c>
      <c r="AD442" s="14">
        <v>0.39076635620938499</v>
      </c>
      <c r="AE442" s="14">
        <v>0.36047637493573798</v>
      </c>
      <c r="AF442" s="14">
        <v>0.26174179776548401</v>
      </c>
      <c r="AG442" s="14">
        <v>0.31543626594324797</v>
      </c>
      <c r="AH442" s="14"/>
      <c r="AI442" s="14">
        <v>0.323241311267286</v>
      </c>
      <c r="AJ442" s="14">
        <v>0.32740931819496299</v>
      </c>
      <c r="AK442" s="14">
        <v>0.406323438976327</v>
      </c>
      <c r="AL442" s="14">
        <v>0.33769490721290601</v>
      </c>
      <c r="AM442" s="14">
        <v>0.42515113993718201</v>
      </c>
      <c r="AN442" s="14">
        <v>0.42850351905456202</v>
      </c>
      <c r="AO442" s="14"/>
      <c r="AP442" s="14">
        <v>0.344492818531838</v>
      </c>
      <c r="AQ442" s="14">
        <v>0.368390267874317</v>
      </c>
      <c r="AR442" s="14"/>
      <c r="AS442" s="14">
        <v>0.36819033020938102</v>
      </c>
      <c r="AT442" s="14">
        <v>0.38291239765153001</v>
      </c>
      <c r="AU442" s="14">
        <v>0.34450829264247401</v>
      </c>
      <c r="AV442" s="14"/>
      <c r="AW442" s="14">
        <v>0.36880820367446099</v>
      </c>
      <c r="AX442" s="14">
        <v>0.25492777002873002</v>
      </c>
      <c r="AY442" s="14"/>
      <c r="AZ442" s="14">
        <v>0.34314264668877298</v>
      </c>
      <c r="BA442" s="14">
        <v>0.40513450055355299</v>
      </c>
    </row>
    <row r="443" spans="2:53" x14ac:dyDescent="0.35">
      <c r="B443" t="s">
        <v>201</v>
      </c>
      <c r="C443" s="14">
        <v>5.9493313774567999E-2</v>
      </c>
      <c r="D443" s="14">
        <v>5.68253573715857E-2</v>
      </c>
      <c r="E443" s="14">
        <v>6.2221083091330801E-2</v>
      </c>
      <c r="F443" s="14"/>
      <c r="G443" s="14">
        <v>0</v>
      </c>
      <c r="H443" s="14">
        <v>7.1523723157275301E-2</v>
      </c>
      <c r="I443" s="14">
        <v>6.5372143536075095E-2</v>
      </c>
      <c r="J443" s="14">
        <v>4.8999677015242098E-2</v>
      </c>
      <c r="K443" s="14">
        <v>4.9067390033300198E-2</v>
      </c>
      <c r="L443" s="14">
        <v>6.4394233971469497E-2</v>
      </c>
      <c r="M443" s="14"/>
      <c r="N443" s="14">
        <v>4.87634946179763E-2</v>
      </c>
      <c r="O443" s="14">
        <v>5.8103074261967903E-2</v>
      </c>
      <c r="P443" s="14">
        <v>7.6591475991066596E-2</v>
      </c>
      <c r="Q443" s="14">
        <v>5.8174964313024498E-2</v>
      </c>
      <c r="R443" s="14"/>
      <c r="S443" s="14">
        <v>6.24415261981403E-2</v>
      </c>
      <c r="T443" s="14">
        <v>4.9005462574104201E-2</v>
      </c>
      <c r="U443" s="14">
        <v>8.0072804764338798E-2</v>
      </c>
      <c r="V443" s="14">
        <v>6.09840825364249E-2</v>
      </c>
      <c r="W443" s="14">
        <v>7.20662360088965E-2</v>
      </c>
      <c r="X443" s="14">
        <v>6.2111135549438201E-2</v>
      </c>
      <c r="Y443" s="14">
        <v>6.1830900085929098E-2</v>
      </c>
      <c r="Z443" s="14">
        <v>4.7510114688996602E-2</v>
      </c>
      <c r="AA443" s="14">
        <v>4.3671225641683603E-2</v>
      </c>
      <c r="AB443" s="14"/>
      <c r="AC443" s="14">
        <v>5.3251755045684301E-2</v>
      </c>
      <c r="AD443" s="14">
        <v>4.5300243086260197E-2</v>
      </c>
      <c r="AE443" s="14">
        <v>7.04660480714977E-2</v>
      </c>
      <c r="AF443" s="14">
        <v>6.0081784453449097E-2</v>
      </c>
      <c r="AG443" s="14">
        <v>4.5964369245064703E-2</v>
      </c>
      <c r="AH443" s="14"/>
      <c r="AI443" s="14">
        <v>4.8451767134714101E-2</v>
      </c>
      <c r="AJ443" s="14">
        <v>3.9881796266749599E-2</v>
      </c>
      <c r="AK443" s="14">
        <v>6.6843516464901498E-2</v>
      </c>
      <c r="AL443" s="14">
        <v>8.8697656103606901E-2</v>
      </c>
      <c r="AM443" s="14">
        <v>5.5951201243874898E-2</v>
      </c>
      <c r="AN443" s="14">
        <v>7.9213989898502798E-2</v>
      </c>
      <c r="AO443" s="14"/>
      <c r="AP443" s="14">
        <v>5.69949313699726E-2</v>
      </c>
      <c r="AQ443" s="14">
        <v>6.1300241620131798E-2</v>
      </c>
      <c r="AR443" s="14"/>
      <c r="AS443" s="14">
        <v>7.0912726488796096E-2</v>
      </c>
      <c r="AT443" s="14">
        <v>5.9933271266927698E-2</v>
      </c>
      <c r="AU443" s="14">
        <v>5.6289858345574803E-2</v>
      </c>
      <c r="AV443" s="14"/>
      <c r="AW443" s="14">
        <v>5.5950846001145603E-2</v>
      </c>
      <c r="AX443" s="14">
        <v>5.0371159601888399E-2</v>
      </c>
      <c r="AY443" s="14"/>
      <c r="AZ443" s="14">
        <v>5.3544110403390702E-2</v>
      </c>
      <c r="BA443" s="14">
        <v>7.8022187591701903E-2</v>
      </c>
    </row>
    <row r="444" spans="2:53" x14ac:dyDescent="0.35">
      <c r="B444" t="s">
        <v>79</v>
      </c>
      <c r="C444" s="14">
        <v>7.9681359010388801E-3</v>
      </c>
      <c r="D444" s="14">
        <v>3.3115314243239201E-3</v>
      </c>
      <c r="E444" s="14">
        <v>1.26361890016677E-2</v>
      </c>
      <c r="F444" s="14"/>
      <c r="G444" s="14">
        <v>0</v>
      </c>
      <c r="H444" s="14">
        <v>6.2970510346827598E-3</v>
      </c>
      <c r="I444" s="14">
        <v>7.2874422904119496E-3</v>
      </c>
      <c r="J444" s="14">
        <v>1.03207419141805E-2</v>
      </c>
      <c r="K444" s="14">
        <v>7.99300537703161E-3</v>
      </c>
      <c r="L444" s="14">
        <v>0</v>
      </c>
      <c r="M444" s="14"/>
      <c r="N444" s="14">
        <v>2.6086475961121401E-3</v>
      </c>
      <c r="O444" s="14">
        <v>1.17019623137011E-2</v>
      </c>
      <c r="P444" s="14">
        <v>1.1139581238074099E-2</v>
      </c>
      <c r="Q444" s="14">
        <v>7.1786649421995202E-3</v>
      </c>
      <c r="R444" s="14"/>
      <c r="S444" s="14">
        <v>1.23239168034551E-2</v>
      </c>
      <c r="T444" s="14">
        <v>9.5074255824609301E-3</v>
      </c>
      <c r="U444" s="14">
        <v>1.8578960308461699E-2</v>
      </c>
      <c r="V444" s="14">
        <v>0</v>
      </c>
      <c r="W444" s="14">
        <v>4.7663324805076301E-3</v>
      </c>
      <c r="X444" s="14">
        <v>3.3754816230654899E-3</v>
      </c>
      <c r="Y444" s="14">
        <v>3.5490135815875999E-3</v>
      </c>
      <c r="Z444" s="14">
        <v>1.76290927593565E-2</v>
      </c>
      <c r="AA444" s="14">
        <v>4.7341211555225202E-3</v>
      </c>
      <c r="AB444" s="14"/>
      <c r="AC444" s="14">
        <v>2.1397273958096898E-3</v>
      </c>
      <c r="AD444" s="14">
        <v>7.0170245152465704E-3</v>
      </c>
      <c r="AE444" s="14">
        <v>3.8405949498035701E-3</v>
      </c>
      <c r="AF444" s="14">
        <v>1.8546461763830801E-2</v>
      </c>
      <c r="AG444" s="14">
        <v>0</v>
      </c>
      <c r="AH444" s="14"/>
      <c r="AI444" s="14">
        <v>9.0833910554828506E-3</v>
      </c>
      <c r="AJ444" s="14">
        <v>7.7104564525226401E-3</v>
      </c>
      <c r="AK444" s="14">
        <v>1.14002900604148E-2</v>
      </c>
      <c r="AL444" s="14">
        <v>5.5534941249673099E-3</v>
      </c>
      <c r="AM444" s="14">
        <v>0</v>
      </c>
      <c r="AN444" s="14">
        <v>0</v>
      </c>
      <c r="AO444" s="14"/>
      <c r="AP444" s="14">
        <v>3.68412799817252E-3</v>
      </c>
      <c r="AQ444" s="14">
        <v>1.2813924782352701E-2</v>
      </c>
      <c r="AR444" s="14"/>
      <c r="AS444" s="14">
        <v>4.5545219060788402E-3</v>
      </c>
      <c r="AT444" s="14">
        <v>7.8192293356972396E-3</v>
      </c>
      <c r="AU444" s="14">
        <v>8.9308894028372904E-3</v>
      </c>
      <c r="AV444" s="14"/>
      <c r="AW444" s="14">
        <v>5.7596999684990701E-3</v>
      </c>
      <c r="AX444" s="14">
        <v>7.2604058050910799E-3</v>
      </c>
      <c r="AY444" s="14"/>
      <c r="AZ444" s="14">
        <v>6.9977109483972998E-3</v>
      </c>
      <c r="BA444" s="14">
        <v>1.1754044354554001E-2</v>
      </c>
    </row>
    <row r="445" spans="2:53" x14ac:dyDescent="0.35">
      <c r="B445" t="s">
        <v>116</v>
      </c>
      <c r="C445" s="14">
        <v>6.1022744246495104E-3</v>
      </c>
      <c r="D445" s="14">
        <v>4.5846315951581004E-3</v>
      </c>
      <c r="E445" s="14">
        <v>7.6270469980791499E-3</v>
      </c>
      <c r="F445" s="14"/>
      <c r="G445" s="14">
        <v>0</v>
      </c>
      <c r="H445" s="14">
        <v>1.65875807289818E-2</v>
      </c>
      <c r="I445" s="14">
        <v>6.81555093308997E-3</v>
      </c>
      <c r="J445" s="14">
        <v>2.1480422856535301E-3</v>
      </c>
      <c r="K445" s="14">
        <v>0</v>
      </c>
      <c r="L445" s="14">
        <v>0</v>
      </c>
      <c r="M445" s="14"/>
      <c r="N445" s="14">
        <v>3.3666952054657402E-3</v>
      </c>
      <c r="O445" s="14">
        <v>4.02259518039486E-3</v>
      </c>
      <c r="P445" s="14">
        <v>2.7592935763404501E-3</v>
      </c>
      <c r="Q445" s="14">
        <v>1.4227700561634899E-2</v>
      </c>
      <c r="R445" s="14"/>
      <c r="S445" s="14">
        <v>9.8178934960912903E-4</v>
      </c>
      <c r="T445" s="14">
        <v>7.5090908576521797E-3</v>
      </c>
      <c r="U445" s="14">
        <v>8.0651217453341292E-3</v>
      </c>
      <c r="V445" s="14">
        <v>0</v>
      </c>
      <c r="W445" s="14">
        <v>0</v>
      </c>
      <c r="X445" s="14">
        <v>5.2446881107329297E-3</v>
      </c>
      <c r="Y445" s="14">
        <v>2.6536762194060001E-3</v>
      </c>
      <c r="Z445" s="14">
        <v>0</v>
      </c>
      <c r="AA445" s="14">
        <v>2.4234405728861499E-2</v>
      </c>
      <c r="AB445" s="14"/>
      <c r="AC445" s="14">
        <v>1.0404965104997801E-2</v>
      </c>
      <c r="AD445" s="14">
        <v>3.6132943777069599E-3</v>
      </c>
      <c r="AE445" s="14">
        <v>9.1661449953013801E-4</v>
      </c>
      <c r="AF445" s="14">
        <v>0</v>
      </c>
      <c r="AG445" s="14">
        <v>0</v>
      </c>
      <c r="AH445" s="14"/>
      <c r="AI445" s="14">
        <v>3.26168506438576E-3</v>
      </c>
      <c r="AJ445" s="14">
        <v>0</v>
      </c>
      <c r="AK445" s="14">
        <v>6.6228886358677599E-3</v>
      </c>
      <c r="AL445" s="14">
        <v>8.1317062286041398E-3</v>
      </c>
      <c r="AM445" s="14">
        <v>3.0596612242215901E-3</v>
      </c>
      <c r="AN445" s="14">
        <v>3.2729323379742201E-2</v>
      </c>
      <c r="AO445" s="14"/>
      <c r="AP445" s="14">
        <v>6.59874409164324E-3</v>
      </c>
      <c r="AQ445" s="14">
        <v>5.5633426335043598E-3</v>
      </c>
      <c r="AR445" s="14"/>
      <c r="AS445" s="14">
        <v>9.3007814245962706E-3</v>
      </c>
      <c r="AT445" s="14">
        <v>5.3438535751398298E-3</v>
      </c>
      <c r="AU445" s="14">
        <v>5.4657060854135398E-3</v>
      </c>
      <c r="AV445" s="14"/>
      <c r="AW445" s="14">
        <v>4.4053001111343396E-3</v>
      </c>
      <c r="AX445" s="14">
        <v>0</v>
      </c>
      <c r="AY445" s="14"/>
      <c r="AZ445" s="14">
        <v>4.0297149489938499E-3</v>
      </c>
      <c r="BA445" s="14">
        <v>8.5430065780256904E-3</v>
      </c>
    </row>
    <row r="446" spans="2:53" x14ac:dyDescent="0.35">
      <c r="B446" t="s">
        <v>81</v>
      </c>
      <c r="C446" s="14">
        <v>0.92643627589974398</v>
      </c>
      <c r="D446" s="14">
        <v>0.93527847960893196</v>
      </c>
      <c r="E446" s="14">
        <v>0.91751568090892199</v>
      </c>
      <c r="F446" s="14"/>
      <c r="G446" s="14">
        <v>1</v>
      </c>
      <c r="H446" s="14">
        <v>0.90559164507905998</v>
      </c>
      <c r="I446" s="14">
        <v>0.92052486324042304</v>
      </c>
      <c r="J446" s="14">
        <v>0.93853153878492401</v>
      </c>
      <c r="K446" s="14">
        <v>0.94293960458966797</v>
      </c>
      <c r="L446" s="14">
        <v>0.93560576602852996</v>
      </c>
      <c r="M446" s="14"/>
      <c r="N446" s="14">
        <v>0.94526116258044601</v>
      </c>
      <c r="O446" s="14">
        <v>0.92617236824393601</v>
      </c>
      <c r="P446" s="14">
        <v>0.90950964919451904</v>
      </c>
      <c r="Q446" s="14">
        <v>0.92041867018314105</v>
      </c>
      <c r="R446" s="14"/>
      <c r="S446" s="14">
        <v>0.92425276764879605</v>
      </c>
      <c r="T446" s="14">
        <v>0.93397802098578298</v>
      </c>
      <c r="U446" s="14">
        <v>0.89328311318186504</v>
      </c>
      <c r="V446" s="14">
        <v>0.93901591746357504</v>
      </c>
      <c r="W446" s="14">
        <v>0.92316743151059599</v>
      </c>
      <c r="X446" s="14">
        <v>0.92926869471676299</v>
      </c>
      <c r="Y446" s="14">
        <v>0.93196641011307702</v>
      </c>
      <c r="Z446" s="14">
        <v>0.934860792551647</v>
      </c>
      <c r="AA446" s="14">
        <v>0.92736024747393198</v>
      </c>
      <c r="AB446" s="14"/>
      <c r="AC446" s="14">
        <v>0.93420355245350795</v>
      </c>
      <c r="AD446" s="14">
        <v>0.94406943802078602</v>
      </c>
      <c r="AE446" s="14">
        <v>0.92477674247916797</v>
      </c>
      <c r="AF446" s="14">
        <v>0.92137175378271996</v>
      </c>
      <c r="AG446" s="14">
        <v>0.95403563075493503</v>
      </c>
      <c r="AH446" s="14"/>
      <c r="AI446" s="14">
        <v>0.93920315674541699</v>
      </c>
      <c r="AJ446" s="14">
        <v>0.95240774728072797</v>
      </c>
      <c r="AK446" s="14">
        <v>0.91513330483881605</v>
      </c>
      <c r="AL446" s="14">
        <v>0.89761714354282196</v>
      </c>
      <c r="AM446" s="14">
        <v>0.94098913753190405</v>
      </c>
      <c r="AN446" s="14">
        <v>0.88805668672175497</v>
      </c>
      <c r="AO446" s="14"/>
      <c r="AP446" s="14">
        <v>0.93272219654021205</v>
      </c>
      <c r="AQ446" s="14">
        <v>0.92032249096401098</v>
      </c>
      <c r="AR446" s="14"/>
      <c r="AS446" s="14">
        <v>0.91523197018052904</v>
      </c>
      <c r="AT446" s="14">
        <v>0.92690364582223495</v>
      </c>
      <c r="AU446" s="14">
        <v>0.92931354616617401</v>
      </c>
      <c r="AV446" s="14"/>
      <c r="AW446" s="14">
        <v>0.93388415391922097</v>
      </c>
      <c r="AX446" s="14">
        <v>0.94236843459302</v>
      </c>
      <c r="AY446" s="14"/>
      <c r="AZ446" s="14">
        <v>0.93542846369921795</v>
      </c>
      <c r="BA446" s="14">
        <v>0.90168076147571796</v>
      </c>
    </row>
    <row r="447" spans="2:53" x14ac:dyDescent="0.35"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</row>
    <row r="448" spans="2:53" x14ac:dyDescent="0.35">
      <c r="B448" s="6" t="s">
        <v>204</v>
      </c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</row>
    <row r="449" spans="2:53" x14ac:dyDescent="0.35">
      <c r="B449" s="24" t="s">
        <v>118</v>
      </c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</row>
    <row r="450" spans="2:53" x14ac:dyDescent="0.35">
      <c r="B450" t="s">
        <v>76</v>
      </c>
      <c r="C450" s="14">
        <v>0.43563419710950302</v>
      </c>
      <c r="D450" s="14">
        <v>0.47185225182164098</v>
      </c>
      <c r="E450" s="14">
        <v>0.39980953624360999</v>
      </c>
      <c r="F450" s="14"/>
      <c r="G450" s="14">
        <v>0.50128178045639804</v>
      </c>
      <c r="H450" s="14">
        <v>0.478395332459221</v>
      </c>
      <c r="I450" s="14">
        <v>0.43940277319677901</v>
      </c>
      <c r="J450" s="14">
        <v>0.39695280073181199</v>
      </c>
      <c r="K450" s="14">
        <v>0.47165733437664598</v>
      </c>
      <c r="L450" s="14">
        <v>0.43157814706911202</v>
      </c>
      <c r="M450" s="14"/>
      <c r="N450" s="14">
        <v>0.45963657198192998</v>
      </c>
      <c r="O450" s="14">
        <v>0.39289036268104099</v>
      </c>
      <c r="P450" s="14">
        <v>0.42776343694468799</v>
      </c>
      <c r="Q450" s="14">
        <v>0.459477401644445</v>
      </c>
      <c r="R450" s="14"/>
      <c r="S450" s="14">
        <v>0.59205592833451903</v>
      </c>
      <c r="T450" s="14">
        <v>0.41394102521024301</v>
      </c>
      <c r="U450" s="14">
        <v>0.343776448218714</v>
      </c>
      <c r="V450" s="14">
        <v>0.38741587469237798</v>
      </c>
      <c r="W450" s="14">
        <v>0.45665127905469699</v>
      </c>
      <c r="X450" s="14">
        <v>0.42232718631496302</v>
      </c>
      <c r="Y450" s="14">
        <v>0.42246215495302802</v>
      </c>
      <c r="Z450" s="14">
        <v>0.361100352744602</v>
      </c>
      <c r="AA450" s="14">
        <v>0.416104906068686</v>
      </c>
      <c r="AB450" s="14"/>
      <c r="AC450" s="14">
        <v>0.41179513437382897</v>
      </c>
      <c r="AD450" s="14">
        <v>0.37676709464248198</v>
      </c>
      <c r="AE450" s="14">
        <v>0.419604063504803</v>
      </c>
      <c r="AF450" s="14">
        <v>0.55657079631824602</v>
      </c>
      <c r="AG450" s="14">
        <v>0.64544795646394204</v>
      </c>
      <c r="AH450" s="14"/>
      <c r="AI450" s="14">
        <v>0.51111543788538605</v>
      </c>
      <c r="AJ450" s="14">
        <v>0.44919292310009701</v>
      </c>
      <c r="AK450" s="14">
        <v>0.34315457310210401</v>
      </c>
      <c r="AL450" s="14">
        <v>0.43637340836788102</v>
      </c>
      <c r="AM450" s="14">
        <v>0.34568945897301201</v>
      </c>
      <c r="AN450" s="14">
        <v>0.364236546887313</v>
      </c>
      <c r="AO450" s="14"/>
      <c r="AP450" s="14">
        <v>0.46415656012538198</v>
      </c>
      <c r="AQ450" s="14">
        <v>0.40427967864041497</v>
      </c>
      <c r="AR450" s="14"/>
      <c r="AS450" s="14">
        <v>0.421857860452647</v>
      </c>
      <c r="AT450" s="14">
        <v>0.43290134579405398</v>
      </c>
      <c r="AU450" s="14">
        <v>0.44014998066727001</v>
      </c>
      <c r="AV450" s="14"/>
      <c r="AW450" s="14">
        <v>0.41242689774470698</v>
      </c>
      <c r="AX450" s="14">
        <v>0.61766678178880796</v>
      </c>
      <c r="AY450" s="14"/>
      <c r="AZ450" s="14">
        <v>0.46264627893874199</v>
      </c>
      <c r="BA450" s="14">
        <v>0.33889269781346099</v>
      </c>
    </row>
    <row r="451" spans="2:53" x14ac:dyDescent="0.35">
      <c r="B451" t="s">
        <v>77</v>
      </c>
      <c r="C451" s="14">
        <v>0.38222797730656499</v>
      </c>
      <c r="D451" s="14">
        <v>0.398228443174169</v>
      </c>
      <c r="E451" s="14">
        <v>0.36658529308114002</v>
      </c>
      <c r="F451" s="14"/>
      <c r="G451" s="14">
        <v>0.32587532562742499</v>
      </c>
      <c r="H451" s="14">
        <v>0.348923119781194</v>
      </c>
      <c r="I451" s="14">
        <v>0.391606916717055</v>
      </c>
      <c r="J451" s="14">
        <v>0.38652639897576602</v>
      </c>
      <c r="K451" s="14">
        <v>0.36308450357179201</v>
      </c>
      <c r="L451" s="14">
        <v>0.49118589363983001</v>
      </c>
      <c r="M451" s="14"/>
      <c r="N451" s="14">
        <v>0.36061863980429099</v>
      </c>
      <c r="O451" s="14">
        <v>0.42454560109431999</v>
      </c>
      <c r="P451" s="14">
        <v>0.37225493370146401</v>
      </c>
      <c r="Q451" s="14">
        <v>0.37482218957592001</v>
      </c>
      <c r="R451" s="14"/>
      <c r="S451" s="14">
        <v>0.31047054946726399</v>
      </c>
      <c r="T451" s="14">
        <v>0.370410808622821</v>
      </c>
      <c r="U451" s="14">
        <v>0.414371560086019</v>
      </c>
      <c r="V451" s="14">
        <v>0.39822157665249303</v>
      </c>
      <c r="W451" s="14">
        <v>0.33873624204580299</v>
      </c>
      <c r="X451" s="14">
        <v>0.39778830621997202</v>
      </c>
      <c r="Y451" s="14">
        <v>0.37834112632674999</v>
      </c>
      <c r="Z451" s="14">
        <v>0.45215815559588002</v>
      </c>
      <c r="AA451" s="14">
        <v>0.44102667275246599</v>
      </c>
      <c r="AB451" s="14"/>
      <c r="AC451" s="14">
        <v>0.43185474388719097</v>
      </c>
      <c r="AD451" s="14">
        <v>0.41399827693220997</v>
      </c>
      <c r="AE451" s="14">
        <v>0.37371506342847599</v>
      </c>
      <c r="AF451" s="14">
        <v>0.31124646526225602</v>
      </c>
      <c r="AG451" s="14">
        <v>0.29161461792871701</v>
      </c>
      <c r="AH451" s="14"/>
      <c r="AI451" s="14">
        <v>0.32593294518170901</v>
      </c>
      <c r="AJ451" s="14">
        <v>0.38802206074303702</v>
      </c>
      <c r="AK451" s="14">
        <v>0.45729433192593</v>
      </c>
      <c r="AL451" s="14">
        <v>0.37807614071309897</v>
      </c>
      <c r="AM451" s="14">
        <v>0.453602097665529</v>
      </c>
      <c r="AN451" s="14">
        <v>0.43446134152736499</v>
      </c>
      <c r="AO451" s="14"/>
      <c r="AP451" s="14">
        <v>0.36926135765253998</v>
      </c>
      <c r="AQ451" s="14">
        <v>0.398049072411857</v>
      </c>
      <c r="AR451" s="14"/>
      <c r="AS451" s="14">
        <v>0.37371140891745702</v>
      </c>
      <c r="AT451" s="14">
        <v>0.38114253747374099</v>
      </c>
      <c r="AU451" s="14">
        <v>0.38484104215443399</v>
      </c>
      <c r="AV451" s="14"/>
      <c r="AW451" s="14">
        <v>0.40531468321212699</v>
      </c>
      <c r="AX451" s="14">
        <v>0.30462797243228201</v>
      </c>
      <c r="AY451" s="14"/>
      <c r="AZ451" s="14">
        <v>0.371555457425503</v>
      </c>
      <c r="BA451" s="14">
        <v>0.421906411942846</v>
      </c>
    </row>
    <row r="452" spans="2:53" x14ac:dyDescent="0.35">
      <c r="B452" t="s">
        <v>201</v>
      </c>
      <c r="C452" s="14">
        <v>0.133046576687844</v>
      </c>
      <c r="D452" s="14">
        <v>0.10636488080937</v>
      </c>
      <c r="E452" s="14">
        <v>0.15987859771461299</v>
      </c>
      <c r="F452" s="14"/>
      <c r="G452" s="14">
        <v>0.17284289391617699</v>
      </c>
      <c r="H452" s="14">
        <v>0.137974060443014</v>
      </c>
      <c r="I452" s="14">
        <v>0.11459145421044301</v>
      </c>
      <c r="J452" s="14">
        <v>0.156448826318274</v>
      </c>
      <c r="K452" s="14">
        <v>0.14293316404659201</v>
      </c>
      <c r="L452" s="14">
        <v>7.7235959291058906E-2</v>
      </c>
      <c r="M452" s="14"/>
      <c r="N452" s="14">
        <v>0.138816244229648</v>
      </c>
      <c r="O452" s="14">
        <v>0.141589039426715</v>
      </c>
      <c r="P452" s="14">
        <v>0.14897245424273001</v>
      </c>
      <c r="Q452" s="14">
        <v>0.101919261048591</v>
      </c>
      <c r="R452" s="14"/>
      <c r="S452" s="14">
        <v>7.1476100224923095E-2</v>
      </c>
      <c r="T452" s="14">
        <v>0.147266686535337</v>
      </c>
      <c r="U452" s="14">
        <v>0.18521833445477701</v>
      </c>
      <c r="V452" s="14">
        <v>0.162591756385704</v>
      </c>
      <c r="W452" s="14">
        <v>0.17273528177311001</v>
      </c>
      <c r="X452" s="14">
        <v>0.134427862369496</v>
      </c>
      <c r="Y452" s="14">
        <v>0.14384016114652801</v>
      </c>
      <c r="Z452" s="14">
        <v>0.150211925397261</v>
      </c>
      <c r="AA452" s="14">
        <v>8.2453630937721706E-2</v>
      </c>
      <c r="AB452" s="14"/>
      <c r="AC452" s="14">
        <v>0.111626904210961</v>
      </c>
      <c r="AD452" s="14">
        <v>0.162727233039935</v>
      </c>
      <c r="AE452" s="14">
        <v>0.15262150155145099</v>
      </c>
      <c r="AF452" s="14">
        <v>0.108099820901174</v>
      </c>
      <c r="AG452" s="14">
        <v>3.10022537117427E-2</v>
      </c>
      <c r="AH452" s="14"/>
      <c r="AI452" s="14">
        <v>0.121993273762387</v>
      </c>
      <c r="AJ452" s="14">
        <v>0.129425752543469</v>
      </c>
      <c r="AK452" s="14">
        <v>0.140754657077658</v>
      </c>
      <c r="AL452" s="14">
        <v>0.11777472112739799</v>
      </c>
      <c r="AM452" s="14">
        <v>0.17692482062957601</v>
      </c>
      <c r="AN452" s="14">
        <v>0.122369670986592</v>
      </c>
      <c r="AO452" s="14"/>
      <c r="AP452" s="14">
        <v>0.11375526137467</v>
      </c>
      <c r="AQ452" s="14">
        <v>0.153984953000566</v>
      </c>
      <c r="AR452" s="14"/>
      <c r="AS452" s="14">
        <v>0.17014558417915401</v>
      </c>
      <c r="AT452" s="14">
        <v>0.133435749961898</v>
      </c>
      <c r="AU452" s="14">
        <v>0.12294686362023401</v>
      </c>
      <c r="AV452" s="14"/>
      <c r="AW452" s="14">
        <v>0.13715834116936301</v>
      </c>
      <c r="AX452" s="14">
        <v>6.4626911909638901E-2</v>
      </c>
      <c r="AY452" s="14"/>
      <c r="AZ452" s="14">
        <v>0.127075082079282</v>
      </c>
      <c r="BA452" s="14">
        <v>0.15583399988904301</v>
      </c>
    </row>
    <row r="453" spans="2:53" x14ac:dyDescent="0.35">
      <c r="B453" t="s">
        <v>79</v>
      </c>
      <c r="C453" s="14">
        <v>3.2545587572858997E-2</v>
      </c>
      <c r="D453" s="14">
        <v>1.3723598436054101E-2</v>
      </c>
      <c r="E453" s="14">
        <v>5.0444665661428099E-2</v>
      </c>
      <c r="F453" s="14"/>
      <c r="G453" s="14">
        <v>0</v>
      </c>
      <c r="H453" s="14">
        <v>1.53980146664252E-2</v>
      </c>
      <c r="I453" s="14">
        <v>3.2996503216871802E-2</v>
      </c>
      <c r="J453" s="14">
        <v>4.5749923739629599E-2</v>
      </c>
      <c r="K453" s="14">
        <v>2.23249980049707E-2</v>
      </c>
      <c r="L453" s="14">
        <v>0</v>
      </c>
      <c r="M453" s="14"/>
      <c r="N453" s="14">
        <v>3.1478648656213297E-2</v>
      </c>
      <c r="O453" s="14">
        <v>2.3834184987341699E-2</v>
      </c>
      <c r="P453" s="14">
        <v>4.0028915439227299E-2</v>
      </c>
      <c r="Q453" s="14">
        <v>3.6543926331679299E-2</v>
      </c>
      <c r="R453" s="14"/>
      <c r="S453" s="14">
        <v>2.13026006812971E-2</v>
      </c>
      <c r="T453" s="14">
        <v>4.2758652461471099E-2</v>
      </c>
      <c r="U453" s="14">
        <v>4.3377821582450397E-2</v>
      </c>
      <c r="V453" s="14">
        <v>4.0042128294639601E-2</v>
      </c>
      <c r="W453" s="14">
        <v>2.44714617906749E-2</v>
      </c>
      <c r="X453" s="14">
        <v>2.7471507710310501E-2</v>
      </c>
      <c r="Y453" s="14">
        <v>4.7766084515802998E-2</v>
      </c>
      <c r="Z453" s="14">
        <v>2.7512275224101101E-2</v>
      </c>
      <c r="AA453" s="14">
        <v>1.8792576730064899E-2</v>
      </c>
      <c r="AB453" s="14"/>
      <c r="AC453" s="14">
        <v>1.96268843007644E-2</v>
      </c>
      <c r="AD453" s="14">
        <v>3.1808682666497397E-2</v>
      </c>
      <c r="AE453" s="14">
        <v>4.1025635819007901E-2</v>
      </c>
      <c r="AF453" s="14">
        <v>1.6981997055836699E-2</v>
      </c>
      <c r="AG453" s="14">
        <v>3.1935171895597497E-2</v>
      </c>
      <c r="AH453" s="14"/>
      <c r="AI453" s="14">
        <v>3.0989328367345099E-2</v>
      </c>
      <c r="AJ453" s="14">
        <v>2.6867583920659199E-2</v>
      </c>
      <c r="AK453" s="14">
        <v>4.68668200053231E-2</v>
      </c>
      <c r="AL453" s="14">
        <v>4.00275975641394E-2</v>
      </c>
      <c r="AM453" s="14">
        <v>2.3783622731883801E-2</v>
      </c>
      <c r="AN453" s="14">
        <v>2.3470250932798999E-2</v>
      </c>
      <c r="AO453" s="14"/>
      <c r="AP453" s="14">
        <v>3.3287780369732303E-2</v>
      </c>
      <c r="AQ453" s="14">
        <v>3.0455283069807201E-2</v>
      </c>
      <c r="AR453" s="14"/>
      <c r="AS453" s="14">
        <v>1.2771377324439901E-2</v>
      </c>
      <c r="AT453" s="14">
        <v>2.6606402240205398E-2</v>
      </c>
      <c r="AU453" s="14">
        <v>3.9623705643701101E-2</v>
      </c>
      <c r="AV453" s="14"/>
      <c r="AW453" s="14">
        <v>2.7968570835641499E-2</v>
      </c>
      <c r="AX453" s="14">
        <v>1.03335590087645E-2</v>
      </c>
      <c r="AY453" s="14"/>
      <c r="AZ453" s="14">
        <v>2.6394278038662101E-2</v>
      </c>
      <c r="BA453" s="14">
        <v>5.6165954431749501E-2</v>
      </c>
    </row>
    <row r="454" spans="2:53" x14ac:dyDescent="0.35">
      <c r="B454" t="s">
        <v>116</v>
      </c>
      <c r="C454" s="14">
        <v>1.6545661323229599E-2</v>
      </c>
      <c r="D454" s="14">
        <v>9.8308257587665995E-3</v>
      </c>
      <c r="E454" s="14">
        <v>2.3281907299209099E-2</v>
      </c>
      <c r="F454" s="14"/>
      <c r="G454" s="14">
        <v>0</v>
      </c>
      <c r="H454" s="14">
        <v>1.93094726501464E-2</v>
      </c>
      <c r="I454" s="14">
        <v>2.1402352658850699E-2</v>
      </c>
      <c r="J454" s="14">
        <v>1.4322050234518499E-2</v>
      </c>
      <c r="K454" s="14">
        <v>0</v>
      </c>
      <c r="L454" s="14">
        <v>0</v>
      </c>
      <c r="M454" s="14"/>
      <c r="N454" s="14">
        <v>9.4498953279183208E-3</v>
      </c>
      <c r="O454" s="14">
        <v>1.7140811810582E-2</v>
      </c>
      <c r="P454" s="14">
        <v>1.0980259671891399E-2</v>
      </c>
      <c r="Q454" s="14">
        <v>2.7237221399364301E-2</v>
      </c>
      <c r="R454" s="14"/>
      <c r="S454" s="14">
        <v>4.6948212919968799E-3</v>
      </c>
      <c r="T454" s="14">
        <v>2.56228271701281E-2</v>
      </c>
      <c r="U454" s="14">
        <v>1.3255835658039099E-2</v>
      </c>
      <c r="V454" s="14">
        <v>1.1728663974784901E-2</v>
      </c>
      <c r="W454" s="14">
        <v>7.4057353357157001E-3</v>
      </c>
      <c r="X454" s="14">
        <v>1.7985137385259E-2</v>
      </c>
      <c r="Y454" s="14">
        <v>7.5904730578917404E-3</v>
      </c>
      <c r="Z454" s="14">
        <v>9.0172910381561694E-3</v>
      </c>
      <c r="AA454" s="14">
        <v>4.1622213511060803E-2</v>
      </c>
      <c r="AB454" s="14"/>
      <c r="AC454" s="14">
        <v>2.5096333227254401E-2</v>
      </c>
      <c r="AD454" s="14">
        <v>1.4698712718875601E-2</v>
      </c>
      <c r="AE454" s="14">
        <v>1.3033735696262301E-2</v>
      </c>
      <c r="AF454" s="14">
        <v>7.1009204624877999E-3</v>
      </c>
      <c r="AG454" s="14">
        <v>0</v>
      </c>
      <c r="AH454" s="14"/>
      <c r="AI454" s="14">
        <v>9.9690148031733195E-3</v>
      </c>
      <c r="AJ454" s="14">
        <v>6.49167969273781E-3</v>
      </c>
      <c r="AK454" s="14">
        <v>1.1929617888985699E-2</v>
      </c>
      <c r="AL454" s="14">
        <v>2.77481322274825E-2</v>
      </c>
      <c r="AM454" s="14">
        <v>0</v>
      </c>
      <c r="AN454" s="14">
        <v>5.5462189665930701E-2</v>
      </c>
      <c r="AO454" s="14"/>
      <c r="AP454" s="14">
        <v>1.9539040477675199E-2</v>
      </c>
      <c r="AQ454" s="14">
        <v>1.3231012877355199E-2</v>
      </c>
      <c r="AR454" s="14"/>
      <c r="AS454" s="14">
        <v>2.15137691263016E-2</v>
      </c>
      <c r="AT454" s="14">
        <v>2.59139645301017E-2</v>
      </c>
      <c r="AU454" s="14">
        <v>1.24384079143607E-2</v>
      </c>
      <c r="AV454" s="14"/>
      <c r="AW454" s="14">
        <v>1.7131507038161801E-2</v>
      </c>
      <c r="AX454" s="14">
        <v>2.7447748605060199E-3</v>
      </c>
      <c r="AY454" s="14"/>
      <c r="AZ454" s="14">
        <v>1.23289035178119E-2</v>
      </c>
      <c r="BA454" s="14">
        <v>2.72009359229014E-2</v>
      </c>
    </row>
    <row r="455" spans="2:53" x14ac:dyDescent="0.35">
      <c r="B455" t="s">
        <v>81</v>
      </c>
      <c r="C455" s="14">
        <v>0.81786217441606801</v>
      </c>
      <c r="D455" s="14">
        <v>0.87008069499580998</v>
      </c>
      <c r="E455" s="14">
        <v>0.76639482932475</v>
      </c>
      <c r="F455" s="14"/>
      <c r="G455" s="14">
        <v>0.82715710608382298</v>
      </c>
      <c r="H455" s="14">
        <v>0.827318452240415</v>
      </c>
      <c r="I455" s="14">
        <v>0.83100968991383395</v>
      </c>
      <c r="J455" s="14">
        <v>0.78347919970757796</v>
      </c>
      <c r="K455" s="14">
        <v>0.83474183794843804</v>
      </c>
      <c r="L455" s="14">
        <v>0.92276404070894102</v>
      </c>
      <c r="M455" s="14"/>
      <c r="N455" s="14">
        <v>0.82025521178622096</v>
      </c>
      <c r="O455" s="14">
        <v>0.81743596377536099</v>
      </c>
      <c r="P455" s="14">
        <v>0.800018370646152</v>
      </c>
      <c r="Q455" s="14">
        <v>0.83429959122036501</v>
      </c>
      <c r="R455" s="14"/>
      <c r="S455" s="14">
        <v>0.90252647780178297</v>
      </c>
      <c r="T455" s="14">
        <v>0.78435183383306295</v>
      </c>
      <c r="U455" s="14">
        <v>0.75814800830473295</v>
      </c>
      <c r="V455" s="14">
        <v>0.78563745134487095</v>
      </c>
      <c r="W455" s="14">
        <v>0.79538752110050004</v>
      </c>
      <c r="X455" s="14">
        <v>0.82011549253493499</v>
      </c>
      <c r="Y455" s="14">
        <v>0.80080328127977796</v>
      </c>
      <c r="Z455" s="14">
        <v>0.81325850834048197</v>
      </c>
      <c r="AA455" s="14">
        <v>0.85713157882115298</v>
      </c>
      <c r="AB455" s="14"/>
      <c r="AC455" s="14">
        <v>0.84364987826102</v>
      </c>
      <c r="AD455" s="14">
        <v>0.79076537157469196</v>
      </c>
      <c r="AE455" s="14">
        <v>0.793319126933279</v>
      </c>
      <c r="AF455" s="14">
        <v>0.86781726158050199</v>
      </c>
      <c r="AG455" s="14">
        <v>0.93706257439266005</v>
      </c>
      <c r="AH455" s="14"/>
      <c r="AI455" s="14">
        <v>0.83704838306709495</v>
      </c>
      <c r="AJ455" s="14">
        <v>0.83721498384313398</v>
      </c>
      <c r="AK455" s="14">
        <v>0.80044890502803301</v>
      </c>
      <c r="AL455" s="14">
        <v>0.81444954908098</v>
      </c>
      <c r="AM455" s="14">
        <v>0.79929155663854001</v>
      </c>
      <c r="AN455" s="14">
        <v>0.79869788841467904</v>
      </c>
      <c r="AO455" s="14"/>
      <c r="AP455" s="14">
        <v>0.83341791777792196</v>
      </c>
      <c r="AQ455" s="14">
        <v>0.80232875105227197</v>
      </c>
      <c r="AR455" s="14"/>
      <c r="AS455" s="14">
        <v>0.79556926937010397</v>
      </c>
      <c r="AT455" s="14">
        <v>0.81404388326779498</v>
      </c>
      <c r="AU455" s="14">
        <v>0.824991022821704</v>
      </c>
      <c r="AV455" s="14"/>
      <c r="AW455" s="14">
        <v>0.81774158095683402</v>
      </c>
      <c r="AX455" s="14">
        <v>0.92229475422109097</v>
      </c>
      <c r="AY455" s="14"/>
      <c r="AZ455" s="14">
        <v>0.834201736364244</v>
      </c>
      <c r="BA455" s="14">
        <v>0.76079910975630605</v>
      </c>
    </row>
    <row r="456" spans="2:53" x14ac:dyDescent="0.35"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</row>
    <row r="457" spans="2:53" x14ac:dyDescent="0.35">
      <c r="B457" s="6" t="s">
        <v>205</v>
      </c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</row>
    <row r="458" spans="2:53" x14ac:dyDescent="0.35">
      <c r="B458" s="24" t="s">
        <v>118</v>
      </c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</row>
    <row r="459" spans="2:53" x14ac:dyDescent="0.35">
      <c r="B459" t="s">
        <v>76</v>
      </c>
      <c r="C459" s="14">
        <v>0.28383265573945199</v>
      </c>
      <c r="D459" s="14">
        <v>0.30800892019478399</v>
      </c>
      <c r="E459" s="14">
        <v>0.25991223990685097</v>
      </c>
      <c r="F459" s="14"/>
      <c r="G459" s="14">
        <v>0.46842595976940599</v>
      </c>
      <c r="H459" s="14">
        <v>0.275563850573606</v>
      </c>
      <c r="I459" s="14">
        <v>0.33789770162660099</v>
      </c>
      <c r="J459" s="14">
        <v>0.22747638921920099</v>
      </c>
      <c r="K459" s="14">
        <v>0.19885637466535699</v>
      </c>
      <c r="L459" s="14">
        <v>0.37819379192434299</v>
      </c>
      <c r="M459" s="14"/>
      <c r="N459" s="14">
        <v>0.330569920174693</v>
      </c>
      <c r="O459" s="14">
        <v>0.24515331041542801</v>
      </c>
      <c r="P459" s="14">
        <v>0.23349857192704401</v>
      </c>
      <c r="Q459" s="14">
        <v>0.31460828325291901</v>
      </c>
      <c r="R459" s="14"/>
      <c r="S459" s="14">
        <v>0.41198158327234902</v>
      </c>
      <c r="T459" s="14">
        <v>0.28318607351932301</v>
      </c>
      <c r="U459" s="14">
        <v>0.25986950947519799</v>
      </c>
      <c r="V459" s="14">
        <v>0.23324899195447699</v>
      </c>
      <c r="W459" s="14">
        <v>0.273042543504322</v>
      </c>
      <c r="X459" s="14">
        <v>0.32453129519644702</v>
      </c>
      <c r="Y459" s="14">
        <v>0.20884472606375001</v>
      </c>
      <c r="Z459" s="14">
        <v>0.21671618979482099</v>
      </c>
      <c r="AA459" s="14">
        <v>0.24800668072733101</v>
      </c>
      <c r="AB459" s="14"/>
      <c r="AC459" s="14">
        <v>0.21931459629268299</v>
      </c>
      <c r="AD459" s="14">
        <v>0.20846445294795399</v>
      </c>
      <c r="AE459" s="14">
        <v>0.289040537586358</v>
      </c>
      <c r="AF459" s="14">
        <v>0.49078547807742801</v>
      </c>
      <c r="AG459" s="14">
        <v>0.44298982204399601</v>
      </c>
      <c r="AH459" s="14"/>
      <c r="AI459" s="14">
        <v>0.35569083573294602</v>
      </c>
      <c r="AJ459" s="14">
        <v>0.30384746007977598</v>
      </c>
      <c r="AK459" s="14">
        <v>0.27555338215595199</v>
      </c>
      <c r="AL459" s="14">
        <v>0.205287919686894</v>
      </c>
      <c r="AM459" s="14">
        <v>0.29922368042407599</v>
      </c>
      <c r="AN459" s="14">
        <v>0.20436132816673899</v>
      </c>
      <c r="AO459" s="14"/>
      <c r="AP459" s="14">
        <v>0.31620141389980899</v>
      </c>
      <c r="AQ459" s="14">
        <v>0.24832799041388101</v>
      </c>
      <c r="AR459" s="14"/>
      <c r="AS459" s="14">
        <v>0.29330288828809797</v>
      </c>
      <c r="AT459" s="14">
        <v>0.30937501674214102</v>
      </c>
      <c r="AU459" s="14">
        <v>0.27373113217763201</v>
      </c>
      <c r="AV459" s="14"/>
      <c r="AW459" s="14">
        <v>0.25228305226811998</v>
      </c>
      <c r="AX459" s="14">
        <v>0.45815389637417497</v>
      </c>
      <c r="AY459" s="14"/>
      <c r="AZ459" s="14">
        <v>0.303447826169498</v>
      </c>
      <c r="BA459" s="14">
        <v>0.209046037257513</v>
      </c>
    </row>
    <row r="460" spans="2:53" x14ac:dyDescent="0.35">
      <c r="B460" t="s">
        <v>77</v>
      </c>
      <c r="C460" s="14">
        <v>0.41224883216819402</v>
      </c>
      <c r="D460" s="14">
        <v>0.440548272838512</v>
      </c>
      <c r="E460" s="14">
        <v>0.38432644458488902</v>
      </c>
      <c r="F460" s="14"/>
      <c r="G460" s="14">
        <v>0.26323550665539103</v>
      </c>
      <c r="H460" s="14">
        <v>0.42125391127123102</v>
      </c>
      <c r="I460" s="14">
        <v>0.39749263040009802</v>
      </c>
      <c r="J460" s="14">
        <v>0.40459167493731701</v>
      </c>
      <c r="K460" s="14">
        <v>0.50500647244873398</v>
      </c>
      <c r="L460" s="14">
        <v>0.38952677885521197</v>
      </c>
      <c r="M460" s="14"/>
      <c r="N460" s="14">
        <v>0.417298090589589</v>
      </c>
      <c r="O460" s="14">
        <v>0.40975893345610098</v>
      </c>
      <c r="P460" s="14">
        <v>0.43996142278309303</v>
      </c>
      <c r="Q460" s="14">
        <v>0.386582948432311</v>
      </c>
      <c r="R460" s="14"/>
      <c r="S460" s="14">
        <v>0.399558562819882</v>
      </c>
      <c r="T460" s="14">
        <v>0.43046542828930701</v>
      </c>
      <c r="U460" s="14">
        <v>0.41451799824574997</v>
      </c>
      <c r="V460" s="14">
        <v>0.39260589198101797</v>
      </c>
      <c r="W460" s="14">
        <v>0.36984929161059299</v>
      </c>
      <c r="X460" s="14">
        <v>0.35874568980058502</v>
      </c>
      <c r="Y460" s="14">
        <v>0.428444909309947</v>
      </c>
      <c r="Z460" s="14">
        <v>0.48733927914694197</v>
      </c>
      <c r="AA460" s="14">
        <v>0.44970931571517397</v>
      </c>
      <c r="AB460" s="14"/>
      <c r="AC460" s="14">
        <v>0.421371770982435</v>
      </c>
      <c r="AD460" s="14">
        <v>0.421473351891196</v>
      </c>
      <c r="AE460" s="14">
        <v>0.43999877485045202</v>
      </c>
      <c r="AF460" s="14">
        <v>0.32983891516951103</v>
      </c>
      <c r="AG460" s="14">
        <v>0.43048416009732798</v>
      </c>
      <c r="AH460" s="14"/>
      <c r="AI460" s="14">
        <v>0.376845226556766</v>
      </c>
      <c r="AJ460" s="14">
        <v>0.42916572940935299</v>
      </c>
      <c r="AK460" s="14">
        <v>0.43652587540838</v>
      </c>
      <c r="AL460" s="14">
        <v>0.45059097751598598</v>
      </c>
      <c r="AM460" s="14">
        <v>0.45143945492575599</v>
      </c>
      <c r="AN460" s="14">
        <v>0.444674068301456</v>
      </c>
      <c r="AO460" s="14"/>
      <c r="AP460" s="14">
        <v>0.41560700440988102</v>
      </c>
      <c r="AQ460" s="14">
        <v>0.40793635514590199</v>
      </c>
      <c r="AR460" s="14"/>
      <c r="AS460" s="14">
        <v>0.40730614099634599</v>
      </c>
      <c r="AT460" s="14">
        <v>0.41771184863327399</v>
      </c>
      <c r="AU460" s="14">
        <v>0.41196369489210899</v>
      </c>
      <c r="AV460" s="14"/>
      <c r="AW460" s="14">
        <v>0.42116061611662797</v>
      </c>
      <c r="AX460" s="14">
        <v>0.38697481503910902</v>
      </c>
      <c r="AY460" s="14"/>
      <c r="AZ460" s="14">
        <v>0.41255665030486999</v>
      </c>
      <c r="BA460" s="14">
        <v>0.41405056028950099</v>
      </c>
    </row>
    <row r="461" spans="2:53" x14ac:dyDescent="0.35">
      <c r="B461" t="s">
        <v>201</v>
      </c>
      <c r="C461" s="14">
        <v>0.22862799551975299</v>
      </c>
      <c r="D461" s="14">
        <v>0.1963719316541</v>
      </c>
      <c r="E461" s="14">
        <v>0.26016199489334202</v>
      </c>
      <c r="F461" s="14"/>
      <c r="G461" s="14">
        <v>0.155070102187463</v>
      </c>
      <c r="H461" s="14">
        <v>0.23257586970670599</v>
      </c>
      <c r="I461" s="14">
        <v>0.199643191735108</v>
      </c>
      <c r="J461" s="14">
        <v>0.27296401751194999</v>
      </c>
      <c r="K461" s="14">
        <v>0.22308726925610101</v>
      </c>
      <c r="L461" s="14">
        <v>0.20397738225238199</v>
      </c>
      <c r="M461" s="14"/>
      <c r="N461" s="14">
        <v>0.21177839969284801</v>
      </c>
      <c r="O461" s="14">
        <v>0.28103104063948903</v>
      </c>
      <c r="P461" s="14">
        <v>0.22201588107171399</v>
      </c>
      <c r="Q461" s="14">
        <v>0.19896692331150301</v>
      </c>
      <c r="R461" s="14"/>
      <c r="S461" s="14">
        <v>0.145611550130749</v>
      </c>
      <c r="T461" s="14">
        <v>0.214673563224132</v>
      </c>
      <c r="U461" s="14">
        <v>0.24925090324787999</v>
      </c>
      <c r="V461" s="14">
        <v>0.27409666573739699</v>
      </c>
      <c r="W461" s="14">
        <v>0.29249741642855498</v>
      </c>
      <c r="X461" s="14">
        <v>0.21935242826965201</v>
      </c>
      <c r="Y461" s="14">
        <v>0.29041644943636302</v>
      </c>
      <c r="Z461" s="14">
        <v>0.193957145642774</v>
      </c>
      <c r="AA461" s="14">
        <v>0.221995433059747</v>
      </c>
      <c r="AB461" s="14"/>
      <c r="AC461" s="14">
        <v>0.28420443124523098</v>
      </c>
      <c r="AD461" s="14">
        <v>0.24324390675580199</v>
      </c>
      <c r="AE461" s="14">
        <v>0.22086242852079299</v>
      </c>
      <c r="AF461" s="14">
        <v>0.157723696887271</v>
      </c>
      <c r="AG461" s="14">
        <v>9.5048963036254194E-2</v>
      </c>
      <c r="AH461" s="14"/>
      <c r="AI461" s="14">
        <v>0.202620182189928</v>
      </c>
      <c r="AJ461" s="14">
        <v>0.21269639160114701</v>
      </c>
      <c r="AK461" s="14">
        <v>0.21795859496165901</v>
      </c>
      <c r="AL461" s="14">
        <v>0.22464381797959701</v>
      </c>
      <c r="AM461" s="14">
        <v>0.220082161620756</v>
      </c>
      <c r="AN461" s="14">
        <v>0.285525936359046</v>
      </c>
      <c r="AO461" s="14"/>
      <c r="AP461" s="14">
        <v>0.20807538503350501</v>
      </c>
      <c r="AQ461" s="14">
        <v>0.25248937744953398</v>
      </c>
      <c r="AR461" s="14"/>
      <c r="AS461" s="14">
        <v>0.21444073607893299</v>
      </c>
      <c r="AT461" s="14">
        <v>0.22085981499857699</v>
      </c>
      <c r="AU461" s="14">
        <v>0.23474329545209599</v>
      </c>
      <c r="AV461" s="14"/>
      <c r="AW461" s="14">
        <v>0.24360302902971501</v>
      </c>
      <c r="AX461" s="14">
        <v>0.142628929987797</v>
      </c>
      <c r="AY461" s="14"/>
      <c r="AZ461" s="14">
        <v>0.223005417163885</v>
      </c>
      <c r="BA461" s="14">
        <v>0.25212406282377198</v>
      </c>
    </row>
    <row r="462" spans="2:53" x14ac:dyDescent="0.35">
      <c r="B462" t="s">
        <v>79</v>
      </c>
      <c r="C462" s="14">
        <v>4.3263819704541399E-2</v>
      </c>
      <c r="D462" s="14">
        <v>3.2482297769876697E-2</v>
      </c>
      <c r="E462" s="14">
        <v>5.4095907396328503E-2</v>
      </c>
      <c r="F462" s="14"/>
      <c r="G462" s="14">
        <v>0.11326843138774099</v>
      </c>
      <c r="H462" s="14">
        <v>4.57118776535144E-2</v>
      </c>
      <c r="I462" s="14">
        <v>3.5927736787161602E-2</v>
      </c>
      <c r="J462" s="14">
        <v>4.9814777275717502E-2</v>
      </c>
      <c r="K462" s="14">
        <v>5.5703877959692401E-2</v>
      </c>
      <c r="L462" s="14">
        <v>0</v>
      </c>
      <c r="M462" s="14"/>
      <c r="N462" s="14">
        <v>2.46201598682366E-2</v>
      </c>
      <c r="O462" s="14">
        <v>2.8816031767040399E-2</v>
      </c>
      <c r="P462" s="14">
        <v>7.60614993132573E-2</v>
      </c>
      <c r="Q462" s="14">
        <v>5.00554228877561E-2</v>
      </c>
      <c r="R462" s="14"/>
      <c r="S462" s="14">
        <v>2.5717002887761801E-2</v>
      </c>
      <c r="T462" s="14">
        <v>4.1706812669777299E-2</v>
      </c>
      <c r="U462" s="14">
        <v>4.3020414539596097E-2</v>
      </c>
      <c r="V462" s="14">
        <v>5.3647797839693902E-2</v>
      </c>
      <c r="W462" s="14">
        <v>5.0311751183987001E-2</v>
      </c>
      <c r="X462" s="14">
        <v>4.4582737385818701E-2</v>
      </c>
      <c r="Y462" s="14">
        <v>5.3563955454391E-2</v>
      </c>
      <c r="Z462" s="14">
        <v>6.6546790294059396E-2</v>
      </c>
      <c r="AA462" s="14">
        <v>3.5356582412331097E-2</v>
      </c>
      <c r="AB462" s="14"/>
      <c r="AC462" s="14">
        <v>2.96071259755658E-2</v>
      </c>
      <c r="AD462" s="14">
        <v>8.1991425478288402E-2</v>
      </c>
      <c r="AE462" s="14">
        <v>3.2298434746990401E-2</v>
      </c>
      <c r="AF462" s="14">
        <v>1.8868444353503998E-2</v>
      </c>
      <c r="AG462" s="14">
        <v>4.12371804303884E-3</v>
      </c>
      <c r="AH462" s="14"/>
      <c r="AI462" s="14">
        <v>3.6470360079572398E-2</v>
      </c>
      <c r="AJ462" s="14">
        <v>4.0831333918002102E-2</v>
      </c>
      <c r="AK462" s="14">
        <v>3.0415209375043599E-2</v>
      </c>
      <c r="AL462" s="14">
        <v>7.7823075925048599E-2</v>
      </c>
      <c r="AM462" s="14">
        <v>2.23146263522895E-2</v>
      </c>
      <c r="AN462" s="14">
        <v>1.6554177088746898E-2</v>
      </c>
      <c r="AO462" s="14"/>
      <c r="AP462" s="14">
        <v>3.2868230716002998E-2</v>
      </c>
      <c r="AQ462" s="14">
        <v>5.3739623442314102E-2</v>
      </c>
      <c r="AR462" s="14"/>
      <c r="AS462" s="14">
        <v>5.0900152389338003E-2</v>
      </c>
      <c r="AT462" s="14">
        <v>2.3595498086409601E-2</v>
      </c>
      <c r="AU462" s="14">
        <v>4.7024444822860598E-2</v>
      </c>
      <c r="AV462" s="14"/>
      <c r="AW462" s="14">
        <v>4.6951787803917899E-2</v>
      </c>
      <c r="AX462" s="14">
        <v>1.01897717264992E-2</v>
      </c>
      <c r="AY462" s="14"/>
      <c r="AZ462" s="14">
        <v>3.7933977262212197E-2</v>
      </c>
      <c r="BA462" s="14">
        <v>6.4046577025834397E-2</v>
      </c>
    </row>
    <row r="463" spans="2:53" x14ac:dyDescent="0.35">
      <c r="B463" t="s">
        <v>116</v>
      </c>
      <c r="C463" s="14">
        <v>3.2026696868059097E-2</v>
      </c>
      <c r="D463" s="14">
        <v>2.2588577542726501E-2</v>
      </c>
      <c r="E463" s="14">
        <v>4.1503413218589399E-2</v>
      </c>
      <c r="F463" s="14"/>
      <c r="G463" s="14">
        <v>0</v>
      </c>
      <c r="H463" s="14">
        <v>2.4894490794942301E-2</v>
      </c>
      <c r="I463" s="14">
        <v>2.9038739451031501E-2</v>
      </c>
      <c r="J463" s="14">
        <v>4.5153141055814403E-2</v>
      </c>
      <c r="K463" s="14">
        <v>1.7346005670115301E-2</v>
      </c>
      <c r="L463" s="14">
        <v>2.8302046968062999E-2</v>
      </c>
      <c r="M463" s="14"/>
      <c r="N463" s="14">
        <v>1.57334296746338E-2</v>
      </c>
      <c r="O463" s="14">
        <v>3.52406837219413E-2</v>
      </c>
      <c r="P463" s="14">
        <v>2.8462624904891699E-2</v>
      </c>
      <c r="Q463" s="14">
        <v>4.9786422115511E-2</v>
      </c>
      <c r="R463" s="14"/>
      <c r="S463" s="14">
        <v>1.7131300889258499E-2</v>
      </c>
      <c r="T463" s="14">
        <v>2.9968122297461298E-2</v>
      </c>
      <c r="U463" s="14">
        <v>3.33411744915766E-2</v>
      </c>
      <c r="V463" s="14">
        <v>4.6400652487415199E-2</v>
      </c>
      <c r="W463" s="14">
        <v>1.4298997272543299E-2</v>
      </c>
      <c r="X463" s="14">
        <v>5.2787849347498299E-2</v>
      </c>
      <c r="Y463" s="14">
        <v>1.8729959735549601E-2</v>
      </c>
      <c r="Z463" s="14">
        <v>3.5440595121403802E-2</v>
      </c>
      <c r="AA463" s="14">
        <v>4.4931988085416499E-2</v>
      </c>
      <c r="AB463" s="14"/>
      <c r="AC463" s="14">
        <v>4.5502075504084902E-2</v>
      </c>
      <c r="AD463" s="14">
        <v>4.48268629267587E-2</v>
      </c>
      <c r="AE463" s="14">
        <v>1.7799824295406198E-2</v>
      </c>
      <c r="AF463" s="14">
        <v>2.7834655122849598E-3</v>
      </c>
      <c r="AG463" s="14">
        <v>2.7353336779382901E-2</v>
      </c>
      <c r="AH463" s="14"/>
      <c r="AI463" s="14">
        <v>2.8373395440787801E-2</v>
      </c>
      <c r="AJ463" s="14">
        <v>1.34590849917218E-2</v>
      </c>
      <c r="AK463" s="14">
        <v>3.9546938098965798E-2</v>
      </c>
      <c r="AL463" s="14">
        <v>4.1654208892473697E-2</v>
      </c>
      <c r="AM463" s="14">
        <v>6.9400766771222002E-3</v>
      </c>
      <c r="AN463" s="14">
        <v>4.8884490084013403E-2</v>
      </c>
      <c r="AO463" s="14"/>
      <c r="AP463" s="14">
        <v>2.7247965940802199E-2</v>
      </c>
      <c r="AQ463" s="14">
        <v>3.7506653548368497E-2</v>
      </c>
      <c r="AR463" s="14"/>
      <c r="AS463" s="14">
        <v>3.4050082247285902E-2</v>
      </c>
      <c r="AT463" s="14">
        <v>2.8457821539597802E-2</v>
      </c>
      <c r="AU463" s="14">
        <v>3.2537432655302699E-2</v>
      </c>
      <c r="AV463" s="14"/>
      <c r="AW463" s="14">
        <v>3.6001514781619198E-2</v>
      </c>
      <c r="AX463" s="14">
        <v>2.0525868724195098E-3</v>
      </c>
      <c r="AY463" s="14"/>
      <c r="AZ463" s="14">
        <v>2.3056129099535298E-2</v>
      </c>
      <c r="BA463" s="14">
        <v>6.0732762603380099E-2</v>
      </c>
    </row>
    <row r="464" spans="2:53" x14ac:dyDescent="0.35">
      <c r="B464" t="s">
        <v>81</v>
      </c>
      <c r="C464" s="14">
        <v>0.69608148790764601</v>
      </c>
      <c r="D464" s="14">
        <v>0.74855719303329604</v>
      </c>
      <c r="E464" s="14">
        <v>0.64423868449174004</v>
      </c>
      <c r="F464" s="14"/>
      <c r="G464" s="14">
        <v>0.73166146642479601</v>
      </c>
      <c r="H464" s="14">
        <v>0.69681776184483801</v>
      </c>
      <c r="I464" s="14">
        <v>0.73539033202669901</v>
      </c>
      <c r="J464" s="14">
        <v>0.63206806415651795</v>
      </c>
      <c r="K464" s="14">
        <v>0.70386284711409097</v>
      </c>
      <c r="L464" s="14">
        <v>0.76772057077955502</v>
      </c>
      <c r="M464" s="14"/>
      <c r="N464" s="14">
        <v>0.747868010764282</v>
      </c>
      <c r="O464" s="14">
        <v>0.65491224387152902</v>
      </c>
      <c r="P464" s="14">
        <v>0.67345999471013696</v>
      </c>
      <c r="Q464" s="14">
        <v>0.70119123168523001</v>
      </c>
      <c r="R464" s="14"/>
      <c r="S464" s="14">
        <v>0.81154014609223102</v>
      </c>
      <c r="T464" s="14">
        <v>0.71365150180863002</v>
      </c>
      <c r="U464" s="14">
        <v>0.67438750772094802</v>
      </c>
      <c r="V464" s="14">
        <v>0.62585488393549404</v>
      </c>
      <c r="W464" s="14">
        <v>0.64289183511491499</v>
      </c>
      <c r="X464" s="14">
        <v>0.68327698499703104</v>
      </c>
      <c r="Y464" s="14">
        <v>0.63728963537369698</v>
      </c>
      <c r="Z464" s="14">
        <v>0.70405546894176296</v>
      </c>
      <c r="AA464" s="14">
        <v>0.69771599644250504</v>
      </c>
      <c r="AB464" s="14"/>
      <c r="AC464" s="14">
        <v>0.64068636727511796</v>
      </c>
      <c r="AD464" s="14">
        <v>0.62993780483915096</v>
      </c>
      <c r="AE464" s="14">
        <v>0.72903931243680997</v>
      </c>
      <c r="AF464" s="14">
        <v>0.82062439324694003</v>
      </c>
      <c r="AG464" s="14">
        <v>0.87347398214132399</v>
      </c>
      <c r="AH464" s="14"/>
      <c r="AI464" s="14">
        <v>0.73253606228971102</v>
      </c>
      <c r="AJ464" s="14">
        <v>0.73301318948912997</v>
      </c>
      <c r="AK464" s="14">
        <v>0.71207925756433099</v>
      </c>
      <c r="AL464" s="14">
        <v>0.65587889720287995</v>
      </c>
      <c r="AM464" s="14">
        <v>0.75066313534983198</v>
      </c>
      <c r="AN464" s="14">
        <v>0.64903539646819397</v>
      </c>
      <c r="AO464" s="14"/>
      <c r="AP464" s="14">
        <v>0.73180841830969001</v>
      </c>
      <c r="AQ464" s="14">
        <v>0.65626434555978297</v>
      </c>
      <c r="AR464" s="14"/>
      <c r="AS464" s="14">
        <v>0.70060902928444402</v>
      </c>
      <c r="AT464" s="14">
        <v>0.727086865375415</v>
      </c>
      <c r="AU464" s="14">
        <v>0.68569482706974005</v>
      </c>
      <c r="AV464" s="14"/>
      <c r="AW464" s="14">
        <v>0.67344366838474801</v>
      </c>
      <c r="AX464" s="14">
        <v>0.84512871141328405</v>
      </c>
      <c r="AY464" s="14"/>
      <c r="AZ464" s="14">
        <v>0.71600447647436805</v>
      </c>
      <c r="BA464" s="14">
        <v>0.62309659754701296</v>
      </c>
    </row>
    <row r="465" spans="2:53" x14ac:dyDescent="0.35"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</row>
    <row r="466" spans="2:53" x14ac:dyDescent="0.35">
      <c r="B466" s="6" t="s">
        <v>206</v>
      </c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</row>
    <row r="467" spans="2:53" x14ac:dyDescent="0.35">
      <c r="B467" s="24" t="s">
        <v>118</v>
      </c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</row>
    <row r="468" spans="2:53" x14ac:dyDescent="0.35">
      <c r="B468" t="s">
        <v>76</v>
      </c>
      <c r="C468" s="14">
        <v>0.63007000642575395</v>
      </c>
      <c r="D468" s="14">
        <v>0.63429787905432999</v>
      </c>
      <c r="E468" s="14">
        <v>0.62644961518256204</v>
      </c>
      <c r="F468" s="14"/>
      <c r="G468" s="14">
        <v>0.64018894574613605</v>
      </c>
      <c r="H468" s="14">
        <v>0.63448674941087302</v>
      </c>
      <c r="I468" s="14">
        <v>0.60184000009979999</v>
      </c>
      <c r="J468" s="14">
        <v>0.65293856843599096</v>
      </c>
      <c r="K468" s="14">
        <v>0.66240670674888702</v>
      </c>
      <c r="L468" s="14">
        <v>0.74542926328609305</v>
      </c>
      <c r="M468" s="14"/>
      <c r="N468" s="14">
        <v>0.64917114090097205</v>
      </c>
      <c r="O468" s="14">
        <v>0.66050803374799505</v>
      </c>
      <c r="P468" s="14">
        <v>0.61007936432221799</v>
      </c>
      <c r="Q468" s="14">
        <v>0.59466782561014098</v>
      </c>
      <c r="R468" s="14"/>
      <c r="S468" s="14">
        <v>0.70397599625108598</v>
      </c>
      <c r="T468" s="14">
        <v>0.65155959643353001</v>
      </c>
      <c r="U468" s="14">
        <v>0.58134556414550398</v>
      </c>
      <c r="V468" s="14">
        <v>0.58928882853116804</v>
      </c>
      <c r="W468" s="14">
        <v>0.61630487677388601</v>
      </c>
      <c r="X468" s="14">
        <v>0.58630016895167802</v>
      </c>
      <c r="Y468" s="14">
        <v>0.619380521498342</v>
      </c>
      <c r="Z468" s="14">
        <v>0.56878779744877905</v>
      </c>
      <c r="AA468" s="14">
        <v>0.65998920343523104</v>
      </c>
      <c r="AB468" s="14"/>
      <c r="AC468" s="14">
        <v>0.58795339331395802</v>
      </c>
      <c r="AD468" s="14">
        <v>0.57228359196765699</v>
      </c>
      <c r="AE468" s="14">
        <v>0.65653212290900798</v>
      </c>
      <c r="AF468" s="14">
        <v>0.69868702389832305</v>
      </c>
      <c r="AG468" s="14">
        <v>0.76707822846156304</v>
      </c>
      <c r="AH468" s="14"/>
      <c r="AI468" s="14">
        <v>0.65443640918721202</v>
      </c>
      <c r="AJ468" s="14">
        <v>0.649195225586499</v>
      </c>
      <c r="AK468" s="14">
        <v>0.56057697623699398</v>
      </c>
      <c r="AL468" s="14">
        <v>0.60651974962938204</v>
      </c>
      <c r="AM468" s="14">
        <v>0.61083407799279898</v>
      </c>
      <c r="AN468" s="14">
        <v>0.65976039203644399</v>
      </c>
      <c r="AO468" s="14"/>
      <c r="AP468" s="14">
        <v>0.626486972698856</v>
      </c>
      <c r="AQ468" s="14">
        <v>0.63357603226965098</v>
      </c>
      <c r="AR468" s="14"/>
      <c r="AS468" s="14">
        <v>0.63505878097948598</v>
      </c>
      <c r="AT468" s="14">
        <v>0.64029559629607902</v>
      </c>
      <c r="AU468" s="14">
        <v>0.62570369531383896</v>
      </c>
      <c r="AV468" s="14"/>
      <c r="AW468" s="14">
        <v>0.62823340492387203</v>
      </c>
      <c r="AX468" s="14">
        <v>0.731643719597315</v>
      </c>
      <c r="AY468" s="14"/>
      <c r="AZ468" s="14">
        <v>0.63564347043293701</v>
      </c>
      <c r="BA468" s="14">
        <v>0.61491976246720503</v>
      </c>
    </row>
    <row r="469" spans="2:53" x14ac:dyDescent="0.35">
      <c r="B469" t="s">
        <v>77</v>
      </c>
      <c r="C469" s="14">
        <v>0.327650641432784</v>
      </c>
      <c r="D469" s="14">
        <v>0.32055267846452701</v>
      </c>
      <c r="E469" s="14">
        <v>0.33507194193254802</v>
      </c>
      <c r="F469" s="14"/>
      <c r="G469" s="14">
        <v>0.17853146067185099</v>
      </c>
      <c r="H469" s="14">
        <v>0.32506220270979702</v>
      </c>
      <c r="I469" s="14">
        <v>0.345551073970157</v>
      </c>
      <c r="J469" s="14">
        <v>0.312588651381217</v>
      </c>
      <c r="K469" s="14">
        <v>0.31904602009955801</v>
      </c>
      <c r="L469" s="14">
        <v>0.24172901139431799</v>
      </c>
      <c r="M469" s="14"/>
      <c r="N469" s="14">
        <v>0.31888329043944003</v>
      </c>
      <c r="O469" s="14">
        <v>0.310326907833951</v>
      </c>
      <c r="P469" s="14">
        <v>0.33640750011417497</v>
      </c>
      <c r="Q469" s="14">
        <v>0.34766155404773702</v>
      </c>
      <c r="R469" s="14"/>
      <c r="S469" s="14">
        <v>0.26186530001907099</v>
      </c>
      <c r="T469" s="14">
        <v>0.29545040355393598</v>
      </c>
      <c r="U469" s="14">
        <v>0.35743600746536602</v>
      </c>
      <c r="V469" s="14">
        <v>0.36877189282519302</v>
      </c>
      <c r="W469" s="14">
        <v>0.35010579664793401</v>
      </c>
      <c r="X469" s="14">
        <v>0.37501804894672902</v>
      </c>
      <c r="Y469" s="14">
        <v>0.34502031716912301</v>
      </c>
      <c r="Z469" s="14">
        <v>0.38793557512696097</v>
      </c>
      <c r="AA469" s="14">
        <v>0.30167796952897702</v>
      </c>
      <c r="AB469" s="14"/>
      <c r="AC469" s="14">
        <v>0.372274385895004</v>
      </c>
      <c r="AD469" s="14">
        <v>0.38980832690917999</v>
      </c>
      <c r="AE469" s="14">
        <v>0.30346803450082199</v>
      </c>
      <c r="AF469" s="14">
        <v>0.26320325220014101</v>
      </c>
      <c r="AG469" s="14">
        <v>0.20098659964283999</v>
      </c>
      <c r="AH469" s="14"/>
      <c r="AI469" s="14">
        <v>0.31175726656348002</v>
      </c>
      <c r="AJ469" s="14">
        <v>0.31764287181140499</v>
      </c>
      <c r="AK469" s="14">
        <v>0.356237760546606</v>
      </c>
      <c r="AL469" s="14">
        <v>0.33998779535616103</v>
      </c>
      <c r="AM469" s="14">
        <v>0.35848407847514002</v>
      </c>
      <c r="AN469" s="14">
        <v>0.28672017897466401</v>
      </c>
      <c r="AO469" s="14"/>
      <c r="AP469" s="14">
        <v>0.32196687811694602</v>
      </c>
      <c r="AQ469" s="14">
        <v>0.33510161235020097</v>
      </c>
      <c r="AR469" s="14"/>
      <c r="AS469" s="14">
        <v>0.33619720358050298</v>
      </c>
      <c r="AT469" s="14">
        <v>0.29734230212337198</v>
      </c>
      <c r="AU469" s="14">
        <v>0.33431249433138799</v>
      </c>
      <c r="AV469" s="14"/>
      <c r="AW469" s="14">
        <v>0.33853906042915399</v>
      </c>
      <c r="AX469" s="14">
        <v>0.22118285331811199</v>
      </c>
      <c r="AY469" s="14"/>
      <c r="AZ469" s="14">
        <v>0.32203679612237202</v>
      </c>
      <c r="BA469" s="14">
        <v>0.34975347964537401</v>
      </c>
    </row>
    <row r="470" spans="2:53" x14ac:dyDescent="0.35">
      <c r="B470" t="s">
        <v>201</v>
      </c>
      <c r="C470" s="14">
        <v>3.0063481528576401E-2</v>
      </c>
      <c r="D470" s="14">
        <v>3.4735972552561903E-2</v>
      </c>
      <c r="E470" s="14">
        <v>2.5416401380427799E-2</v>
      </c>
      <c r="F470" s="14"/>
      <c r="G470" s="14">
        <v>0</v>
      </c>
      <c r="H470" s="14">
        <v>3.1511649080941902E-2</v>
      </c>
      <c r="I470" s="14">
        <v>3.6039712375616199E-2</v>
      </c>
      <c r="J470" s="14">
        <v>2.8050928134972699E-2</v>
      </c>
      <c r="K470" s="14">
        <v>1.0554267774523E-2</v>
      </c>
      <c r="L470" s="14">
        <v>1.28417253195894E-2</v>
      </c>
      <c r="M470" s="14"/>
      <c r="N470" s="14">
        <v>2.5227218854367201E-2</v>
      </c>
      <c r="O470" s="14">
        <v>2.1501926037077599E-2</v>
      </c>
      <c r="P470" s="14">
        <v>4.0652883271091102E-2</v>
      </c>
      <c r="Q470" s="14">
        <v>3.5214503274700902E-2</v>
      </c>
      <c r="R470" s="14"/>
      <c r="S470" s="14">
        <v>2.9528766668815001E-2</v>
      </c>
      <c r="T470" s="14">
        <v>3.7785353252860802E-2</v>
      </c>
      <c r="U470" s="14">
        <v>3.9456112025773697E-2</v>
      </c>
      <c r="V470" s="14">
        <v>2.4294590661935799E-2</v>
      </c>
      <c r="W470" s="14">
        <v>2.8822994097672399E-2</v>
      </c>
      <c r="X470" s="14">
        <v>2.0099319386802299E-2</v>
      </c>
      <c r="Y470" s="14">
        <v>2.67427953121348E-2</v>
      </c>
      <c r="Z470" s="14">
        <v>4.3276627424259702E-2</v>
      </c>
      <c r="AA470" s="14">
        <v>2.48886854614329E-2</v>
      </c>
      <c r="AB470" s="14"/>
      <c r="AC470" s="14">
        <v>2.57916370707897E-2</v>
      </c>
      <c r="AD470" s="14">
        <v>3.20356818611797E-2</v>
      </c>
      <c r="AE470" s="14">
        <v>2.78033705206343E-2</v>
      </c>
      <c r="AF470" s="14">
        <v>2.6713712826840399E-2</v>
      </c>
      <c r="AG470" s="14">
        <v>3.1935171895597497E-2</v>
      </c>
      <c r="AH470" s="14"/>
      <c r="AI470" s="14">
        <v>2.0069124678390601E-2</v>
      </c>
      <c r="AJ470" s="14">
        <v>2.4004316104010302E-2</v>
      </c>
      <c r="AK470" s="14">
        <v>6.8855370236093297E-2</v>
      </c>
      <c r="AL470" s="14">
        <v>3.9819095947275403E-2</v>
      </c>
      <c r="AM470" s="14">
        <v>3.06818435320616E-2</v>
      </c>
      <c r="AN470" s="14">
        <v>3.4337389746046998E-2</v>
      </c>
      <c r="AO470" s="14"/>
      <c r="AP470" s="14">
        <v>3.66838610334956E-2</v>
      </c>
      <c r="AQ470" s="14">
        <v>2.20447066432309E-2</v>
      </c>
      <c r="AR470" s="14"/>
      <c r="AS470" s="14">
        <v>2.6675370198553799E-2</v>
      </c>
      <c r="AT470" s="14">
        <v>4.5026142772684401E-2</v>
      </c>
      <c r="AU470" s="14">
        <v>2.6550953158910699E-2</v>
      </c>
      <c r="AV470" s="14"/>
      <c r="AW470" s="14">
        <v>2.4675030202836901E-2</v>
      </c>
      <c r="AX470" s="14">
        <v>3.1312456842901501E-2</v>
      </c>
      <c r="AY470" s="14"/>
      <c r="AZ470" s="14">
        <v>3.31113558364486E-2</v>
      </c>
      <c r="BA470" s="14">
        <v>1.7055574103417102E-2</v>
      </c>
    </row>
    <row r="471" spans="2:53" x14ac:dyDescent="0.35">
      <c r="B471" t="s">
        <v>79</v>
      </c>
      <c r="C471" s="14">
        <v>5.8086092148003903E-3</v>
      </c>
      <c r="D471" s="14">
        <v>5.7725563066898296E-3</v>
      </c>
      <c r="E471" s="14">
        <v>4.8808080335545102E-3</v>
      </c>
      <c r="F471" s="14"/>
      <c r="G471" s="14">
        <v>0.18127959358201301</v>
      </c>
      <c r="H471" s="14">
        <v>5.7030807455251097E-3</v>
      </c>
      <c r="I471" s="14">
        <v>5.9447507967535897E-3</v>
      </c>
      <c r="J471" s="14">
        <v>2.1601688115710001E-3</v>
      </c>
      <c r="K471" s="14">
        <v>7.99300537703161E-3</v>
      </c>
      <c r="L471" s="14">
        <v>0</v>
      </c>
      <c r="M471" s="14"/>
      <c r="N471" s="14">
        <v>1.5706028343485401E-3</v>
      </c>
      <c r="O471" s="14">
        <v>3.03034879848873E-3</v>
      </c>
      <c r="P471" s="14">
        <v>9.8953538612947308E-3</v>
      </c>
      <c r="Q471" s="14">
        <v>9.7430893054922408E-3</v>
      </c>
      <c r="R471" s="14"/>
      <c r="S471" s="14">
        <v>9.8178932582646005E-4</v>
      </c>
      <c r="T471" s="14">
        <v>1.52046467596727E-2</v>
      </c>
      <c r="U471" s="14">
        <v>7.3488735309464098E-3</v>
      </c>
      <c r="V471" s="14">
        <v>5.9160240069183103E-3</v>
      </c>
      <c r="W471" s="14">
        <v>4.7663324805076301E-3</v>
      </c>
      <c r="X471" s="14">
        <v>7.8166560070366906E-3</v>
      </c>
      <c r="Y471" s="14">
        <v>6.20268980099359E-3</v>
      </c>
      <c r="Z471" s="14">
        <v>0</v>
      </c>
      <c r="AA471" s="14">
        <v>0</v>
      </c>
      <c r="AB471" s="14"/>
      <c r="AC471" s="14">
        <v>8.7902428209337292E-3</v>
      </c>
      <c r="AD471" s="14">
        <v>0</v>
      </c>
      <c r="AE471" s="14">
        <v>6.8460880340961002E-3</v>
      </c>
      <c r="AF471" s="14">
        <v>1.13960110746956E-2</v>
      </c>
      <c r="AG471" s="14">
        <v>0</v>
      </c>
      <c r="AH471" s="14"/>
      <c r="AI471" s="14">
        <v>9.9416140130489106E-3</v>
      </c>
      <c r="AJ471" s="14">
        <v>9.1575864980859498E-3</v>
      </c>
      <c r="AK471" s="14">
        <v>0</v>
      </c>
      <c r="AL471" s="14">
        <v>1.7277584803571E-3</v>
      </c>
      <c r="AM471" s="14">
        <v>0</v>
      </c>
      <c r="AN471" s="14">
        <v>0</v>
      </c>
      <c r="AO471" s="14"/>
      <c r="AP471" s="14">
        <v>6.9161511886835104E-3</v>
      </c>
      <c r="AQ471" s="14">
        <v>4.5811889985617497E-3</v>
      </c>
      <c r="AR471" s="14"/>
      <c r="AS471" s="14">
        <v>2.0686452414563298E-3</v>
      </c>
      <c r="AT471" s="14">
        <v>1.0702798899353201E-2</v>
      </c>
      <c r="AU471" s="14">
        <v>5.36797547006416E-3</v>
      </c>
      <c r="AV471" s="14"/>
      <c r="AW471" s="14">
        <v>4.8920936708251803E-3</v>
      </c>
      <c r="AX471" s="14">
        <v>8.4655059823586995E-3</v>
      </c>
      <c r="AY471" s="14"/>
      <c r="AZ471" s="14">
        <v>5.9138790627793298E-3</v>
      </c>
      <c r="BA471" s="14">
        <v>5.53822264470417E-3</v>
      </c>
    </row>
    <row r="472" spans="2:53" x14ac:dyDescent="0.35">
      <c r="B472" t="s">
        <v>116</v>
      </c>
      <c r="C472" s="14">
        <v>6.4072613980857103E-3</v>
      </c>
      <c r="D472" s="14">
        <v>4.6409136218915001E-3</v>
      </c>
      <c r="E472" s="14">
        <v>8.1812334709076302E-3</v>
      </c>
      <c r="F472" s="14"/>
      <c r="G472" s="14">
        <v>0</v>
      </c>
      <c r="H472" s="14">
        <v>3.2363180528630999E-3</v>
      </c>
      <c r="I472" s="14">
        <v>1.06244627576735E-2</v>
      </c>
      <c r="J472" s="14">
        <v>4.2616832362478404E-3</v>
      </c>
      <c r="K472" s="14">
        <v>0</v>
      </c>
      <c r="L472" s="14">
        <v>0</v>
      </c>
      <c r="M472" s="14"/>
      <c r="N472" s="14">
        <v>5.1477469708718897E-3</v>
      </c>
      <c r="O472" s="14">
        <v>4.6327835824870201E-3</v>
      </c>
      <c r="P472" s="14">
        <v>2.9648984312212199E-3</v>
      </c>
      <c r="Q472" s="14">
        <v>1.27130277619286E-2</v>
      </c>
      <c r="R472" s="14"/>
      <c r="S472" s="14">
        <v>3.6481477352014501E-3</v>
      </c>
      <c r="T472" s="14">
        <v>0</v>
      </c>
      <c r="U472" s="14">
        <v>1.44134428324105E-2</v>
      </c>
      <c r="V472" s="14">
        <v>1.1728663974784901E-2</v>
      </c>
      <c r="W472" s="14">
        <v>0</v>
      </c>
      <c r="X472" s="14">
        <v>1.0765806707754601E-2</v>
      </c>
      <c r="Y472" s="14">
        <v>2.6536762194060001E-3</v>
      </c>
      <c r="Z472" s="14">
        <v>0</v>
      </c>
      <c r="AA472" s="14">
        <v>1.34441415743588E-2</v>
      </c>
      <c r="AB472" s="14"/>
      <c r="AC472" s="14">
        <v>5.1903408993150902E-3</v>
      </c>
      <c r="AD472" s="14">
        <v>5.8723992619830303E-3</v>
      </c>
      <c r="AE472" s="14">
        <v>5.3503840354397602E-3</v>
      </c>
      <c r="AF472" s="14">
        <v>0</v>
      </c>
      <c r="AG472" s="14">
        <v>0</v>
      </c>
      <c r="AH472" s="14"/>
      <c r="AI472" s="14">
        <v>3.7955855578680601E-3</v>
      </c>
      <c r="AJ472" s="14">
        <v>0</v>
      </c>
      <c r="AK472" s="14">
        <v>1.4329892980306401E-2</v>
      </c>
      <c r="AL472" s="14">
        <v>1.1945600586824E-2</v>
      </c>
      <c r="AM472" s="14">
        <v>0</v>
      </c>
      <c r="AN472" s="14">
        <v>1.9182039242844302E-2</v>
      </c>
      <c r="AO472" s="14"/>
      <c r="AP472" s="14">
        <v>7.9461369620180706E-3</v>
      </c>
      <c r="AQ472" s="14">
        <v>4.69645973835448E-3</v>
      </c>
      <c r="AR472" s="14"/>
      <c r="AS472" s="14">
        <v>0</v>
      </c>
      <c r="AT472" s="14">
        <v>6.6331599085116596E-3</v>
      </c>
      <c r="AU472" s="14">
        <v>8.0648817257983792E-3</v>
      </c>
      <c r="AV472" s="14"/>
      <c r="AW472" s="14">
        <v>3.6604107733122998E-3</v>
      </c>
      <c r="AX472" s="14">
        <v>7.3954642593126998E-3</v>
      </c>
      <c r="AY472" s="14"/>
      <c r="AZ472" s="14">
        <v>3.2944985454639399E-3</v>
      </c>
      <c r="BA472" s="14">
        <v>1.27329611393E-2</v>
      </c>
    </row>
    <row r="473" spans="2:53" x14ac:dyDescent="0.35">
      <c r="B473" t="s">
        <v>81</v>
      </c>
      <c r="C473" s="14">
        <v>0.95772064785853706</v>
      </c>
      <c r="D473" s="14">
        <v>0.95485055751885695</v>
      </c>
      <c r="E473" s="14">
        <v>0.96152155711511</v>
      </c>
      <c r="F473" s="14"/>
      <c r="G473" s="14">
        <v>0.81872040641798705</v>
      </c>
      <c r="H473" s="14">
        <v>0.95954895212067004</v>
      </c>
      <c r="I473" s="14">
        <v>0.94739107406995704</v>
      </c>
      <c r="J473" s="14">
        <v>0.96552721981720802</v>
      </c>
      <c r="K473" s="14">
        <v>0.98145272684844498</v>
      </c>
      <c r="L473" s="14">
        <v>0.98715827468041095</v>
      </c>
      <c r="M473" s="14"/>
      <c r="N473" s="14">
        <v>0.96805443134041202</v>
      </c>
      <c r="O473" s="14">
        <v>0.97083494158194705</v>
      </c>
      <c r="P473" s="14">
        <v>0.94648686443639296</v>
      </c>
      <c r="Q473" s="14">
        <v>0.942329379657878</v>
      </c>
      <c r="R473" s="14"/>
      <c r="S473" s="14">
        <v>0.96584129627015702</v>
      </c>
      <c r="T473" s="14">
        <v>0.94700999998746604</v>
      </c>
      <c r="U473" s="14">
        <v>0.93878157161086895</v>
      </c>
      <c r="V473" s="14">
        <v>0.958060721356361</v>
      </c>
      <c r="W473" s="14">
        <v>0.96641067342181997</v>
      </c>
      <c r="X473" s="14">
        <v>0.96131821789840599</v>
      </c>
      <c r="Y473" s="14">
        <v>0.96440083866746595</v>
      </c>
      <c r="Z473" s="14">
        <v>0.95672337257574003</v>
      </c>
      <c r="AA473" s="14">
        <v>0.96166717296420801</v>
      </c>
      <c r="AB473" s="14"/>
      <c r="AC473" s="14">
        <v>0.96022777920896196</v>
      </c>
      <c r="AD473" s="14">
        <v>0.96209191887683698</v>
      </c>
      <c r="AE473" s="14">
        <v>0.96000015740983002</v>
      </c>
      <c r="AF473" s="14">
        <v>0.961890276098464</v>
      </c>
      <c r="AG473" s="14">
        <v>0.96806482810440198</v>
      </c>
      <c r="AH473" s="14"/>
      <c r="AI473" s="14">
        <v>0.96619367575069204</v>
      </c>
      <c r="AJ473" s="14">
        <v>0.96683809739790405</v>
      </c>
      <c r="AK473" s="14">
        <v>0.91681473678360004</v>
      </c>
      <c r="AL473" s="14">
        <v>0.94650754498554401</v>
      </c>
      <c r="AM473" s="14">
        <v>0.96931815646793895</v>
      </c>
      <c r="AN473" s="14">
        <v>0.94648057101110905</v>
      </c>
      <c r="AO473" s="14"/>
      <c r="AP473" s="14">
        <v>0.94845385081580302</v>
      </c>
      <c r="AQ473" s="14">
        <v>0.96867764461985295</v>
      </c>
      <c r="AR473" s="14"/>
      <c r="AS473" s="14">
        <v>0.97125598455998996</v>
      </c>
      <c r="AT473" s="14">
        <v>0.937637898419451</v>
      </c>
      <c r="AU473" s="14">
        <v>0.96001618964522695</v>
      </c>
      <c r="AV473" s="14"/>
      <c r="AW473" s="14">
        <v>0.96677246535302597</v>
      </c>
      <c r="AX473" s="14">
        <v>0.95282657291542705</v>
      </c>
      <c r="AY473" s="14"/>
      <c r="AZ473" s="14">
        <v>0.95768026655530802</v>
      </c>
      <c r="BA473" s="14">
        <v>0.96467324211257899</v>
      </c>
    </row>
    <row r="474" spans="2:53" x14ac:dyDescent="0.35"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</row>
    <row r="475" spans="2:53" x14ac:dyDescent="0.35">
      <c r="B475" s="6" t="s">
        <v>207</v>
      </c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</row>
    <row r="476" spans="2:53" x14ac:dyDescent="0.35">
      <c r="B476" s="24" t="s">
        <v>118</v>
      </c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</row>
    <row r="477" spans="2:53" x14ac:dyDescent="0.35">
      <c r="B477" t="s">
        <v>76</v>
      </c>
      <c r="C477" s="14">
        <v>0.58530668780682205</v>
      </c>
      <c r="D477" s="14">
        <v>0.64034062945706205</v>
      </c>
      <c r="E477" s="14">
        <v>0.530796204542201</v>
      </c>
      <c r="F477" s="14"/>
      <c r="G477" s="14">
        <v>0.60800877275675103</v>
      </c>
      <c r="H477" s="14">
        <v>0.53848743098441199</v>
      </c>
      <c r="I477" s="14">
        <v>0.57057925630476702</v>
      </c>
      <c r="J477" s="14">
        <v>0.60303351587460197</v>
      </c>
      <c r="K477" s="14">
        <v>0.67021671989209697</v>
      </c>
      <c r="L477" s="14">
        <v>0.59476037844554397</v>
      </c>
      <c r="M477" s="14"/>
      <c r="N477" s="14">
        <v>0.64145421039225603</v>
      </c>
      <c r="O477" s="14">
        <v>0.58895853538961396</v>
      </c>
      <c r="P477" s="14">
        <v>0.53229726795424703</v>
      </c>
      <c r="Q477" s="14">
        <v>0.56625740162053895</v>
      </c>
      <c r="R477" s="14"/>
      <c r="S477" s="14">
        <v>0.67015655643513405</v>
      </c>
      <c r="T477" s="14">
        <v>0.61294785158711496</v>
      </c>
      <c r="U477" s="14">
        <v>0.57178375146930005</v>
      </c>
      <c r="V477" s="14">
        <v>0.52996571314922303</v>
      </c>
      <c r="W477" s="14">
        <v>0.58889050538710797</v>
      </c>
      <c r="X477" s="14">
        <v>0.51200709075823103</v>
      </c>
      <c r="Y477" s="14">
        <v>0.54501459327472701</v>
      </c>
      <c r="Z477" s="14">
        <v>0.57334109429690905</v>
      </c>
      <c r="AA477" s="14">
        <v>0.59400075451966405</v>
      </c>
      <c r="AB477" s="14"/>
      <c r="AC477" s="14">
        <v>0.58979863586471803</v>
      </c>
      <c r="AD477" s="14">
        <v>0.498878185856728</v>
      </c>
      <c r="AE477" s="14">
        <v>0.58540210606537602</v>
      </c>
      <c r="AF477" s="14">
        <v>0.68355452014712603</v>
      </c>
      <c r="AG477" s="14">
        <v>0.73128371860154895</v>
      </c>
      <c r="AH477" s="14"/>
      <c r="AI477" s="14">
        <v>0.60404187092290296</v>
      </c>
      <c r="AJ477" s="14">
        <v>0.62308675160466398</v>
      </c>
      <c r="AK477" s="14">
        <v>0.56069847770520498</v>
      </c>
      <c r="AL477" s="14">
        <v>0.61585668776046398</v>
      </c>
      <c r="AM477" s="14">
        <v>0.54251517406238003</v>
      </c>
      <c r="AN477" s="14">
        <v>0.52361924937563098</v>
      </c>
      <c r="AO477" s="14"/>
      <c r="AP477" s="14">
        <v>0.62177513491728598</v>
      </c>
      <c r="AQ477" s="14">
        <v>0.54549406973834402</v>
      </c>
      <c r="AR477" s="14"/>
      <c r="AS477" s="14">
        <v>0.60337466017131003</v>
      </c>
      <c r="AT477" s="14">
        <v>0.55943240132642502</v>
      </c>
      <c r="AU477" s="14">
        <v>0.58809486906458697</v>
      </c>
      <c r="AV477" s="14"/>
      <c r="AW477" s="14">
        <v>0.57320454520545705</v>
      </c>
      <c r="AX477" s="14">
        <v>0.71879357302222002</v>
      </c>
      <c r="AY477" s="14"/>
      <c r="AZ477" s="14">
        <v>0.62370349877196996</v>
      </c>
      <c r="BA477" s="14">
        <v>0.44682848193202301</v>
      </c>
    </row>
    <row r="478" spans="2:53" x14ac:dyDescent="0.35">
      <c r="B478" t="s">
        <v>77</v>
      </c>
      <c r="C478" s="14">
        <v>0.369315063067014</v>
      </c>
      <c r="D478" s="14">
        <v>0.32499749302758102</v>
      </c>
      <c r="E478" s="14">
        <v>0.41402612553541701</v>
      </c>
      <c r="F478" s="14"/>
      <c r="G478" s="14">
        <v>0.39199122724324897</v>
      </c>
      <c r="H478" s="14">
        <v>0.384848801083989</v>
      </c>
      <c r="I478" s="14">
        <v>0.38691073106447499</v>
      </c>
      <c r="J478" s="14">
        <v>0.35842639983235802</v>
      </c>
      <c r="K478" s="14">
        <v>0.30308256454872301</v>
      </c>
      <c r="L478" s="14">
        <v>0.32019182653299899</v>
      </c>
      <c r="M478" s="14"/>
      <c r="N478" s="14">
        <v>0.32540726319583002</v>
      </c>
      <c r="O478" s="14">
        <v>0.37498102769100999</v>
      </c>
      <c r="P478" s="14">
        <v>0.42088979864701598</v>
      </c>
      <c r="Q478" s="14">
        <v>0.36620381907883798</v>
      </c>
      <c r="R478" s="14"/>
      <c r="S478" s="14">
        <v>0.287795384150901</v>
      </c>
      <c r="T478" s="14">
        <v>0.35268750492231299</v>
      </c>
      <c r="U478" s="14">
        <v>0.38420875115626801</v>
      </c>
      <c r="V478" s="14">
        <v>0.41678631489558299</v>
      </c>
      <c r="W478" s="14">
        <v>0.35445896293779899</v>
      </c>
      <c r="X478" s="14">
        <v>0.44936214316163697</v>
      </c>
      <c r="Y478" s="14">
        <v>0.40697564891247501</v>
      </c>
      <c r="Z478" s="14">
        <v>0.382457439504098</v>
      </c>
      <c r="AA478" s="14">
        <v>0.35275843607151502</v>
      </c>
      <c r="AB478" s="14"/>
      <c r="AC478" s="14">
        <v>0.38802501118257199</v>
      </c>
      <c r="AD478" s="14">
        <v>0.452413042385644</v>
      </c>
      <c r="AE478" s="14">
        <v>0.375394686356264</v>
      </c>
      <c r="AF478" s="14">
        <v>0.26148927161972702</v>
      </c>
      <c r="AG478" s="14">
        <v>0.21258033697377801</v>
      </c>
      <c r="AH478" s="14"/>
      <c r="AI478" s="14">
        <v>0.34117293390212799</v>
      </c>
      <c r="AJ478" s="14">
        <v>0.34354427266242499</v>
      </c>
      <c r="AK478" s="14">
        <v>0.40737744206626902</v>
      </c>
      <c r="AL478" s="14">
        <v>0.36400331691073001</v>
      </c>
      <c r="AM478" s="14">
        <v>0.411387043673001</v>
      </c>
      <c r="AN478" s="14">
        <v>0.38385753525474597</v>
      </c>
      <c r="AO478" s="14"/>
      <c r="AP478" s="14">
        <v>0.33448170568974001</v>
      </c>
      <c r="AQ478" s="14">
        <v>0.40833756807928301</v>
      </c>
      <c r="AR478" s="14"/>
      <c r="AS478" s="14">
        <v>0.366473909799373</v>
      </c>
      <c r="AT478" s="14">
        <v>0.38875791408085603</v>
      </c>
      <c r="AU478" s="14">
        <v>0.36433055855844398</v>
      </c>
      <c r="AV478" s="14"/>
      <c r="AW478" s="14">
        <v>0.38405066797057902</v>
      </c>
      <c r="AX478" s="14">
        <v>0.24902296971410601</v>
      </c>
      <c r="AY478" s="14"/>
      <c r="AZ478" s="14">
        <v>0.33859526541144003</v>
      </c>
      <c r="BA478" s="14">
        <v>0.48590523839705901</v>
      </c>
    </row>
    <row r="479" spans="2:53" x14ac:dyDescent="0.35">
      <c r="B479" t="s">
        <v>201</v>
      </c>
      <c r="C479" s="14">
        <v>3.3978369926528099E-2</v>
      </c>
      <c r="D479" s="14">
        <v>2.5918850918989898E-2</v>
      </c>
      <c r="E479" s="14">
        <v>4.11077613639073E-2</v>
      </c>
      <c r="F479" s="14"/>
      <c r="G479" s="14">
        <v>0</v>
      </c>
      <c r="H479" s="14">
        <v>5.6045706723991597E-2</v>
      </c>
      <c r="I479" s="14">
        <v>3.1942635571034203E-2</v>
      </c>
      <c r="J479" s="14">
        <v>3.0963186821755199E-2</v>
      </c>
      <c r="K479" s="14">
        <v>1.12719997987481E-2</v>
      </c>
      <c r="L479" s="14">
        <v>8.5047795021456707E-2</v>
      </c>
      <c r="M479" s="14"/>
      <c r="N479" s="14">
        <v>2.9799576653926099E-2</v>
      </c>
      <c r="O479" s="14">
        <v>2.92617007871597E-2</v>
      </c>
      <c r="P479" s="14">
        <v>3.1808282303662901E-2</v>
      </c>
      <c r="Q479" s="14">
        <v>4.5694383573273399E-2</v>
      </c>
      <c r="R479" s="14"/>
      <c r="S479" s="14">
        <v>2.2427846679208299E-2</v>
      </c>
      <c r="T479" s="14">
        <v>2.40506580855896E-2</v>
      </c>
      <c r="U479" s="14">
        <v>2.85935020981514E-2</v>
      </c>
      <c r="V479" s="14">
        <v>4.3571404733061501E-2</v>
      </c>
      <c r="W479" s="14">
        <v>5.1884199194584903E-2</v>
      </c>
      <c r="X479" s="14">
        <v>3.3386077969398902E-2</v>
      </c>
      <c r="Y479" s="14">
        <v>4.53560815933918E-2</v>
      </c>
      <c r="Z479" s="14">
        <v>3.3762966176091397E-2</v>
      </c>
      <c r="AA479" s="14">
        <v>3.5779664174134099E-2</v>
      </c>
      <c r="AB479" s="14"/>
      <c r="AC479" s="14">
        <v>2.2176352952710001E-2</v>
      </c>
      <c r="AD479" s="14">
        <v>3.6265994553548099E-2</v>
      </c>
      <c r="AE479" s="14">
        <v>3.5013134475209401E-2</v>
      </c>
      <c r="AF479" s="14">
        <v>3.75601853233134E-2</v>
      </c>
      <c r="AG479" s="14">
        <v>2.7373551331090099E-2</v>
      </c>
      <c r="AH479" s="14"/>
      <c r="AI479" s="14">
        <v>4.4129095037502203E-2</v>
      </c>
      <c r="AJ479" s="14">
        <v>2.18516601060069E-2</v>
      </c>
      <c r="AK479" s="14">
        <v>2.83640792335428E-2</v>
      </c>
      <c r="AL479" s="14">
        <v>1.5939533279882599E-2</v>
      </c>
      <c r="AM479" s="14">
        <v>3.4728645310476799E-2</v>
      </c>
      <c r="AN479" s="14">
        <v>5.9793891989881102E-2</v>
      </c>
      <c r="AO479" s="14"/>
      <c r="AP479" s="14">
        <v>3.4306371879763098E-2</v>
      </c>
      <c r="AQ479" s="14">
        <v>3.2522990519567703E-2</v>
      </c>
      <c r="AR479" s="14"/>
      <c r="AS479" s="14">
        <v>1.8123061338294399E-2</v>
      </c>
      <c r="AT479" s="14">
        <v>4.4144628679558699E-2</v>
      </c>
      <c r="AU479" s="14">
        <v>3.5239472256531498E-2</v>
      </c>
      <c r="AV479" s="14"/>
      <c r="AW479" s="14">
        <v>3.6814040116304202E-2</v>
      </c>
      <c r="AX479" s="14">
        <v>2.2195276272729901E-2</v>
      </c>
      <c r="AY479" s="14"/>
      <c r="AZ479" s="14">
        <v>3.0635270474161799E-2</v>
      </c>
      <c r="BA479" s="14">
        <v>4.48824836394318E-2</v>
      </c>
    </row>
    <row r="480" spans="2:53" x14ac:dyDescent="0.35">
      <c r="B480" t="s">
        <v>79</v>
      </c>
      <c r="C480" s="14">
        <v>6.6309789119566899E-3</v>
      </c>
      <c r="D480" s="14">
        <v>5.4394069397342504E-3</v>
      </c>
      <c r="E480" s="14">
        <v>7.8299324898925098E-3</v>
      </c>
      <c r="F480" s="14"/>
      <c r="G480" s="14">
        <v>0</v>
      </c>
      <c r="H480" s="14">
        <v>1.3893021893176901E-2</v>
      </c>
      <c r="I480" s="14">
        <v>3.4304561526469499E-3</v>
      </c>
      <c r="J480" s="14">
        <v>5.4288551856310398E-3</v>
      </c>
      <c r="K480" s="14">
        <v>1.5428715760431901E-2</v>
      </c>
      <c r="L480" s="14">
        <v>0</v>
      </c>
      <c r="M480" s="14"/>
      <c r="N480" s="14">
        <v>1.1635899063968599E-3</v>
      </c>
      <c r="O480" s="14">
        <v>4.3023637327421404E-3</v>
      </c>
      <c r="P480" s="14">
        <v>1.5004651095074E-2</v>
      </c>
      <c r="Q480" s="14">
        <v>7.66435721136066E-3</v>
      </c>
      <c r="R480" s="14"/>
      <c r="S480" s="14">
        <v>1.5972064999556199E-2</v>
      </c>
      <c r="T480" s="14">
        <v>8.3135933762856998E-3</v>
      </c>
      <c r="U480" s="14">
        <v>7.3488735309464098E-3</v>
      </c>
      <c r="V480" s="14">
        <v>9.67656722213215E-3</v>
      </c>
      <c r="W480" s="14">
        <v>4.7663324805076301E-3</v>
      </c>
      <c r="X480" s="14">
        <v>0</v>
      </c>
      <c r="Y480" s="14">
        <v>0</v>
      </c>
      <c r="Z480" s="14">
        <v>1.0438500022901399E-2</v>
      </c>
      <c r="AA480" s="14">
        <v>0</v>
      </c>
      <c r="AB480" s="14"/>
      <c r="AC480" s="14">
        <v>0</v>
      </c>
      <c r="AD480" s="14">
        <v>9.5643618703827107E-3</v>
      </c>
      <c r="AE480" s="14">
        <v>3.27345860362027E-3</v>
      </c>
      <c r="AF480" s="14">
        <v>1.5264882247064101E-2</v>
      </c>
      <c r="AG480" s="14">
        <v>2.8762393093582E-2</v>
      </c>
      <c r="AH480" s="14"/>
      <c r="AI480" s="14">
        <v>8.2380569460351796E-3</v>
      </c>
      <c r="AJ480" s="14">
        <v>1.1517315626904501E-2</v>
      </c>
      <c r="AK480" s="14">
        <v>0</v>
      </c>
      <c r="AL480" s="14">
        <v>0</v>
      </c>
      <c r="AM480" s="14">
        <v>1.1369136954142199E-2</v>
      </c>
      <c r="AN480" s="14">
        <v>0</v>
      </c>
      <c r="AO480" s="14"/>
      <c r="AP480" s="14">
        <v>3.67505177867888E-3</v>
      </c>
      <c r="AQ480" s="14">
        <v>9.9781814032115102E-3</v>
      </c>
      <c r="AR480" s="14"/>
      <c r="AS480" s="14">
        <v>6.1855251483836004E-3</v>
      </c>
      <c r="AT480" s="14">
        <v>4.41374612652355E-3</v>
      </c>
      <c r="AU480" s="14">
        <v>7.4064911646029704E-3</v>
      </c>
      <c r="AV480" s="14"/>
      <c r="AW480" s="14">
        <v>4.0754150651136096E-3</v>
      </c>
      <c r="AX480" s="14">
        <v>6.4528810584859398E-3</v>
      </c>
      <c r="AY480" s="14"/>
      <c r="AZ480" s="14">
        <v>4.2159132210502302E-3</v>
      </c>
      <c r="BA480" s="14">
        <v>1.5775334016864699E-2</v>
      </c>
    </row>
    <row r="481" spans="2:53" x14ac:dyDescent="0.35">
      <c r="B481" t="s">
        <v>116</v>
      </c>
      <c r="C481" s="14">
        <v>4.7689002876785402E-3</v>
      </c>
      <c r="D481" s="14">
        <v>3.3036196566333998E-3</v>
      </c>
      <c r="E481" s="14">
        <v>6.2399760685818897E-3</v>
      </c>
      <c r="F481" s="14"/>
      <c r="G481" s="14">
        <v>0</v>
      </c>
      <c r="H481" s="14">
        <v>6.7250393144308203E-3</v>
      </c>
      <c r="I481" s="14">
        <v>7.1369209070775404E-3</v>
      </c>
      <c r="J481" s="14">
        <v>2.1480422856535301E-3</v>
      </c>
      <c r="K481" s="14">
        <v>0</v>
      </c>
      <c r="L481" s="14">
        <v>0</v>
      </c>
      <c r="M481" s="14"/>
      <c r="N481" s="14">
        <v>2.1753598515911301E-3</v>
      </c>
      <c r="O481" s="14">
        <v>2.4963723994747698E-3</v>
      </c>
      <c r="P481" s="14">
        <v>0</v>
      </c>
      <c r="Q481" s="14">
        <v>1.41800385159881E-2</v>
      </c>
      <c r="R481" s="14"/>
      <c r="S481" s="14">
        <v>3.6481477352014501E-3</v>
      </c>
      <c r="T481" s="14">
        <v>2.00039202869659E-3</v>
      </c>
      <c r="U481" s="14">
        <v>8.0651217453341292E-3</v>
      </c>
      <c r="V481" s="14">
        <v>0</v>
      </c>
      <c r="W481" s="14">
        <v>0</v>
      </c>
      <c r="X481" s="14">
        <v>5.2446881107329297E-3</v>
      </c>
      <c r="Y481" s="14">
        <v>2.6536762194060001E-3</v>
      </c>
      <c r="Z481" s="14">
        <v>0</v>
      </c>
      <c r="AA481" s="14">
        <v>1.7461145234686799E-2</v>
      </c>
      <c r="AB481" s="14"/>
      <c r="AC481" s="14">
        <v>0</v>
      </c>
      <c r="AD481" s="14">
        <v>2.8784153336974998E-3</v>
      </c>
      <c r="AE481" s="14">
        <v>9.1661449953013801E-4</v>
      </c>
      <c r="AF481" s="14">
        <v>2.1311406627689401E-3</v>
      </c>
      <c r="AG481" s="14">
        <v>0</v>
      </c>
      <c r="AH481" s="14"/>
      <c r="AI481" s="14">
        <v>2.41804319143198E-3</v>
      </c>
      <c r="AJ481" s="14">
        <v>0</v>
      </c>
      <c r="AK481" s="14">
        <v>3.5600009949834101E-3</v>
      </c>
      <c r="AL481" s="14">
        <v>4.2004620489242304E-3</v>
      </c>
      <c r="AM481" s="14">
        <v>0</v>
      </c>
      <c r="AN481" s="14">
        <v>3.2729323379742201E-2</v>
      </c>
      <c r="AO481" s="14"/>
      <c r="AP481" s="14">
        <v>5.7617357345318204E-3</v>
      </c>
      <c r="AQ481" s="14">
        <v>3.6671902595942101E-3</v>
      </c>
      <c r="AR481" s="14"/>
      <c r="AS481" s="14">
        <v>5.8428435426398596E-3</v>
      </c>
      <c r="AT481" s="14">
        <v>3.2513097866373698E-3</v>
      </c>
      <c r="AU481" s="14">
        <v>4.9286089558350501E-3</v>
      </c>
      <c r="AV481" s="14"/>
      <c r="AW481" s="14">
        <v>1.85533164254674E-3</v>
      </c>
      <c r="AX481" s="14">
        <v>3.53529993245738E-3</v>
      </c>
      <c r="AY481" s="14"/>
      <c r="AZ481" s="14">
        <v>2.8500521213779802E-3</v>
      </c>
      <c r="BA481" s="14">
        <v>6.6084620146217498E-3</v>
      </c>
    </row>
    <row r="482" spans="2:53" x14ac:dyDescent="0.35">
      <c r="B482" t="s">
        <v>81</v>
      </c>
      <c r="C482" s="14">
        <v>0.95462175087383705</v>
      </c>
      <c r="D482" s="14">
        <v>0.96533812248464201</v>
      </c>
      <c r="E482" s="14">
        <v>0.94482233007761796</v>
      </c>
      <c r="F482" s="14"/>
      <c r="G482" s="14">
        <v>1</v>
      </c>
      <c r="H482" s="14">
        <v>0.92333623206840099</v>
      </c>
      <c r="I482" s="14">
        <v>0.95748998736924096</v>
      </c>
      <c r="J482" s="14">
        <v>0.96145991570695999</v>
      </c>
      <c r="K482" s="14">
        <v>0.97329928444082003</v>
      </c>
      <c r="L482" s="14">
        <v>0.91495220497854302</v>
      </c>
      <c r="M482" s="14"/>
      <c r="N482" s="14">
        <v>0.96686147358808605</v>
      </c>
      <c r="O482" s="14">
        <v>0.96393956308062301</v>
      </c>
      <c r="P482" s="14">
        <v>0.95318706660126296</v>
      </c>
      <c r="Q482" s="14">
        <v>0.93246122069937798</v>
      </c>
      <c r="R482" s="14"/>
      <c r="S482" s="14">
        <v>0.95795194058603395</v>
      </c>
      <c r="T482" s="14">
        <v>0.965635356509428</v>
      </c>
      <c r="U482" s="14">
        <v>0.95599250262556801</v>
      </c>
      <c r="V482" s="14">
        <v>0.94675202804480596</v>
      </c>
      <c r="W482" s="14">
        <v>0.94334946832490796</v>
      </c>
      <c r="X482" s="14">
        <v>0.96136923391986795</v>
      </c>
      <c r="Y482" s="14">
        <v>0.95199024218720196</v>
      </c>
      <c r="Z482" s="14">
        <v>0.95579853380100699</v>
      </c>
      <c r="AA482" s="14">
        <v>0.94675919059117897</v>
      </c>
      <c r="AB482" s="14"/>
      <c r="AC482" s="14">
        <v>0.97782364704728997</v>
      </c>
      <c r="AD482" s="14">
        <v>0.951291228242372</v>
      </c>
      <c r="AE482" s="14">
        <v>0.96079679242163996</v>
      </c>
      <c r="AF482" s="14">
        <v>0.94504379176685405</v>
      </c>
      <c r="AG482" s="14">
        <v>0.94386405557532804</v>
      </c>
      <c r="AH482" s="14"/>
      <c r="AI482" s="14">
        <v>0.94521480482503095</v>
      </c>
      <c r="AJ482" s="14">
        <v>0.96663102426708902</v>
      </c>
      <c r="AK482" s="14">
        <v>0.968075919771474</v>
      </c>
      <c r="AL482" s="14">
        <v>0.97986000467119305</v>
      </c>
      <c r="AM482" s="14">
        <v>0.95390221773538098</v>
      </c>
      <c r="AN482" s="14">
        <v>0.90747678463037695</v>
      </c>
      <c r="AO482" s="14"/>
      <c r="AP482" s="14">
        <v>0.95625684060702598</v>
      </c>
      <c r="AQ482" s="14">
        <v>0.95383163781762703</v>
      </c>
      <c r="AR482" s="14"/>
      <c r="AS482" s="14">
        <v>0.96984856997068203</v>
      </c>
      <c r="AT482" s="14">
        <v>0.94819031540728005</v>
      </c>
      <c r="AU482" s="14">
        <v>0.95242542762302995</v>
      </c>
      <c r="AV482" s="14"/>
      <c r="AW482" s="14">
        <v>0.95725521317603501</v>
      </c>
      <c r="AX482" s="14">
        <v>0.967816542736327</v>
      </c>
      <c r="AY482" s="14"/>
      <c r="AZ482" s="14">
        <v>0.96229876418340998</v>
      </c>
      <c r="BA482" s="14">
        <v>0.93273372032908197</v>
      </c>
    </row>
    <row r="483" spans="2:53" x14ac:dyDescent="0.35"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</row>
    <row r="484" spans="2:53" x14ac:dyDescent="0.35">
      <c r="B484" s="6" t="s">
        <v>211</v>
      </c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</row>
    <row r="485" spans="2:53" x14ac:dyDescent="0.35">
      <c r="B485" s="24" t="s">
        <v>118</v>
      </c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</row>
    <row r="486" spans="2:53" x14ac:dyDescent="0.35">
      <c r="B486" t="s">
        <v>208</v>
      </c>
      <c r="C486" s="14">
        <v>9.2631623839504601E-2</v>
      </c>
      <c r="D486" s="14">
        <v>8.9344052834760199E-2</v>
      </c>
      <c r="E486" s="14">
        <v>9.6011631269595804E-2</v>
      </c>
      <c r="F486" s="14"/>
      <c r="G486" s="14">
        <v>0</v>
      </c>
      <c r="H486" s="14">
        <v>0.14582585335797199</v>
      </c>
      <c r="I486" s="14">
        <v>0.10336286512948099</v>
      </c>
      <c r="J486" s="14">
        <v>7.7764070467681606E-2</v>
      </c>
      <c r="K486" s="14">
        <v>2.4743828115729598E-2</v>
      </c>
      <c r="L486" s="14">
        <v>0</v>
      </c>
      <c r="M486" s="14"/>
      <c r="N486" s="14">
        <v>8.9306690835478098E-2</v>
      </c>
      <c r="O486" s="14">
        <v>6.1389826193036297E-2</v>
      </c>
      <c r="P486" s="14">
        <v>0.11210576616700001</v>
      </c>
      <c r="Q486" s="14">
        <v>0.112625852814301</v>
      </c>
      <c r="R486" s="14"/>
      <c r="S486" s="14">
        <v>0.141520027854699</v>
      </c>
      <c r="T486" s="14">
        <v>5.9621002916347199E-2</v>
      </c>
      <c r="U486" s="14">
        <v>4.2005225174876801E-2</v>
      </c>
      <c r="V486" s="14">
        <v>8.5419357249467004E-2</v>
      </c>
      <c r="W486" s="14">
        <v>0.11660390502423799</v>
      </c>
      <c r="X486" s="14">
        <v>0.116982644257569</v>
      </c>
      <c r="Y486" s="14">
        <v>0.106543615617418</v>
      </c>
      <c r="Z486" s="14">
        <v>6.00274649594515E-2</v>
      </c>
      <c r="AA486" s="14">
        <v>8.4650922811851104E-2</v>
      </c>
      <c r="AB486" s="14"/>
      <c r="AC486" s="14">
        <v>9.42394694647819E-2</v>
      </c>
      <c r="AD486" s="14">
        <v>8.8529816910356607E-2</v>
      </c>
      <c r="AE486" s="14">
        <v>7.3532005301221698E-2</v>
      </c>
      <c r="AF486" s="14">
        <v>0.13534679782824099</v>
      </c>
      <c r="AG486" s="14">
        <v>0.165253040982836</v>
      </c>
      <c r="AH486" s="14"/>
      <c r="AI486" s="14">
        <v>8.9123537983541695E-2</v>
      </c>
      <c r="AJ486" s="14">
        <v>0.12296974898159301</v>
      </c>
      <c r="AK486" s="14">
        <v>0.100571139524853</v>
      </c>
      <c r="AL486" s="14">
        <v>5.5064090381952598E-2</v>
      </c>
      <c r="AM486" s="14">
        <v>0.131189031126342</v>
      </c>
      <c r="AN486" s="14">
        <v>7.4334656850329694E-2</v>
      </c>
      <c r="AO486" s="14"/>
      <c r="AP486" s="14">
        <v>8.97484719372071E-2</v>
      </c>
      <c r="AQ486" s="14">
        <v>9.6174103693652493E-2</v>
      </c>
      <c r="AR486" s="14"/>
      <c r="AS486" s="14">
        <v>8.9132832692690595E-2</v>
      </c>
      <c r="AT486" s="14">
        <v>7.4943432334055093E-2</v>
      </c>
      <c r="AU486" s="14">
        <v>9.8803584024283103E-2</v>
      </c>
      <c r="AV486" s="14"/>
      <c r="AW486" s="14">
        <v>7.8202117366666005E-2</v>
      </c>
      <c r="AX486" s="14">
        <v>0.155027786089103</v>
      </c>
      <c r="AY486" s="14"/>
      <c r="AZ486" s="14">
        <v>9.6459710495403098E-2</v>
      </c>
      <c r="BA486" s="14">
        <v>8.0305636079041703E-2</v>
      </c>
    </row>
    <row r="487" spans="2:53" x14ac:dyDescent="0.35">
      <c r="B487" t="s">
        <v>209</v>
      </c>
      <c r="C487" s="14">
        <v>0.71020914133770396</v>
      </c>
      <c r="D487" s="14">
        <v>0.72723889962869703</v>
      </c>
      <c r="E487" s="14">
        <v>0.69288480970049404</v>
      </c>
      <c r="F487" s="14"/>
      <c r="G487" s="14">
        <v>0.84423256471254104</v>
      </c>
      <c r="H487" s="14">
        <v>0.65950619739502703</v>
      </c>
      <c r="I487" s="14">
        <v>0.68842400524760905</v>
      </c>
      <c r="J487" s="14">
        <v>0.74079631586584704</v>
      </c>
      <c r="K487" s="14">
        <v>0.77389619635973905</v>
      </c>
      <c r="L487" s="14">
        <v>0.79544405186756095</v>
      </c>
      <c r="M487" s="14"/>
      <c r="N487" s="14">
        <v>0.72469582392532395</v>
      </c>
      <c r="O487" s="14">
        <v>0.74724726116691498</v>
      </c>
      <c r="P487" s="14">
        <v>0.69116063924369298</v>
      </c>
      <c r="Q487" s="14">
        <v>0.67102767758621196</v>
      </c>
      <c r="R487" s="14"/>
      <c r="S487" s="14">
        <v>0.658774959889176</v>
      </c>
      <c r="T487" s="14">
        <v>0.74430020311488398</v>
      </c>
      <c r="U487" s="14">
        <v>0.70313811964937201</v>
      </c>
      <c r="V487" s="14">
        <v>0.76273245489388997</v>
      </c>
      <c r="W487" s="14">
        <v>0.662651046789132</v>
      </c>
      <c r="X487" s="14">
        <v>0.71660696506375099</v>
      </c>
      <c r="Y487" s="14">
        <v>0.69520144691248498</v>
      </c>
      <c r="Z487" s="14">
        <v>0.79865380110184503</v>
      </c>
      <c r="AA487" s="14">
        <v>0.69817483046183804</v>
      </c>
      <c r="AB487" s="14"/>
      <c r="AC487" s="14">
        <v>0.71993331797663296</v>
      </c>
      <c r="AD487" s="14">
        <v>0.73288345379217701</v>
      </c>
      <c r="AE487" s="14">
        <v>0.73298552772481895</v>
      </c>
      <c r="AF487" s="14">
        <v>0.66675954989939901</v>
      </c>
      <c r="AG487" s="14">
        <v>0.55055645588320401</v>
      </c>
      <c r="AH487" s="14"/>
      <c r="AI487" s="14">
        <v>0.71644379909731404</v>
      </c>
      <c r="AJ487" s="14">
        <v>0.70140715443070001</v>
      </c>
      <c r="AK487" s="14">
        <v>0.69216963196302805</v>
      </c>
      <c r="AL487" s="14">
        <v>0.73412702769239102</v>
      </c>
      <c r="AM487" s="14">
        <v>0.71817112318266196</v>
      </c>
      <c r="AN487" s="14">
        <v>0.678401802894673</v>
      </c>
      <c r="AO487" s="14"/>
      <c r="AP487" s="14">
        <v>0.71477431913242595</v>
      </c>
      <c r="AQ487" s="14">
        <v>0.70533458451689901</v>
      </c>
      <c r="AR487" s="14"/>
      <c r="AS487" s="14">
        <v>0.71939305159518796</v>
      </c>
      <c r="AT487" s="14">
        <v>0.73369561990997301</v>
      </c>
      <c r="AU487" s="14">
        <v>0.70079259167399899</v>
      </c>
      <c r="AV487" s="14"/>
      <c r="AW487" s="14">
        <v>0.73141025227748702</v>
      </c>
      <c r="AX487" s="14">
        <v>0.67238037833501896</v>
      </c>
      <c r="AY487" s="14"/>
      <c r="AZ487" s="14">
        <v>0.71430779864676897</v>
      </c>
      <c r="BA487" s="14">
        <v>0.69652469469678002</v>
      </c>
    </row>
    <row r="488" spans="2:53" x14ac:dyDescent="0.35">
      <c r="B488" t="s">
        <v>210</v>
      </c>
      <c r="C488" s="14">
        <v>0.150888405919267</v>
      </c>
      <c r="D488" s="14">
        <v>0.15114275539882299</v>
      </c>
      <c r="E488" s="14">
        <v>0.15078014155247799</v>
      </c>
      <c r="F488" s="14"/>
      <c r="G488" s="14">
        <v>0.15576743528745901</v>
      </c>
      <c r="H488" s="14">
        <v>0.156238215431456</v>
      </c>
      <c r="I488" s="14">
        <v>0.16338367257237599</v>
      </c>
      <c r="J488" s="14">
        <v>0.13138936210849</v>
      </c>
      <c r="K488" s="14">
        <v>0.14777531295902399</v>
      </c>
      <c r="L488" s="14">
        <v>0.142630366225346</v>
      </c>
      <c r="M488" s="14"/>
      <c r="N488" s="14">
        <v>0.16247445045019701</v>
      </c>
      <c r="O488" s="14">
        <v>0.15084407527445901</v>
      </c>
      <c r="P488" s="14">
        <v>0.155913007681451</v>
      </c>
      <c r="Q488" s="14">
        <v>0.13420831282686799</v>
      </c>
      <c r="R488" s="14"/>
      <c r="S488" s="14">
        <v>0.15246853837830401</v>
      </c>
      <c r="T488" s="14">
        <v>0.16500029688832099</v>
      </c>
      <c r="U488" s="14">
        <v>0.162119421793745</v>
      </c>
      <c r="V488" s="14">
        <v>0.103463349191043</v>
      </c>
      <c r="W488" s="14">
        <v>0.182119801914499</v>
      </c>
      <c r="X488" s="14">
        <v>0.123621469302356</v>
      </c>
      <c r="Y488" s="14">
        <v>0.157467720243051</v>
      </c>
      <c r="Z488" s="14">
        <v>0.1064334533597</v>
      </c>
      <c r="AA488" s="14">
        <v>0.17445935733315701</v>
      </c>
      <c r="AB488" s="14"/>
      <c r="AC488" s="14">
        <v>0.11410095429244201</v>
      </c>
      <c r="AD488" s="14">
        <v>0.143554896485523</v>
      </c>
      <c r="AE488" s="14">
        <v>0.15355320370696399</v>
      </c>
      <c r="AF488" s="14">
        <v>0.18324291292897199</v>
      </c>
      <c r="AG488" s="14">
        <v>0.226092407509531</v>
      </c>
      <c r="AH488" s="14"/>
      <c r="AI488" s="14">
        <v>0.15795624666146699</v>
      </c>
      <c r="AJ488" s="14">
        <v>0.155630928010528</v>
      </c>
      <c r="AK488" s="14">
        <v>0.167686769558993</v>
      </c>
      <c r="AL488" s="14">
        <v>0.167140029013885</v>
      </c>
      <c r="AM488" s="14">
        <v>7.02269109235205E-2</v>
      </c>
      <c r="AN488" s="14">
        <v>0.12458346738670099</v>
      </c>
      <c r="AO488" s="14"/>
      <c r="AP488" s="14">
        <v>0.1567551331706</v>
      </c>
      <c r="AQ488" s="14">
        <v>0.14477379288099701</v>
      </c>
      <c r="AR488" s="14"/>
      <c r="AS488" s="14">
        <v>0.15386636255404201</v>
      </c>
      <c r="AT488" s="14">
        <v>0.16102668671734699</v>
      </c>
      <c r="AU488" s="14">
        <v>0.14708909289213801</v>
      </c>
      <c r="AV488" s="14"/>
      <c r="AW488" s="14">
        <v>0.154446531235891</v>
      </c>
      <c r="AX488" s="14">
        <v>0.15472747054229899</v>
      </c>
      <c r="AY488" s="14"/>
      <c r="AZ488" s="14">
        <v>0.15636036741717799</v>
      </c>
      <c r="BA488" s="14">
        <v>0.133657851064371</v>
      </c>
    </row>
    <row r="489" spans="2:53" x14ac:dyDescent="0.35">
      <c r="B489" t="s">
        <v>116</v>
      </c>
      <c r="C489" s="14">
        <v>4.6270828903524498E-2</v>
      </c>
      <c r="D489" s="14">
        <v>3.2274292137719603E-2</v>
      </c>
      <c r="E489" s="14">
        <v>6.0323417477432202E-2</v>
      </c>
      <c r="F489" s="14"/>
      <c r="G489" s="14">
        <v>0</v>
      </c>
      <c r="H489" s="14">
        <v>3.8429733815544397E-2</v>
      </c>
      <c r="I489" s="14">
        <v>4.4829457050533601E-2</v>
      </c>
      <c r="J489" s="14">
        <v>5.0050251557982102E-2</v>
      </c>
      <c r="K489" s="14">
        <v>5.3584662565507202E-2</v>
      </c>
      <c r="L489" s="14">
        <v>6.19255819070932E-2</v>
      </c>
      <c r="M489" s="14"/>
      <c r="N489" s="14">
        <v>2.35230347890008E-2</v>
      </c>
      <c r="O489" s="14">
        <v>4.0518837365589699E-2</v>
      </c>
      <c r="P489" s="14">
        <v>4.0820586907855699E-2</v>
      </c>
      <c r="Q489" s="14">
        <v>8.2138156772618806E-2</v>
      </c>
      <c r="R489" s="14"/>
      <c r="S489" s="14">
        <v>4.7236473877820699E-2</v>
      </c>
      <c r="T489" s="14">
        <v>3.1078497080447701E-2</v>
      </c>
      <c r="U489" s="14">
        <v>9.2737233382006498E-2</v>
      </c>
      <c r="V489" s="14">
        <v>4.8384838665600102E-2</v>
      </c>
      <c r="W489" s="14">
        <v>3.8625246272130702E-2</v>
      </c>
      <c r="X489" s="14">
        <v>4.2788921376322897E-2</v>
      </c>
      <c r="Y489" s="14">
        <v>4.0787217227044897E-2</v>
      </c>
      <c r="Z489" s="14">
        <v>3.4885280579004398E-2</v>
      </c>
      <c r="AA489" s="14">
        <v>4.2714889393153398E-2</v>
      </c>
      <c r="AB489" s="14"/>
      <c r="AC489" s="14">
        <v>7.1726258266143303E-2</v>
      </c>
      <c r="AD489" s="14">
        <v>3.5031832811943303E-2</v>
      </c>
      <c r="AE489" s="14">
        <v>3.9929263266995703E-2</v>
      </c>
      <c r="AF489" s="14">
        <v>1.46507393433881E-2</v>
      </c>
      <c r="AG489" s="14">
        <v>5.8098095624428699E-2</v>
      </c>
      <c r="AH489" s="14"/>
      <c r="AI489" s="14">
        <v>3.6476416257676898E-2</v>
      </c>
      <c r="AJ489" s="14">
        <v>1.9992168577179101E-2</v>
      </c>
      <c r="AK489" s="14">
        <v>3.9572458953126603E-2</v>
      </c>
      <c r="AL489" s="14">
        <v>4.3668852911771402E-2</v>
      </c>
      <c r="AM489" s="14">
        <v>8.04129347674752E-2</v>
      </c>
      <c r="AN489" s="14">
        <v>0.122680072868297</v>
      </c>
      <c r="AO489" s="14"/>
      <c r="AP489" s="14">
        <v>3.8722075759767001E-2</v>
      </c>
      <c r="AQ489" s="14">
        <v>5.3717518908451202E-2</v>
      </c>
      <c r="AR489" s="14"/>
      <c r="AS489" s="14">
        <v>3.7607753158079203E-2</v>
      </c>
      <c r="AT489" s="14">
        <v>3.0334261038624102E-2</v>
      </c>
      <c r="AU489" s="14">
        <v>5.3314731409580103E-2</v>
      </c>
      <c r="AV489" s="14"/>
      <c r="AW489" s="14">
        <v>3.5941099119955702E-2</v>
      </c>
      <c r="AX489" s="14">
        <v>1.7864365033579101E-2</v>
      </c>
      <c r="AY489" s="14"/>
      <c r="AZ489" s="14">
        <v>3.28721234406502E-2</v>
      </c>
      <c r="BA489" s="14">
        <v>8.9511818159807105E-2</v>
      </c>
    </row>
    <row r="490" spans="2:53" x14ac:dyDescent="0.35"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</row>
    <row r="491" spans="2:53" x14ac:dyDescent="0.35">
      <c r="B491" s="6" t="s">
        <v>212</v>
      </c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</row>
    <row r="492" spans="2:53" x14ac:dyDescent="0.35">
      <c r="B492" s="24" t="s">
        <v>213</v>
      </c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</row>
    <row r="493" spans="2:53" x14ac:dyDescent="0.35">
      <c r="B493" t="s">
        <v>154</v>
      </c>
      <c r="C493" s="14">
        <v>0.83515549233645103</v>
      </c>
      <c r="D493" s="14">
        <v>0.80565576445848197</v>
      </c>
      <c r="E493" s="14">
        <v>0.87279277559146096</v>
      </c>
      <c r="F493" s="14"/>
      <c r="G493" s="14">
        <v>1</v>
      </c>
      <c r="H493" s="14">
        <v>0.83509629703825605</v>
      </c>
      <c r="I493" s="14">
        <v>0.85368582231649004</v>
      </c>
      <c r="J493" s="14">
        <v>0.69440730374877402</v>
      </c>
      <c r="K493" s="14">
        <v>1</v>
      </c>
      <c r="L493" s="14" t="s">
        <v>88</v>
      </c>
      <c r="M493" s="14"/>
      <c r="N493" s="14">
        <v>0.89810333758861505</v>
      </c>
      <c r="O493" s="14">
        <v>0.82685040877285598</v>
      </c>
      <c r="P493" s="14">
        <v>0.87203286213083497</v>
      </c>
      <c r="Q493" s="14">
        <v>0.73703438225499696</v>
      </c>
      <c r="R493" s="14"/>
      <c r="S493" s="14">
        <v>0.83278828865367704</v>
      </c>
      <c r="T493" s="14">
        <v>0.92038841713536201</v>
      </c>
      <c r="U493" s="14">
        <v>0.82816823602033396</v>
      </c>
      <c r="V493" s="14">
        <v>0.80243795578728006</v>
      </c>
      <c r="W493" s="14">
        <v>0.87556572082079898</v>
      </c>
      <c r="X493" s="14">
        <v>0.95082040637119303</v>
      </c>
      <c r="Y493" s="14">
        <v>0.73653583821322599</v>
      </c>
      <c r="Z493" s="14">
        <v>0.74191896964588</v>
      </c>
      <c r="AA493" s="14">
        <v>0.78642646965297403</v>
      </c>
      <c r="AB493" s="14"/>
      <c r="AC493" s="14">
        <v>0.80248761666004897</v>
      </c>
      <c r="AD493" s="14">
        <v>0.82143160171433705</v>
      </c>
      <c r="AE493" s="14">
        <v>0.85616169757639504</v>
      </c>
      <c r="AF493" s="14">
        <v>0.85394593588693302</v>
      </c>
      <c r="AG493" s="14">
        <v>0.987876341294458</v>
      </c>
      <c r="AH493" s="14"/>
      <c r="AI493" s="14">
        <v>0.82521883350777903</v>
      </c>
      <c r="AJ493" s="14">
        <v>0.82619739070799503</v>
      </c>
      <c r="AK493" s="14">
        <v>0.937841410173059</v>
      </c>
      <c r="AL493" s="14">
        <v>0.86475645397988798</v>
      </c>
      <c r="AM493" s="14">
        <v>0.89690661225659296</v>
      </c>
      <c r="AN493" s="14">
        <v>0.68519878640292198</v>
      </c>
      <c r="AO493" s="14"/>
      <c r="AP493" s="14">
        <v>0.83660508828504099</v>
      </c>
      <c r="AQ493" s="14">
        <v>0.83387098117870595</v>
      </c>
      <c r="AR493" s="14"/>
      <c r="AS493" s="14">
        <v>0.83515549233645103</v>
      </c>
      <c r="AT493" s="14" t="s">
        <v>88</v>
      </c>
      <c r="AU493" s="14" t="s">
        <v>88</v>
      </c>
      <c r="AV493" s="14"/>
      <c r="AW493" s="14">
        <v>0.83523279629050595</v>
      </c>
      <c r="AX493" s="14">
        <v>0.89021131095622896</v>
      </c>
      <c r="AY493" s="14"/>
      <c r="AZ493" s="14">
        <v>0.82376109183055402</v>
      </c>
      <c r="BA493" s="14">
        <v>0.88349468653691199</v>
      </c>
    </row>
    <row r="494" spans="2:53" x14ac:dyDescent="0.35">
      <c r="B494" t="s">
        <v>155</v>
      </c>
      <c r="C494" s="14">
        <v>0.117323801211778</v>
      </c>
      <c r="D494" s="14">
        <v>0.15630703575884999</v>
      </c>
      <c r="E494" s="14">
        <v>6.7586968149651802E-2</v>
      </c>
      <c r="F494" s="14"/>
      <c r="G494" s="14">
        <v>0</v>
      </c>
      <c r="H494" s="14">
        <v>0.139877386292517</v>
      </c>
      <c r="I494" s="14">
        <v>0.102827920580032</v>
      </c>
      <c r="J494" s="14">
        <v>0.17612769698459799</v>
      </c>
      <c r="K494" s="14">
        <v>0</v>
      </c>
      <c r="L494" s="14" t="s">
        <v>88</v>
      </c>
      <c r="M494" s="14"/>
      <c r="N494" s="14">
        <v>7.0967070299734397E-2</v>
      </c>
      <c r="O494" s="14">
        <v>0.14597311245413999</v>
      </c>
      <c r="P494" s="14">
        <v>0.127967137869165</v>
      </c>
      <c r="Q494" s="14">
        <v>0.13262192633973599</v>
      </c>
      <c r="R494" s="14"/>
      <c r="S494" s="14">
        <v>8.6065379566990702E-2</v>
      </c>
      <c r="T494" s="14">
        <v>5.9557299765082998E-2</v>
      </c>
      <c r="U494" s="14">
        <v>0.13422987896566899</v>
      </c>
      <c r="V494" s="14">
        <v>0.18260465841735099</v>
      </c>
      <c r="W494" s="14">
        <v>0.124434279179201</v>
      </c>
      <c r="X494" s="14">
        <v>6.9484425203394902E-3</v>
      </c>
      <c r="Y494" s="14">
        <v>0.18600068667490599</v>
      </c>
      <c r="Z494" s="14">
        <v>0.19417940595135399</v>
      </c>
      <c r="AA494" s="14">
        <v>0.13505995099739701</v>
      </c>
      <c r="AB494" s="14"/>
      <c r="AC494" s="14">
        <v>0.156679621505875</v>
      </c>
      <c r="AD494" s="14">
        <v>0.10776515039974099</v>
      </c>
      <c r="AE494" s="14">
        <v>9.6747414353616501E-2</v>
      </c>
      <c r="AF494" s="14">
        <v>0.10967047350690701</v>
      </c>
      <c r="AG494" s="14">
        <v>1.21236587055419E-2</v>
      </c>
      <c r="AH494" s="14"/>
      <c r="AI494" s="14">
        <v>0.130221123171645</v>
      </c>
      <c r="AJ494" s="14">
        <v>0.14579529636111499</v>
      </c>
      <c r="AK494" s="14">
        <v>0</v>
      </c>
      <c r="AL494" s="14">
        <v>0.13524354602011199</v>
      </c>
      <c r="AM494" s="14">
        <v>0</v>
      </c>
      <c r="AN494" s="14">
        <v>0.27421097604194</v>
      </c>
      <c r="AO494" s="14"/>
      <c r="AP494" s="14">
        <v>0.11234597651355401</v>
      </c>
      <c r="AQ494" s="14">
        <v>0.12173473473596801</v>
      </c>
      <c r="AR494" s="14"/>
      <c r="AS494" s="14">
        <v>0.117323801211778</v>
      </c>
      <c r="AT494" s="14" t="s">
        <v>88</v>
      </c>
      <c r="AU494" s="14" t="s">
        <v>88</v>
      </c>
      <c r="AV494" s="14"/>
      <c r="AW494" s="14">
        <v>0.11281241500554801</v>
      </c>
      <c r="AX494" s="14">
        <v>0.109788689043771</v>
      </c>
      <c r="AY494" s="14"/>
      <c r="AZ494" s="14">
        <v>0.138440559328804</v>
      </c>
      <c r="BA494" s="14">
        <v>2.3776490422006299E-2</v>
      </c>
    </row>
    <row r="495" spans="2:53" x14ac:dyDescent="0.35">
      <c r="B495" t="s">
        <v>116</v>
      </c>
      <c r="C495" s="14">
        <v>4.7520706451771297E-2</v>
      </c>
      <c r="D495" s="14">
        <v>3.8037199782667598E-2</v>
      </c>
      <c r="E495" s="14">
        <v>5.9620256258886797E-2</v>
      </c>
      <c r="F495" s="14"/>
      <c r="G495" s="14">
        <v>0</v>
      </c>
      <c r="H495" s="14">
        <v>2.5026316669226799E-2</v>
      </c>
      <c r="I495" s="14">
        <v>4.3486257103477401E-2</v>
      </c>
      <c r="J495" s="14">
        <v>0.12946499926662799</v>
      </c>
      <c r="K495" s="14">
        <v>0</v>
      </c>
      <c r="L495" s="14" t="s">
        <v>88</v>
      </c>
      <c r="M495" s="14"/>
      <c r="N495" s="14">
        <v>3.0929592111650198E-2</v>
      </c>
      <c r="O495" s="14">
        <v>2.7176478773003599E-2</v>
      </c>
      <c r="P495" s="14">
        <v>0</v>
      </c>
      <c r="Q495" s="14">
        <v>0.130343691405267</v>
      </c>
      <c r="R495" s="14"/>
      <c r="S495" s="14">
        <v>8.1146331779332101E-2</v>
      </c>
      <c r="T495" s="14">
        <v>2.00542830995547E-2</v>
      </c>
      <c r="U495" s="14">
        <v>3.7601885013996701E-2</v>
      </c>
      <c r="V495" s="14">
        <v>1.4957385795369E-2</v>
      </c>
      <c r="W495" s="14">
        <v>0</v>
      </c>
      <c r="X495" s="14">
        <v>4.22311511084675E-2</v>
      </c>
      <c r="Y495" s="14">
        <v>7.74634751118677E-2</v>
      </c>
      <c r="Z495" s="14">
        <v>6.3901624402766394E-2</v>
      </c>
      <c r="AA495" s="14">
        <v>7.8513579349629006E-2</v>
      </c>
      <c r="AB495" s="14"/>
      <c r="AC495" s="14">
        <v>4.0832761834076803E-2</v>
      </c>
      <c r="AD495" s="14">
        <v>7.08032478859216E-2</v>
      </c>
      <c r="AE495" s="14">
        <v>4.7090888069988603E-2</v>
      </c>
      <c r="AF495" s="14">
        <v>3.6383590606160199E-2</v>
      </c>
      <c r="AG495" s="14">
        <v>0</v>
      </c>
      <c r="AH495" s="14"/>
      <c r="AI495" s="14">
        <v>4.45600433205754E-2</v>
      </c>
      <c r="AJ495" s="14">
        <v>2.8007312930889702E-2</v>
      </c>
      <c r="AK495" s="14">
        <v>6.2158589826940502E-2</v>
      </c>
      <c r="AL495" s="14">
        <v>0</v>
      </c>
      <c r="AM495" s="14">
        <v>0.103093387743407</v>
      </c>
      <c r="AN495" s="14">
        <v>4.0590237555138201E-2</v>
      </c>
      <c r="AO495" s="14"/>
      <c r="AP495" s="14">
        <v>5.1048935201405597E-2</v>
      </c>
      <c r="AQ495" s="14">
        <v>4.4394284085325801E-2</v>
      </c>
      <c r="AR495" s="14"/>
      <c r="AS495" s="14">
        <v>4.7520706451771297E-2</v>
      </c>
      <c r="AT495" s="14" t="s">
        <v>88</v>
      </c>
      <c r="AU495" s="14" t="s">
        <v>88</v>
      </c>
      <c r="AV495" s="14"/>
      <c r="AW495" s="14">
        <v>5.1954788703945799E-2</v>
      </c>
      <c r="AX495" s="14">
        <v>0</v>
      </c>
      <c r="AY495" s="14"/>
      <c r="AZ495" s="14">
        <v>3.7798348840642301E-2</v>
      </c>
      <c r="BA495" s="14">
        <v>9.2728823041081598E-2</v>
      </c>
    </row>
    <row r="496" spans="2:53" x14ac:dyDescent="0.35"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</row>
    <row r="497" spans="2:53" x14ac:dyDescent="0.35">
      <c r="B497" s="6" t="s">
        <v>218</v>
      </c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</row>
    <row r="498" spans="2:53" x14ac:dyDescent="0.35">
      <c r="B498" s="24" t="s">
        <v>219</v>
      </c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</row>
    <row r="499" spans="2:53" x14ac:dyDescent="0.35">
      <c r="B499" t="s">
        <v>214</v>
      </c>
      <c r="C499" s="14">
        <v>0.30380471728360797</v>
      </c>
      <c r="D499" s="14">
        <v>0.30699404491339599</v>
      </c>
      <c r="E499" s="14">
        <v>0.30004861189660198</v>
      </c>
      <c r="F499" s="14"/>
      <c r="G499" s="14">
        <v>0.59602279582360496</v>
      </c>
      <c r="H499" s="14">
        <v>0.26213677992628698</v>
      </c>
      <c r="I499" s="14">
        <v>0.31528915431672</v>
      </c>
      <c r="J499" s="14">
        <v>0.26081051372036801</v>
      </c>
      <c r="K499" s="14">
        <v>0.392756601541286</v>
      </c>
      <c r="L499" s="14" t="s">
        <v>88</v>
      </c>
      <c r="M499" s="14"/>
      <c r="N499" s="14">
        <v>0.26410022827359098</v>
      </c>
      <c r="O499" s="14">
        <v>0.247932311431173</v>
      </c>
      <c r="P499" s="14">
        <v>0.29742849317098102</v>
      </c>
      <c r="Q499" s="14">
        <v>0.43856601736780698</v>
      </c>
      <c r="R499" s="14"/>
      <c r="S499" s="14">
        <v>0.38353768146088502</v>
      </c>
      <c r="T499" s="14">
        <v>0.24797857580416999</v>
      </c>
      <c r="U499" s="14">
        <v>0.32048565614458102</v>
      </c>
      <c r="V499" s="14">
        <v>0.25090948553894199</v>
      </c>
      <c r="W499" s="14">
        <v>0.388150132967233</v>
      </c>
      <c r="X499" s="14">
        <v>0.27712299044198202</v>
      </c>
      <c r="Y499" s="14">
        <v>0.37110419211675599</v>
      </c>
      <c r="Z499" s="14">
        <v>0.24296626548738501</v>
      </c>
      <c r="AA499" s="14">
        <v>0.25088022408146998</v>
      </c>
      <c r="AB499" s="14"/>
      <c r="AC499" s="14">
        <v>0.42124811069175799</v>
      </c>
      <c r="AD499" s="14">
        <v>0.25771807868303398</v>
      </c>
      <c r="AE499" s="14">
        <v>0.28084223300780597</v>
      </c>
      <c r="AF499" s="14">
        <v>0.33269272553788498</v>
      </c>
      <c r="AG499" s="14">
        <v>0.194786542671538</v>
      </c>
      <c r="AH499" s="14"/>
      <c r="AI499" s="14">
        <v>0.368193968163681</v>
      </c>
      <c r="AJ499" s="14">
        <v>0.27131298522768499</v>
      </c>
      <c r="AK499" s="14">
        <v>0.28281513627164101</v>
      </c>
      <c r="AL499" s="14">
        <v>0.14485757746278599</v>
      </c>
      <c r="AM499" s="14">
        <v>0.33569816006272002</v>
      </c>
      <c r="AN499" s="14">
        <v>0.38258604246262801</v>
      </c>
      <c r="AO499" s="14"/>
      <c r="AP499" s="14">
        <v>0.33387487195527499</v>
      </c>
      <c r="AQ499" s="14">
        <v>0.27707168532542797</v>
      </c>
      <c r="AR499" s="14"/>
      <c r="AS499" s="14">
        <v>0.30380471728360797</v>
      </c>
      <c r="AT499" s="14" t="s">
        <v>88</v>
      </c>
      <c r="AU499" s="14" t="s">
        <v>88</v>
      </c>
      <c r="AV499" s="14"/>
      <c r="AW499" s="14">
        <v>0.28186768514607802</v>
      </c>
      <c r="AX499" s="14">
        <v>0.37468578952305598</v>
      </c>
      <c r="AY499" s="14"/>
      <c r="AZ499" s="14">
        <v>0.31355340920921998</v>
      </c>
      <c r="BA499" s="14">
        <v>0.26971514530652502</v>
      </c>
    </row>
    <row r="500" spans="2:53" x14ac:dyDescent="0.35">
      <c r="B500" t="s">
        <v>215</v>
      </c>
      <c r="C500" s="14">
        <v>0.486037736430248</v>
      </c>
      <c r="D500" s="14">
        <v>0.49798241500990398</v>
      </c>
      <c r="E500" s="14">
        <v>0.471970360240965</v>
      </c>
      <c r="F500" s="14"/>
      <c r="G500" s="14">
        <v>0.21031812152537299</v>
      </c>
      <c r="H500" s="14">
        <v>0.51352043797078395</v>
      </c>
      <c r="I500" s="14">
        <v>0.47601366268546602</v>
      </c>
      <c r="J500" s="14">
        <v>0.54793912895885899</v>
      </c>
      <c r="K500" s="14">
        <v>0.41282063203062302</v>
      </c>
      <c r="L500" s="14" t="s">
        <v>88</v>
      </c>
      <c r="M500" s="14"/>
      <c r="N500" s="14">
        <v>0.56566850995486995</v>
      </c>
      <c r="O500" s="14">
        <v>0.53859462015617099</v>
      </c>
      <c r="P500" s="14">
        <v>0.33021615923358</v>
      </c>
      <c r="Q500" s="14">
        <v>0.45829814489827603</v>
      </c>
      <c r="R500" s="14"/>
      <c r="S500" s="14">
        <v>0.51884735143638905</v>
      </c>
      <c r="T500" s="14">
        <v>0.46110177719381801</v>
      </c>
      <c r="U500" s="14">
        <v>0.31423425535053201</v>
      </c>
      <c r="V500" s="14">
        <v>0.47120896113388799</v>
      </c>
      <c r="W500" s="14">
        <v>0.57536023180448903</v>
      </c>
      <c r="X500" s="14">
        <v>0.40990543421238101</v>
      </c>
      <c r="Y500" s="14">
        <v>0.55522687273925897</v>
      </c>
      <c r="Z500" s="14">
        <v>0.67090356756479697</v>
      </c>
      <c r="AA500" s="14">
        <v>0.55829215564371903</v>
      </c>
      <c r="AB500" s="14"/>
      <c r="AC500" s="14">
        <v>0.31028240089896802</v>
      </c>
      <c r="AD500" s="14">
        <v>0.44947082339359701</v>
      </c>
      <c r="AE500" s="14">
        <v>0.50852744329113897</v>
      </c>
      <c r="AF500" s="14">
        <v>0.52728313898691004</v>
      </c>
      <c r="AG500" s="14">
        <v>0.58511826091653996</v>
      </c>
      <c r="AH500" s="14"/>
      <c r="AI500" s="14">
        <v>0.53147820259426504</v>
      </c>
      <c r="AJ500" s="14">
        <v>0.54271599891702205</v>
      </c>
      <c r="AK500" s="14">
        <v>0.37504274322129699</v>
      </c>
      <c r="AL500" s="14">
        <v>0.616265104735915</v>
      </c>
      <c r="AM500" s="14">
        <v>0.36253615643571002</v>
      </c>
      <c r="AN500" s="14">
        <v>0.37096640572853301</v>
      </c>
      <c r="AO500" s="14"/>
      <c r="AP500" s="14">
        <v>0.46856206123669297</v>
      </c>
      <c r="AQ500" s="14">
        <v>0.50157399783432499</v>
      </c>
      <c r="AR500" s="14"/>
      <c r="AS500" s="14">
        <v>0.486037736430248</v>
      </c>
      <c r="AT500" s="14" t="s">
        <v>88</v>
      </c>
      <c r="AU500" s="14" t="s">
        <v>88</v>
      </c>
      <c r="AV500" s="14"/>
      <c r="AW500" s="14">
        <v>0.49978082401013602</v>
      </c>
      <c r="AX500" s="14">
        <v>0.45197927219255801</v>
      </c>
      <c r="AY500" s="14"/>
      <c r="AZ500" s="14">
        <v>0.49382681108647603</v>
      </c>
      <c r="BA500" s="14">
        <v>0.46459931120028602</v>
      </c>
    </row>
    <row r="501" spans="2:53" x14ac:dyDescent="0.35">
      <c r="B501" t="s">
        <v>216</v>
      </c>
      <c r="C501" s="14">
        <v>7.4995230588268194E-2</v>
      </c>
      <c r="D501" s="14">
        <v>8.8870546412656404E-2</v>
      </c>
      <c r="E501" s="14">
        <v>5.86541221904908E-2</v>
      </c>
      <c r="F501" s="14"/>
      <c r="G501" s="14">
        <v>0</v>
      </c>
      <c r="H501" s="14">
        <v>9.2906534416020994E-2</v>
      </c>
      <c r="I501" s="14">
        <v>8.7849248089402796E-2</v>
      </c>
      <c r="J501" s="14">
        <v>9.3288183133523796E-3</v>
      </c>
      <c r="K501" s="14">
        <v>0</v>
      </c>
      <c r="L501" s="14" t="s">
        <v>88</v>
      </c>
      <c r="M501" s="14"/>
      <c r="N501" s="14">
        <v>6.0082923885032502E-2</v>
      </c>
      <c r="O501" s="14">
        <v>7.4589766226857104E-2</v>
      </c>
      <c r="P501" s="14">
        <v>0.17273606729868901</v>
      </c>
      <c r="Q501" s="14">
        <v>0</v>
      </c>
      <c r="R501" s="14"/>
      <c r="S501" s="14">
        <v>6.1888502930607603E-2</v>
      </c>
      <c r="T501" s="14">
        <v>0.20617726083353999</v>
      </c>
      <c r="U501" s="14">
        <v>4.7796767596030298E-2</v>
      </c>
      <c r="V501" s="14">
        <v>8.9227430956993994E-2</v>
      </c>
      <c r="W501" s="14">
        <v>0</v>
      </c>
      <c r="X501" s="14">
        <v>3.1182493863612E-2</v>
      </c>
      <c r="Y501" s="14">
        <v>4.0529733668521903E-2</v>
      </c>
      <c r="Z501" s="14">
        <v>0</v>
      </c>
      <c r="AA501" s="14">
        <v>9.9019572464367298E-3</v>
      </c>
      <c r="AB501" s="14"/>
      <c r="AC501" s="14">
        <v>6.3637461769660106E-2</v>
      </c>
      <c r="AD501" s="14">
        <v>0.121854681556329</v>
      </c>
      <c r="AE501" s="14">
        <v>7.6702228703584896E-2</v>
      </c>
      <c r="AF501" s="14">
        <v>6.5485042463356694E-2</v>
      </c>
      <c r="AG501" s="14">
        <v>6.4062425520610894E-2</v>
      </c>
      <c r="AH501" s="14"/>
      <c r="AI501" s="14">
        <v>2.26878121340288E-2</v>
      </c>
      <c r="AJ501" s="14">
        <v>0.112916136067857</v>
      </c>
      <c r="AK501" s="14">
        <v>0.100805295349813</v>
      </c>
      <c r="AL501" s="14">
        <v>3.6921936211926298E-2</v>
      </c>
      <c r="AM501" s="14">
        <v>0.18243341600799101</v>
      </c>
      <c r="AN501" s="14">
        <v>0.13631057464437299</v>
      </c>
      <c r="AO501" s="14"/>
      <c r="AP501" s="14">
        <v>6.8387952435080598E-2</v>
      </c>
      <c r="AQ501" s="14">
        <v>8.0869246866347805E-2</v>
      </c>
      <c r="AR501" s="14"/>
      <c r="AS501" s="14">
        <v>7.4995230588268194E-2</v>
      </c>
      <c r="AT501" s="14" t="s">
        <v>88</v>
      </c>
      <c r="AU501" s="14" t="s">
        <v>88</v>
      </c>
      <c r="AV501" s="14"/>
      <c r="AW501" s="14">
        <v>7.3394831212737599E-2</v>
      </c>
      <c r="AX501" s="14">
        <v>7.6387969039437495E-2</v>
      </c>
      <c r="AY501" s="14"/>
      <c r="AZ501" s="14">
        <v>6.6113240413039301E-2</v>
      </c>
      <c r="BA501" s="14">
        <v>9.0605108771199205E-2</v>
      </c>
    </row>
    <row r="502" spans="2:53" x14ac:dyDescent="0.35">
      <c r="B502" t="s">
        <v>217</v>
      </c>
      <c r="C502" s="14">
        <v>4.25360872917558E-2</v>
      </c>
      <c r="D502" s="14">
        <v>3.0916079589449599E-2</v>
      </c>
      <c r="E502" s="14">
        <v>5.6221095103443898E-2</v>
      </c>
      <c r="F502" s="14"/>
      <c r="G502" s="14">
        <v>0.193659082651022</v>
      </c>
      <c r="H502" s="14">
        <v>6.9782692663023893E-2</v>
      </c>
      <c r="I502" s="14">
        <v>2.8915672795489501E-2</v>
      </c>
      <c r="J502" s="14">
        <v>3.0193435394126299E-2</v>
      </c>
      <c r="K502" s="14">
        <v>0</v>
      </c>
      <c r="L502" s="14" t="s">
        <v>88</v>
      </c>
      <c r="M502" s="14"/>
      <c r="N502" s="14">
        <v>6.5847069872197904E-3</v>
      </c>
      <c r="O502" s="14">
        <v>7.5323978992960394E-2</v>
      </c>
      <c r="P502" s="14">
        <v>5.8518130192232801E-2</v>
      </c>
      <c r="Q502" s="14">
        <v>3.8720388938011198E-2</v>
      </c>
      <c r="R502" s="14"/>
      <c r="S502" s="14">
        <v>2.0784614379439698E-2</v>
      </c>
      <c r="T502" s="14">
        <v>4.74095571286847E-2</v>
      </c>
      <c r="U502" s="14">
        <v>0.136965006497063</v>
      </c>
      <c r="V502" s="14">
        <v>2.4928946325703E-2</v>
      </c>
      <c r="W502" s="14">
        <v>0</v>
      </c>
      <c r="X502" s="14">
        <v>4.5205436651441597E-2</v>
      </c>
      <c r="Y502" s="14">
        <v>0</v>
      </c>
      <c r="Z502" s="14">
        <v>0</v>
      </c>
      <c r="AA502" s="14">
        <v>5.7226033922398598E-2</v>
      </c>
      <c r="AB502" s="14"/>
      <c r="AC502" s="14">
        <v>0.156376517138024</v>
      </c>
      <c r="AD502" s="14">
        <v>1.4973324102973799E-2</v>
      </c>
      <c r="AE502" s="14">
        <v>3.3785826978804202E-2</v>
      </c>
      <c r="AF502" s="14">
        <v>3.5045055906869897E-2</v>
      </c>
      <c r="AG502" s="14">
        <v>7.4589319216648395E-2</v>
      </c>
      <c r="AH502" s="14"/>
      <c r="AI502" s="14">
        <v>1.47166597565285E-2</v>
      </c>
      <c r="AJ502" s="14">
        <v>3.0243918651741E-2</v>
      </c>
      <c r="AK502" s="14">
        <v>0.12723079345232599</v>
      </c>
      <c r="AL502" s="14">
        <v>0.100507479754611</v>
      </c>
      <c r="AM502" s="14">
        <v>0</v>
      </c>
      <c r="AN502" s="14">
        <v>5.1339718960362803E-2</v>
      </c>
      <c r="AO502" s="14"/>
      <c r="AP502" s="14">
        <v>5.0943972475355398E-2</v>
      </c>
      <c r="AQ502" s="14">
        <v>3.5061291575934003E-2</v>
      </c>
      <c r="AR502" s="14"/>
      <c r="AS502" s="14">
        <v>4.25360872917558E-2</v>
      </c>
      <c r="AT502" s="14" t="s">
        <v>88</v>
      </c>
      <c r="AU502" s="14" t="s">
        <v>88</v>
      </c>
      <c r="AV502" s="14"/>
      <c r="AW502" s="14">
        <v>3.7939675418627403E-2</v>
      </c>
      <c r="AX502" s="14">
        <v>4.1469420097952403E-2</v>
      </c>
      <c r="AY502" s="14"/>
      <c r="AZ502" s="14">
        <v>4.13004642383158E-2</v>
      </c>
      <c r="BA502" s="14">
        <v>4.8788371116681703E-2</v>
      </c>
    </row>
    <row r="503" spans="2:53" x14ac:dyDescent="0.35">
      <c r="B503" t="s">
        <v>116</v>
      </c>
      <c r="C503" s="14">
        <v>4.63185313692525E-2</v>
      </c>
      <c r="D503" s="14">
        <v>4.1158406056035997E-2</v>
      </c>
      <c r="E503" s="14">
        <v>5.2395666344528198E-2</v>
      </c>
      <c r="F503" s="14"/>
      <c r="G503" s="14">
        <v>0</v>
      </c>
      <c r="H503" s="14">
        <v>2.2968731064511399E-2</v>
      </c>
      <c r="I503" s="14">
        <v>4.6395150993706898E-2</v>
      </c>
      <c r="J503" s="14">
        <v>9.6088187772997199E-2</v>
      </c>
      <c r="K503" s="14">
        <v>9.0134761123424098E-2</v>
      </c>
      <c r="L503" s="14" t="s">
        <v>88</v>
      </c>
      <c r="M503" s="14"/>
      <c r="N503" s="14">
        <v>4.6560691212626598E-2</v>
      </c>
      <c r="O503" s="14">
        <v>0</v>
      </c>
      <c r="P503" s="14">
        <v>0.106862255003532</v>
      </c>
      <c r="Q503" s="14">
        <v>4.3402681584471102E-2</v>
      </c>
      <c r="R503" s="14"/>
      <c r="S503" s="14">
        <v>0</v>
      </c>
      <c r="T503" s="14">
        <v>1.1712203067393999E-2</v>
      </c>
      <c r="U503" s="14">
        <v>0.144779607841175</v>
      </c>
      <c r="V503" s="14">
        <v>7.9919776769474898E-2</v>
      </c>
      <c r="W503" s="14">
        <v>0</v>
      </c>
      <c r="X503" s="14">
        <v>0.135573705814761</v>
      </c>
      <c r="Y503" s="14">
        <v>0</v>
      </c>
      <c r="Z503" s="14">
        <v>0</v>
      </c>
      <c r="AA503" s="14">
        <v>5.65716379371402E-2</v>
      </c>
      <c r="AB503" s="14"/>
      <c r="AC503" s="14">
        <v>4.8455509501590603E-2</v>
      </c>
      <c r="AD503" s="14">
        <v>6.6838036616043706E-2</v>
      </c>
      <c r="AE503" s="14">
        <v>5.9001565157643703E-2</v>
      </c>
      <c r="AF503" s="14">
        <v>7.0813049075594001E-3</v>
      </c>
      <c r="AG503" s="14">
        <v>8.1443451674662395E-2</v>
      </c>
      <c r="AH503" s="14"/>
      <c r="AI503" s="14">
        <v>1.0720510397196899E-2</v>
      </c>
      <c r="AJ503" s="14">
        <v>0</v>
      </c>
      <c r="AK503" s="14">
        <v>4.79454742956636E-2</v>
      </c>
      <c r="AL503" s="14">
        <v>5.4928513799269399E-2</v>
      </c>
      <c r="AM503" s="14">
        <v>0.11933226749358</v>
      </c>
      <c r="AN503" s="14">
        <v>3.1682861719722198E-2</v>
      </c>
      <c r="AO503" s="14"/>
      <c r="AP503" s="14">
        <v>4.3042021810123003E-2</v>
      </c>
      <c r="AQ503" s="14">
        <v>4.9231420767790302E-2</v>
      </c>
      <c r="AR503" s="14"/>
      <c r="AS503" s="14">
        <v>4.63185313692525E-2</v>
      </c>
      <c r="AT503" s="14" t="s">
        <v>88</v>
      </c>
      <c r="AU503" s="14" t="s">
        <v>88</v>
      </c>
      <c r="AV503" s="14"/>
      <c r="AW503" s="14">
        <v>6.1701385335229501E-2</v>
      </c>
      <c r="AX503" s="14">
        <v>0</v>
      </c>
      <c r="AY503" s="14"/>
      <c r="AZ503" s="14">
        <v>3.3238712324951999E-2</v>
      </c>
      <c r="BA503" s="14">
        <v>0.10287523922929601</v>
      </c>
    </row>
    <row r="504" spans="2:53" x14ac:dyDescent="0.35"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</row>
    <row r="505" spans="2:53" x14ac:dyDescent="0.35">
      <c r="B505" s="6" t="s">
        <v>225</v>
      </c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</row>
    <row r="506" spans="2:53" x14ac:dyDescent="0.35">
      <c r="B506" s="24" t="s">
        <v>219</v>
      </c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</row>
    <row r="507" spans="2:53" x14ac:dyDescent="0.35">
      <c r="B507" t="s">
        <v>220</v>
      </c>
      <c r="C507" s="14">
        <v>0.306788554190916</v>
      </c>
      <c r="D507" s="14">
        <v>0.299215588266526</v>
      </c>
      <c r="E507" s="14">
        <v>0.315707317455794</v>
      </c>
      <c r="F507" s="14"/>
      <c r="G507" s="14">
        <v>0.64510247972030399</v>
      </c>
      <c r="H507" s="14">
        <v>0.33115056373422402</v>
      </c>
      <c r="I507" s="14">
        <v>0.29137185811052102</v>
      </c>
      <c r="J507" s="14">
        <v>0.198722012706463</v>
      </c>
      <c r="K507" s="14">
        <v>0.46281906084152302</v>
      </c>
      <c r="L507" s="14" t="s">
        <v>88</v>
      </c>
      <c r="M507" s="14"/>
      <c r="N507" s="14">
        <v>0.31256324322078299</v>
      </c>
      <c r="O507" s="14">
        <v>0.247783353908514</v>
      </c>
      <c r="P507" s="14">
        <v>0.30407417601311798</v>
      </c>
      <c r="Q507" s="14">
        <v>0.37466297427392697</v>
      </c>
      <c r="R507" s="14"/>
      <c r="S507" s="14">
        <v>0.39553035725332902</v>
      </c>
      <c r="T507" s="14">
        <v>0.27378734692905199</v>
      </c>
      <c r="U507" s="14">
        <v>0.23925641635124401</v>
      </c>
      <c r="V507" s="14">
        <v>0.44130267778447202</v>
      </c>
      <c r="W507" s="14">
        <v>0.41754003519071198</v>
      </c>
      <c r="X507" s="14">
        <v>0.198319852909079</v>
      </c>
      <c r="Y507" s="14">
        <v>0.33057444063376201</v>
      </c>
      <c r="Z507" s="14">
        <v>0.25121494584360299</v>
      </c>
      <c r="AA507" s="14">
        <v>0.135807296866396</v>
      </c>
      <c r="AB507" s="14"/>
      <c r="AC507" s="14">
        <v>0.31362148163660603</v>
      </c>
      <c r="AD507" s="14">
        <v>0.19231834578295601</v>
      </c>
      <c r="AE507" s="14">
        <v>0.30709642168574403</v>
      </c>
      <c r="AF507" s="14">
        <v>0.45708872556390001</v>
      </c>
      <c r="AG507" s="14">
        <v>0.36889219697855702</v>
      </c>
      <c r="AH507" s="14"/>
      <c r="AI507" s="14">
        <v>0.36830556794963598</v>
      </c>
      <c r="AJ507" s="14">
        <v>0.370001370153767</v>
      </c>
      <c r="AK507" s="14">
        <v>0.153730343605054</v>
      </c>
      <c r="AL507" s="14">
        <v>0.23754786009008799</v>
      </c>
      <c r="AM507" s="14">
        <v>0.22504380672294999</v>
      </c>
      <c r="AN507" s="14">
        <v>0.27360928538674401</v>
      </c>
      <c r="AO507" s="14"/>
      <c r="AP507" s="14">
        <v>0.35042956009603199</v>
      </c>
      <c r="AQ507" s="14">
        <v>0.26799073561342102</v>
      </c>
      <c r="AR507" s="14"/>
      <c r="AS507" s="14">
        <v>0.306788554190916</v>
      </c>
      <c r="AT507" s="14" t="s">
        <v>88</v>
      </c>
      <c r="AU507" s="14" t="s">
        <v>88</v>
      </c>
      <c r="AV507" s="14"/>
      <c r="AW507" s="14">
        <v>0.271643839458722</v>
      </c>
      <c r="AX507" s="14">
        <v>0.42280068789675002</v>
      </c>
      <c r="AY507" s="14"/>
      <c r="AZ507" s="14">
        <v>0.30993260504027498</v>
      </c>
      <c r="BA507" s="14">
        <v>0.30077092275344902</v>
      </c>
    </row>
    <row r="508" spans="2:53" x14ac:dyDescent="0.35">
      <c r="B508" t="s">
        <v>221</v>
      </c>
      <c r="C508" s="14">
        <v>0.49446334206341003</v>
      </c>
      <c r="D508" s="14">
        <v>0.52632947645825601</v>
      </c>
      <c r="E508" s="14">
        <v>0.45693425350392303</v>
      </c>
      <c r="F508" s="14"/>
      <c r="G508" s="14">
        <v>0.21031812152537299</v>
      </c>
      <c r="H508" s="14">
        <v>0.48115356089802702</v>
      </c>
      <c r="I508" s="14">
        <v>0.53062002653381701</v>
      </c>
      <c r="J508" s="14">
        <v>0.54721415683237895</v>
      </c>
      <c r="K508" s="14">
        <v>0.11507260074822701</v>
      </c>
      <c r="L508" s="14" t="s">
        <v>88</v>
      </c>
      <c r="M508" s="14"/>
      <c r="N508" s="14">
        <v>0.47453758663355</v>
      </c>
      <c r="O508" s="14">
        <v>0.59440795801466695</v>
      </c>
      <c r="P508" s="14">
        <v>0.45221823894618202</v>
      </c>
      <c r="Q508" s="14">
        <v>0.441209285734528</v>
      </c>
      <c r="R508" s="14"/>
      <c r="S508" s="14">
        <v>0.56175584589240202</v>
      </c>
      <c r="T508" s="14">
        <v>0.61702987078863203</v>
      </c>
      <c r="U508" s="14">
        <v>0.53894541049627098</v>
      </c>
      <c r="V508" s="14">
        <v>0.240857509452438</v>
      </c>
      <c r="W508" s="14">
        <v>0.50340687734879797</v>
      </c>
      <c r="X508" s="14">
        <v>0.41637402528699502</v>
      </c>
      <c r="Y508" s="14">
        <v>0.33528133313493802</v>
      </c>
      <c r="Z508" s="14">
        <v>0.60999694613436195</v>
      </c>
      <c r="AA508" s="14">
        <v>0.51452631200153798</v>
      </c>
      <c r="AB508" s="14"/>
      <c r="AC508" s="14">
        <v>0.39771206389840502</v>
      </c>
      <c r="AD508" s="14">
        <v>0.50328323673117703</v>
      </c>
      <c r="AE508" s="14">
        <v>0.51470027209185298</v>
      </c>
      <c r="AF508" s="14">
        <v>0.45553646645323598</v>
      </c>
      <c r="AG508" s="14">
        <v>0.493154292701243</v>
      </c>
      <c r="AH508" s="14"/>
      <c r="AI508" s="14">
        <v>0.472396177235894</v>
      </c>
      <c r="AJ508" s="14">
        <v>0.47325540179370901</v>
      </c>
      <c r="AK508" s="14">
        <v>0.63997134231125896</v>
      </c>
      <c r="AL508" s="14">
        <v>0.572375737280442</v>
      </c>
      <c r="AM508" s="14">
        <v>0.48842415609656298</v>
      </c>
      <c r="AN508" s="14">
        <v>0.52879835428925404</v>
      </c>
      <c r="AO508" s="14"/>
      <c r="AP508" s="14">
        <v>0.479934452924762</v>
      </c>
      <c r="AQ508" s="14">
        <v>0.507379845550048</v>
      </c>
      <c r="AR508" s="14"/>
      <c r="AS508" s="14">
        <v>0.49446334206341003</v>
      </c>
      <c r="AT508" s="14" t="s">
        <v>88</v>
      </c>
      <c r="AU508" s="14" t="s">
        <v>88</v>
      </c>
      <c r="AV508" s="14"/>
      <c r="AW508" s="14">
        <v>0.49978992208217299</v>
      </c>
      <c r="AX508" s="14">
        <v>0.454568737685628</v>
      </c>
      <c r="AY508" s="14"/>
      <c r="AZ508" s="14">
        <v>0.51201725424100697</v>
      </c>
      <c r="BA508" s="14">
        <v>0.43182703292020902</v>
      </c>
    </row>
    <row r="509" spans="2:53" x14ac:dyDescent="0.35">
      <c r="B509" t="s">
        <v>222</v>
      </c>
      <c r="C509" s="14">
        <v>0.12918486148489899</v>
      </c>
      <c r="D509" s="14">
        <v>0.12627443844633701</v>
      </c>
      <c r="E509" s="14">
        <v>0.13261249794077901</v>
      </c>
      <c r="F509" s="14"/>
      <c r="G509" s="14">
        <v>0</v>
      </c>
      <c r="H509" s="14">
        <v>8.2550762372610303E-2</v>
      </c>
      <c r="I509" s="14">
        <v>0.13374898248147299</v>
      </c>
      <c r="J509" s="14">
        <v>0.209325724270745</v>
      </c>
      <c r="K509" s="14">
        <v>0.227685571982158</v>
      </c>
      <c r="L509" s="14" t="s">
        <v>88</v>
      </c>
      <c r="M509" s="14"/>
      <c r="N509" s="14">
        <v>0.14144800850918399</v>
      </c>
      <c r="O509" s="14">
        <v>0.121120324169884</v>
      </c>
      <c r="P509" s="14">
        <v>0.109566418639243</v>
      </c>
      <c r="Q509" s="14">
        <v>0.140725058407074</v>
      </c>
      <c r="R509" s="14"/>
      <c r="S509" s="14">
        <v>4.2713796854269598E-2</v>
      </c>
      <c r="T509" s="14">
        <v>6.13856986634191E-2</v>
      </c>
      <c r="U509" s="14">
        <v>0.14468799527686499</v>
      </c>
      <c r="V509" s="14">
        <v>0.21475311251427601</v>
      </c>
      <c r="W509" s="14">
        <v>7.9053087460489696E-2</v>
      </c>
      <c r="X509" s="14">
        <v>0.19031702755066199</v>
      </c>
      <c r="Y509" s="14">
        <v>0.26047529033640898</v>
      </c>
      <c r="Z509" s="14">
        <v>0.13878810802203501</v>
      </c>
      <c r="AA509" s="14">
        <v>0.17861656519435401</v>
      </c>
      <c r="AB509" s="14"/>
      <c r="AC509" s="14">
        <v>0.20497934232100701</v>
      </c>
      <c r="AD509" s="14">
        <v>0.16619749461139799</v>
      </c>
      <c r="AE509" s="14">
        <v>0.12623312085333799</v>
      </c>
      <c r="AF509" s="14">
        <v>4.7880770877886197E-2</v>
      </c>
      <c r="AG509" s="14">
        <v>9.7000930471777394E-2</v>
      </c>
      <c r="AH509" s="14"/>
      <c r="AI509" s="14">
        <v>0.106709427693814</v>
      </c>
      <c r="AJ509" s="14">
        <v>8.7203736509109203E-2</v>
      </c>
      <c r="AK509" s="14">
        <v>0.12993755698178699</v>
      </c>
      <c r="AL509" s="14">
        <v>5.9669504792926098E-2</v>
      </c>
      <c r="AM509" s="14">
        <v>0.19770735067485601</v>
      </c>
      <c r="AN509" s="14">
        <v>0.16132970194519999</v>
      </c>
      <c r="AO509" s="14"/>
      <c r="AP509" s="14">
        <v>0.114640666538092</v>
      </c>
      <c r="AQ509" s="14">
        <v>0.14211497217319999</v>
      </c>
      <c r="AR509" s="14"/>
      <c r="AS509" s="14">
        <v>0.12918486148489899</v>
      </c>
      <c r="AT509" s="14" t="s">
        <v>88</v>
      </c>
      <c r="AU509" s="14" t="s">
        <v>88</v>
      </c>
      <c r="AV509" s="14"/>
      <c r="AW509" s="14">
        <v>0.155389038451062</v>
      </c>
      <c r="AX509" s="14">
        <v>5.6589284259433999E-2</v>
      </c>
      <c r="AY509" s="14"/>
      <c r="AZ509" s="14">
        <v>0.122259762490778</v>
      </c>
      <c r="BA509" s="14">
        <v>0.16162319319132601</v>
      </c>
    </row>
    <row r="510" spans="2:53" x14ac:dyDescent="0.35">
      <c r="B510" t="s">
        <v>223</v>
      </c>
      <c r="C510" s="14">
        <v>1.38028408195499E-2</v>
      </c>
      <c r="D510" s="14">
        <v>0</v>
      </c>
      <c r="E510" s="14">
        <v>3.0058594626110699E-2</v>
      </c>
      <c r="F510" s="14"/>
      <c r="G510" s="14">
        <v>0</v>
      </c>
      <c r="H510" s="14">
        <v>2.27040629807382E-2</v>
      </c>
      <c r="I510" s="14">
        <v>1.37097828656091E-2</v>
      </c>
      <c r="J510" s="14">
        <v>0</v>
      </c>
      <c r="K510" s="14">
        <v>0</v>
      </c>
      <c r="L510" s="14" t="s">
        <v>88</v>
      </c>
      <c r="M510" s="14"/>
      <c r="N510" s="14">
        <v>0</v>
      </c>
      <c r="O510" s="14">
        <v>8.9094028374813207E-3</v>
      </c>
      <c r="P510" s="14">
        <v>5.4187739546498803E-2</v>
      </c>
      <c r="Q510" s="14">
        <v>0</v>
      </c>
      <c r="R510" s="14"/>
      <c r="S510" s="14">
        <v>0</v>
      </c>
      <c r="T510" s="14">
        <v>2.2176457646503001E-2</v>
      </c>
      <c r="U510" s="14">
        <v>0</v>
      </c>
      <c r="V510" s="14">
        <v>0</v>
      </c>
      <c r="W510" s="14">
        <v>0</v>
      </c>
      <c r="X510" s="14">
        <v>7.7135282951516101E-2</v>
      </c>
      <c r="Y510" s="14">
        <v>0</v>
      </c>
      <c r="Z510" s="14">
        <v>0</v>
      </c>
      <c r="AA510" s="14">
        <v>3.7448239585300601E-2</v>
      </c>
      <c r="AB510" s="14"/>
      <c r="AC510" s="14">
        <v>3.5231602642390503E-2</v>
      </c>
      <c r="AD510" s="14">
        <v>3.0758177124726799E-2</v>
      </c>
      <c r="AE510" s="14">
        <v>0</v>
      </c>
      <c r="AF510" s="14">
        <v>0</v>
      </c>
      <c r="AG510" s="14">
        <v>0</v>
      </c>
      <c r="AH510" s="14"/>
      <c r="AI510" s="14">
        <v>0</v>
      </c>
      <c r="AJ510" s="14">
        <v>1.9668247571262301E-2</v>
      </c>
      <c r="AK510" s="14">
        <v>0</v>
      </c>
      <c r="AL510" s="14">
        <v>5.8734495784939E-2</v>
      </c>
      <c r="AM510" s="14">
        <v>0</v>
      </c>
      <c r="AN510" s="14">
        <v>3.6262658378802097E-2</v>
      </c>
      <c r="AO510" s="14"/>
      <c r="AP510" s="14">
        <v>1.2093105592661701E-2</v>
      </c>
      <c r="AQ510" s="14">
        <v>1.5322833215980601E-2</v>
      </c>
      <c r="AR510" s="14"/>
      <c r="AS510" s="14">
        <v>1.38028408195499E-2</v>
      </c>
      <c r="AT510" s="14" t="s">
        <v>88</v>
      </c>
      <c r="AU510" s="14" t="s">
        <v>88</v>
      </c>
      <c r="AV510" s="14"/>
      <c r="AW510" s="14">
        <v>1.8386904224973698E-2</v>
      </c>
      <c r="AX510" s="14">
        <v>0</v>
      </c>
      <c r="AY510" s="14"/>
      <c r="AZ510" s="14">
        <v>7.7634455083295502E-3</v>
      </c>
      <c r="BA510" s="14">
        <v>3.9736236087940698E-2</v>
      </c>
    </row>
    <row r="511" spans="2:53" x14ac:dyDescent="0.35">
      <c r="B511" t="s">
        <v>116</v>
      </c>
      <c r="C511" s="14">
        <v>1.10856955220121E-2</v>
      </c>
      <c r="D511" s="14">
        <v>1.2125646866323499E-2</v>
      </c>
      <c r="E511" s="14">
        <v>9.8609336599479493E-3</v>
      </c>
      <c r="F511" s="14"/>
      <c r="G511" s="14">
        <v>0</v>
      </c>
      <c r="H511" s="14">
        <v>2.0787495595694198E-2</v>
      </c>
      <c r="I511" s="14">
        <v>9.7341162544490809E-3</v>
      </c>
      <c r="J511" s="14">
        <v>0</v>
      </c>
      <c r="K511" s="14">
        <v>0</v>
      </c>
      <c r="L511" s="14" t="s">
        <v>88</v>
      </c>
      <c r="M511" s="14"/>
      <c r="N511" s="14">
        <v>3.83020517021492E-3</v>
      </c>
      <c r="O511" s="14">
        <v>0</v>
      </c>
      <c r="P511" s="14">
        <v>2.1435296463133899E-2</v>
      </c>
      <c r="Q511" s="14">
        <v>2.5316748655100502E-2</v>
      </c>
      <c r="R511" s="14"/>
      <c r="S511" s="14">
        <v>0</v>
      </c>
      <c r="T511" s="14">
        <v>0</v>
      </c>
      <c r="U511" s="14">
        <v>0</v>
      </c>
      <c r="V511" s="14">
        <v>4.4626029103523299E-2</v>
      </c>
      <c r="W511" s="14">
        <v>0</v>
      </c>
      <c r="X511" s="14">
        <v>7.2648374078865596E-2</v>
      </c>
      <c r="Y511" s="14">
        <v>0</v>
      </c>
      <c r="Z511" s="14">
        <v>0</v>
      </c>
      <c r="AA511" s="14">
        <v>0</v>
      </c>
      <c r="AB511" s="14"/>
      <c r="AC511" s="14">
        <v>4.8455509501590603E-2</v>
      </c>
      <c r="AD511" s="14">
        <v>2.11988436446254E-2</v>
      </c>
      <c r="AE511" s="14">
        <v>0</v>
      </c>
      <c r="AF511" s="14">
        <v>7.0813049075594001E-3</v>
      </c>
      <c r="AG511" s="14">
        <v>0</v>
      </c>
      <c r="AH511" s="14"/>
      <c r="AI511" s="14">
        <v>0</v>
      </c>
      <c r="AJ511" s="14">
        <v>0</v>
      </c>
      <c r="AK511" s="14">
        <v>1.0200199692641E-2</v>
      </c>
      <c r="AL511" s="14">
        <v>3.8813016146352498E-2</v>
      </c>
      <c r="AM511" s="14">
        <v>0</v>
      </c>
      <c r="AN511" s="14">
        <v>0</v>
      </c>
      <c r="AO511" s="14"/>
      <c r="AP511" s="14">
        <v>1.3933744427641699E-2</v>
      </c>
      <c r="AQ511" s="14">
        <v>8.5537171120576797E-3</v>
      </c>
      <c r="AR511" s="14"/>
      <c r="AS511" s="14">
        <v>1.10856955220121E-2</v>
      </c>
      <c r="AT511" s="14" t="s">
        <v>88</v>
      </c>
      <c r="AU511" s="14" t="s">
        <v>88</v>
      </c>
      <c r="AV511" s="14"/>
      <c r="AW511" s="14">
        <v>1.47673674206078E-2</v>
      </c>
      <c r="AX511" s="14">
        <v>0</v>
      </c>
      <c r="AY511" s="14"/>
      <c r="AZ511" s="14">
        <v>1.4864569266919E-3</v>
      </c>
      <c r="BA511" s="14">
        <v>2.8213221564910899E-2</v>
      </c>
    </row>
    <row r="512" spans="2:53" x14ac:dyDescent="0.35">
      <c r="B512" t="s">
        <v>224</v>
      </c>
      <c r="C512" s="14">
        <v>0.80125189625432702</v>
      </c>
      <c r="D512" s="14">
        <v>0.82554506472478195</v>
      </c>
      <c r="E512" s="14">
        <v>0.77264157095971797</v>
      </c>
      <c r="F512" s="14"/>
      <c r="G512" s="14">
        <v>0.85542060124567698</v>
      </c>
      <c r="H512" s="14">
        <v>0.81230412463225099</v>
      </c>
      <c r="I512" s="14">
        <v>0.82199188464433803</v>
      </c>
      <c r="J512" s="14">
        <v>0.74593616953884201</v>
      </c>
      <c r="K512" s="14">
        <v>0.57789166158975003</v>
      </c>
      <c r="L512" s="14" t="s">
        <v>88</v>
      </c>
      <c r="M512" s="14"/>
      <c r="N512" s="14">
        <v>0.78710082985433305</v>
      </c>
      <c r="O512" s="14">
        <v>0.84219131192318097</v>
      </c>
      <c r="P512" s="14">
        <v>0.756292414959299</v>
      </c>
      <c r="Q512" s="14">
        <v>0.81587226000845503</v>
      </c>
      <c r="R512" s="14"/>
      <c r="S512" s="14">
        <v>0.95728620314573099</v>
      </c>
      <c r="T512" s="14">
        <v>0.89081721771768396</v>
      </c>
      <c r="U512" s="14">
        <v>0.77820182684751504</v>
      </c>
      <c r="V512" s="14">
        <v>0.68216018723690997</v>
      </c>
      <c r="W512" s="14">
        <v>0.92094691253951</v>
      </c>
      <c r="X512" s="14">
        <v>0.61469387819607402</v>
      </c>
      <c r="Y512" s="14">
        <v>0.66585577376869998</v>
      </c>
      <c r="Z512" s="14">
        <v>0.86121189197796499</v>
      </c>
      <c r="AA512" s="14">
        <v>0.65033360886793301</v>
      </c>
      <c r="AB512" s="14"/>
      <c r="AC512" s="14">
        <v>0.71133354553501205</v>
      </c>
      <c r="AD512" s="14">
        <v>0.69560158251413295</v>
      </c>
      <c r="AE512" s="14">
        <v>0.82179669377759601</v>
      </c>
      <c r="AF512" s="14">
        <v>0.91262519201713599</v>
      </c>
      <c r="AG512" s="14">
        <v>0.86204648967980002</v>
      </c>
      <c r="AH512" s="14"/>
      <c r="AI512" s="14">
        <v>0.84070174518553098</v>
      </c>
      <c r="AJ512" s="14">
        <v>0.84325677194747595</v>
      </c>
      <c r="AK512" s="14">
        <v>0.79370168591631296</v>
      </c>
      <c r="AL512" s="14">
        <v>0.80992359737052899</v>
      </c>
      <c r="AM512" s="14">
        <v>0.71346796281951297</v>
      </c>
      <c r="AN512" s="14">
        <v>0.80240763967599804</v>
      </c>
      <c r="AO512" s="14"/>
      <c r="AP512" s="14">
        <v>0.83036401302079399</v>
      </c>
      <c r="AQ512" s="14">
        <v>0.77537058116346902</v>
      </c>
      <c r="AR512" s="14"/>
      <c r="AS512" s="14">
        <v>0.80125189625432702</v>
      </c>
      <c r="AT512" s="14" t="s">
        <v>88</v>
      </c>
      <c r="AU512" s="14" t="s">
        <v>88</v>
      </c>
      <c r="AV512" s="14"/>
      <c r="AW512" s="14">
        <v>0.77143376154089405</v>
      </c>
      <c r="AX512" s="14">
        <v>0.87736942558237796</v>
      </c>
      <c r="AY512" s="14"/>
      <c r="AZ512" s="14">
        <v>0.82194985928128195</v>
      </c>
      <c r="BA512" s="14">
        <v>0.73259795567365804</v>
      </c>
    </row>
    <row r="513" spans="2:53" x14ac:dyDescent="0.35"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</row>
    <row r="514" spans="2:53" x14ac:dyDescent="0.35">
      <c r="B514" s="6" t="s">
        <v>230</v>
      </c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</row>
    <row r="515" spans="2:53" x14ac:dyDescent="0.35">
      <c r="B515" s="24" t="s">
        <v>219</v>
      </c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</row>
    <row r="516" spans="2:53" x14ac:dyDescent="0.35">
      <c r="B516" t="s">
        <v>226</v>
      </c>
      <c r="C516" s="14">
        <v>0.35540629972389698</v>
      </c>
      <c r="D516" s="14">
        <v>0.33820590198869099</v>
      </c>
      <c r="E516" s="14">
        <v>0.37566339278277</v>
      </c>
      <c r="F516" s="14"/>
      <c r="G516" s="14">
        <v>0.45144339706928199</v>
      </c>
      <c r="H516" s="14">
        <v>0.42066067776948801</v>
      </c>
      <c r="I516" s="14">
        <v>0.326846758905603</v>
      </c>
      <c r="J516" s="14">
        <v>0.27629541749835701</v>
      </c>
      <c r="K516" s="14">
        <v>0.46088153653795499</v>
      </c>
      <c r="L516" s="14" t="s">
        <v>88</v>
      </c>
      <c r="M516" s="14"/>
      <c r="N516" s="14">
        <v>0.27961500050565802</v>
      </c>
      <c r="O516" s="14">
        <v>0.32193672145371299</v>
      </c>
      <c r="P516" s="14">
        <v>0.39229740840573901</v>
      </c>
      <c r="Q516" s="14">
        <v>0.47229866719434799</v>
      </c>
      <c r="R516" s="14"/>
      <c r="S516" s="14">
        <v>0.41113312535663199</v>
      </c>
      <c r="T516" s="14">
        <v>0.36459661538914201</v>
      </c>
      <c r="U516" s="14">
        <v>0.35118311620399101</v>
      </c>
      <c r="V516" s="14">
        <v>0.51926504834879506</v>
      </c>
      <c r="W516" s="14">
        <v>0.30941684650139001</v>
      </c>
      <c r="X516" s="14">
        <v>0.319683612711746</v>
      </c>
      <c r="Y516" s="14">
        <v>0.30137614046522399</v>
      </c>
      <c r="Z516" s="14">
        <v>0.15643290072044599</v>
      </c>
      <c r="AA516" s="14">
        <v>0.22128780947757801</v>
      </c>
      <c r="AB516" s="14"/>
      <c r="AC516" s="14">
        <v>0.41996202475871403</v>
      </c>
      <c r="AD516" s="14">
        <v>0.35203647797455301</v>
      </c>
      <c r="AE516" s="14">
        <v>0.35334515057480198</v>
      </c>
      <c r="AF516" s="14">
        <v>0.34504016169969298</v>
      </c>
      <c r="AG516" s="14">
        <v>0.29872781570051599</v>
      </c>
      <c r="AH516" s="14"/>
      <c r="AI516" s="14">
        <v>0.37794900254297198</v>
      </c>
      <c r="AJ516" s="14">
        <v>0.35709235439169101</v>
      </c>
      <c r="AK516" s="14">
        <v>0.23072283034140501</v>
      </c>
      <c r="AL516" s="14">
        <v>0.265636486692025</v>
      </c>
      <c r="AM516" s="14">
        <v>0.45960004083964401</v>
      </c>
      <c r="AN516" s="14">
        <v>0.38981371237998402</v>
      </c>
      <c r="AO516" s="14"/>
      <c r="AP516" s="14">
        <v>0.37064237408144701</v>
      </c>
      <c r="AQ516" s="14">
        <v>0.34186109295110401</v>
      </c>
      <c r="AR516" s="14"/>
      <c r="AS516" s="14">
        <v>0.35540629972389698</v>
      </c>
      <c r="AT516" s="14" t="s">
        <v>88</v>
      </c>
      <c r="AU516" s="14" t="s">
        <v>88</v>
      </c>
      <c r="AV516" s="14"/>
      <c r="AW516" s="14">
        <v>0.33705324536207198</v>
      </c>
      <c r="AX516" s="14">
        <v>0.398636845868996</v>
      </c>
      <c r="AY516" s="14"/>
      <c r="AZ516" s="14">
        <v>0.35687386394898601</v>
      </c>
      <c r="BA516" s="14">
        <v>0.33382166048957801</v>
      </c>
    </row>
    <row r="517" spans="2:53" x14ac:dyDescent="0.35">
      <c r="B517" t="s">
        <v>227</v>
      </c>
      <c r="C517" s="14">
        <v>0.365500474444658</v>
      </c>
      <c r="D517" s="14">
        <v>0.36161311536053897</v>
      </c>
      <c r="E517" s="14">
        <v>0.370078658968791</v>
      </c>
      <c r="F517" s="14"/>
      <c r="G517" s="14">
        <v>0.21031812152537299</v>
      </c>
      <c r="H517" s="14">
        <v>0.37595548870852602</v>
      </c>
      <c r="I517" s="14">
        <v>0.39241473939626498</v>
      </c>
      <c r="J517" s="14">
        <v>0.31743712950153002</v>
      </c>
      <c r="K517" s="14">
        <v>0.15037540696137999</v>
      </c>
      <c r="L517" s="14" t="s">
        <v>88</v>
      </c>
      <c r="M517" s="14"/>
      <c r="N517" s="14">
        <v>0.44995202200323597</v>
      </c>
      <c r="O517" s="14">
        <v>0.35709444590152001</v>
      </c>
      <c r="P517" s="14">
        <v>0.30307320284182698</v>
      </c>
      <c r="Q517" s="14">
        <v>0.313598805221463</v>
      </c>
      <c r="R517" s="14"/>
      <c r="S517" s="14">
        <v>0.40054804160186003</v>
      </c>
      <c r="T517" s="14">
        <v>0.33584000093511801</v>
      </c>
      <c r="U517" s="14">
        <v>0.291975103501808</v>
      </c>
      <c r="V517" s="14">
        <v>0.21029480775950701</v>
      </c>
      <c r="W517" s="14">
        <v>0.38144088520059299</v>
      </c>
      <c r="X517" s="14">
        <v>0.43326049263201899</v>
      </c>
      <c r="Y517" s="14">
        <v>0.49163686232385201</v>
      </c>
      <c r="Z517" s="14">
        <v>0.56712860791856801</v>
      </c>
      <c r="AA517" s="14">
        <v>0.39060704859729101</v>
      </c>
      <c r="AB517" s="14"/>
      <c r="AC517" s="14">
        <v>0.33982877049288701</v>
      </c>
      <c r="AD517" s="14">
        <v>0.295370585522226</v>
      </c>
      <c r="AE517" s="14">
        <v>0.32902681962348901</v>
      </c>
      <c r="AF517" s="14">
        <v>0.51076279501050403</v>
      </c>
      <c r="AG517" s="14">
        <v>0.41601164648122402</v>
      </c>
      <c r="AH517" s="14"/>
      <c r="AI517" s="14">
        <v>0.37588364732639501</v>
      </c>
      <c r="AJ517" s="14">
        <v>0.38706373152603102</v>
      </c>
      <c r="AK517" s="14">
        <v>0.37441898964126202</v>
      </c>
      <c r="AL517" s="14">
        <v>0.446979730744194</v>
      </c>
      <c r="AM517" s="14">
        <v>0.29885411656585797</v>
      </c>
      <c r="AN517" s="14">
        <v>0.47110748543730202</v>
      </c>
      <c r="AO517" s="14"/>
      <c r="AP517" s="14">
        <v>0.37971009598683703</v>
      </c>
      <c r="AQ517" s="14">
        <v>0.35286780690608299</v>
      </c>
      <c r="AR517" s="14"/>
      <c r="AS517" s="14">
        <v>0.365500474444658</v>
      </c>
      <c r="AT517" s="14" t="s">
        <v>88</v>
      </c>
      <c r="AU517" s="14" t="s">
        <v>88</v>
      </c>
      <c r="AV517" s="14"/>
      <c r="AW517" s="14">
        <v>0.354956003687175</v>
      </c>
      <c r="AX517" s="14">
        <v>0.413064990966999</v>
      </c>
      <c r="AY517" s="14"/>
      <c r="AZ517" s="14">
        <v>0.36274952721457598</v>
      </c>
      <c r="BA517" s="14">
        <v>0.38587438833167498</v>
      </c>
    </row>
    <row r="518" spans="2:53" x14ac:dyDescent="0.35">
      <c r="B518" t="s">
        <v>228</v>
      </c>
      <c r="C518" s="14">
        <v>0.170235625766187</v>
      </c>
      <c r="D518" s="14">
        <v>0.180098681819508</v>
      </c>
      <c r="E518" s="14">
        <v>0.15861979877236901</v>
      </c>
      <c r="F518" s="14"/>
      <c r="G518" s="14">
        <v>0</v>
      </c>
      <c r="H518" s="14">
        <v>0.138978120282155</v>
      </c>
      <c r="I518" s="14">
        <v>0.16346336050051299</v>
      </c>
      <c r="J518" s="14">
        <v>0.30076699068239898</v>
      </c>
      <c r="K518" s="14">
        <v>0.20520739519391001</v>
      </c>
      <c r="L518" s="14" t="s">
        <v>88</v>
      </c>
      <c r="M518" s="14"/>
      <c r="N518" s="14">
        <v>0.17898020393442099</v>
      </c>
      <c r="O518" s="14">
        <v>0.22963841120447301</v>
      </c>
      <c r="P518" s="14">
        <v>0.15744629892370901</v>
      </c>
      <c r="Q518" s="14">
        <v>9.5896665419880206E-2</v>
      </c>
      <c r="R518" s="14"/>
      <c r="S518" s="14">
        <v>0.108493446358848</v>
      </c>
      <c r="T518" s="14">
        <v>0.229073271189801</v>
      </c>
      <c r="U518" s="14">
        <v>0.14557528274628601</v>
      </c>
      <c r="V518" s="14">
        <v>0.191753869811884</v>
      </c>
      <c r="W518" s="14">
        <v>0.15964325446444</v>
      </c>
      <c r="X518" s="14">
        <v>0.17682272702377899</v>
      </c>
      <c r="Y518" s="14">
        <v>0.13331806131603199</v>
      </c>
      <c r="Z518" s="14">
        <v>0.190308324413168</v>
      </c>
      <c r="AA518" s="14">
        <v>0.20017044836774001</v>
      </c>
      <c r="AB518" s="14"/>
      <c r="AC518" s="14">
        <v>0.24020920474839799</v>
      </c>
      <c r="AD518" s="14">
        <v>0.20486969835468699</v>
      </c>
      <c r="AE518" s="14">
        <v>0.18924007892887099</v>
      </c>
      <c r="AF518" s="14">
        <v>9.57760659982069E-2</v>
      </c>
      <c r="AG518" s="14">
        <v>0.1472843006499</v>
      </c>
      <c r="AH518" s="14"/>
      <c r="AI518" s="14">
        <v>0.13809466322890401</v>
      </c>
      <c r="AJ518" s="14">
        <v>0.184168887703787</v>
      </c>
      <c r="AK518" s="14">
        <v>0.252843229405675</v>
      </c>
      <c r="AL518" s="14">
        <v>0.232604976151633</v>
      </c>
      <c r="AM518" s="14">
        <v>0.15272115608886699</v>
      </c>
      <c r="AN518" s="14">
        <v>0.11196440569833301</v>
      </c>
      <c r="AO518" s="14"/>
      <c r="AP518" s="14">
        <v>0.15458054441836799</v>
      </c>
      <c r="AQ518" s="14">
        <v>0.184153339012054</v>
      </c>
      <c r="AR518" s="14"/>
      <c r="AS518" s="14">
        <v>0.170235625766187</v>
      </c>
      <c r="AT518" s="14" t="s">
        <v>88</v>
      </c>
      <c r="AU518" s="14" t="s">
        <v>88</v>
      </c>
      <c r="AV518" s="14"/>
      <c r="AW518" s="14">
        <v>0.184595330624127</v>
      </c>
      <c r="AX518" s="14">
        <v>0.115051853083445</v>
      </c>
      <c r="AY518" s="14"/>
      <c r="AZ518" s="14">
        <v>0.18375297668794999</v>
      </c>
      <c r="BA518" s="14">
        <v>0.11698517380182701</v>
      </c>
    </row>
    <row r="519" spans="2:53" x14ac:dyDescent="0.35">
      <c r="B519" t="s">
        <v>229</v>
      </c>
      <c r="C519" s="14">
        <v>3.6632071436552498E-2</v>
      </c>
      <c r="D519" s="14">
        <v>4.2960108838433403E-2</v>
      </c>
      <c r="E519" s="14">
        <v>2.91794738569306E-2</v>
      </c>
      <c r="F519" s="14"/>
      <c r="G519" s="14">
        <v>0</v>
      </c>
      <c r="H519" s="14">
        <v>9.9467808344132595E-3</v>
      </c>
      <c r="I519" s="14">
        <v>5.5433957596231702E-2</v>
      </c>
      <c r="J519" s="14">
        <v>0</v>
      </c>
      <c r="K519" s="14">
        <v>7.9247656002087996E-2</v>
      </c>
      <c r="L519" s="14" t="s">
        <v>88</v>
      </c>
      <c r="M519" s="14"/>
      <c r="N519" s="14">
        <v>2.5169552666598101E-2</v>
      </c>
      <c r="O519" s="14">
        <v>1.8411758484988501E-2</v>
      </c>
      <c r="P519" s="14">
        <v>3.197725365397E-2</v>
      </c>
      <c r="Q519" s="14">
        <v>8.0955160376343996E-2</v>
      </c>
      <c r="R519" s="14"/>
      <c r="S519" s="14">
        <v>3.4601079134901201E-2</v>
      </c>
      <c r="T519" s="14">
        <v>2.92056435123327E-2</v>
      </c>
      <c r="U519" s="14">
        <v>6.6486901965828904E-2</v>
      </c>
      <c r="V519" s="14">
        <v>6.9354001473014806E-2</v>
      </c>
      <c r="W519" s="14">
        <v>0</v>
      </c>
      <c r="X519" s="14">
        <v>2.3874656064305302E-2</v>
      </c>
      <c r="Y519" s="14">
        <v>0</v>
      </c>
      <c r="Z519" s="14">
        <v>0</v>
      </c>
      <c r="AA519" s="14">
        <v>5.2127420877052397E-2</v>
      </c>
      <c r="AB519" s="14"/>
      <c r="AC519" s="14">
        <v>0</v>
      </c>
      <c r="AD519" s="14">
        <v>4.1656792402126698E-2</v>
      </c>
      <c r="AE519" s="14">
        <v>2.9635800540918099E-2</v>
      </c>
      <c r="AF519" s="14">
        <v>2.8794505248242799E-2</v>
      </c>
      <c r="AG519" s="14">
        <v>1.2522733058225899E-2</v>
      </c>
      <c r="AH519" s="14"/>
      <c r="AI519" s="14">
        <v>2.46740883174917E-2</v>
      </c>
      <c r="AJ519" s="14">
        <v>3.2726186852208503E-2</v>
      </c>
      <c r="AK519" s="14">
        <v>9.8902154196114297E-2</v>
      </c>
      <c r="AL519" s="14">
        <v>0</v>
      </c>
      <c r="AM519" s="14">
        <v>0</v>
      </c>
      <c r="AN519" s="14">
        <v>2.7114396484381E-2</v>
      </c>
      <c r="AO519" s="14"/>
      <c r="AP519" s="14">
        <v>2.27044560168796E-2</v>
      </c>
      <c r="AQ519" s="14">
        <v>4.9014029300778902E-2</v>
      </c>
      <c r="AR519" s="14"/>
      <c r="AS519" s="14">
        <v>3.6632071436552498E-2</v>
      </c>
      <c r="AT519" s="14" t="s">
        <v>88</v>
      </c>
      <c r="AU519" s="14" t="s">
        <v>88</v>
      </c>
      <c r="AV519" s="14"/>
      <c r="AW519" s="14">
        <v>4.7890458386456801E-2</v>
      </c>
      <c r="AX519" s="14">
        <v>3.07522660603342E-3</v>
      </c>
      <c r="AY519" s="14"/>
      <c r="AZ519" s="14">
        <v>3.0251900545994598E-2</v>
      </c>
      <c r="BA519" s="14">
        <v>6.4554304094526796E-2</v>
      </c>
    </row>
    <row r="520" spans="2:53" x14ac:dyDescent="0.35">
      <c r="B520" t="s">
        <v>116</v>
      </c>
      <c r="C520" s="14">
        <v>2.0501025650056601E-2</v>
      </c>
      <c r="D520" s="14">
        <v>2.96627489369428E-2</v>
      </c>
      <c r="E520" s="14">
        <v>9.7111657840705107E-3</v>
      </c>
      <c r="F520" s="14"/>
      <c r="G520" s="14">
        <v>0</v>
      </c>
      <c r="H520" s="14">
        <v>2.28753419249632E-3</v>
      </c>
      <c r="I520" s="14">
        <v>2.08508448011205E-2</v>
      </c>
      <c r="J520" s="14">
        <v>7.5941016041125006E-2</v>
      </c>
      <c r="K520" s="14">
        <v>0</v>
      </c>
      <c r="L520" s="14" t="s">
        <v>88</v>
      </c>
      <c r="M520" s="14"/>
      <c r="N520" s="14">
        <v>1.12328183769809E-2</v>
      </c>
      <c r="O520" s="14">
        <v>1.8043762755395501E-2</v>
      </c>
      <c r="P520" s="14">
        <v>3.9712431360659203E-2</v>
      </c>
      <c r="Q520" s="14">
        <v>1.80859329293706E-2</v>
      </c>
      <c r="R520" s="14"/>
      <c r="S520" s="14">
        <v>2.44396931683185E-2</v>
      </c>
      <c r="T520" s="14">
        <v>0</v>
      </c>
      <c r="U520" s="14">
        <v>6.7669417706465299E-2</v>
      </c>
      <c r="V520" s="14">
        <v>0</v>
      </c>
      <c r="W520" s="14">
        <v>0</v>
      </c>
      <c r="X520" s="14">
        <v>3.9050673768844801E-2</v>
      </c>
      <c r="Y520" s="14">
        <v>0</v>
      </c>
      <c r="Z520" s="14">
        <v>0</v>
      </c>
      <c r="AA520" s="14">
        <v>4.2847665387223802E-2</v>
      </c>
      <c r="AB520" s="14"/>
      <c r="AC520" s="14">
        <v>0</v>
      </c>
      <c r="AD520" s="14">
        <v>3.9274363413187498E-2</v>
      </c>
      <c r="AE520" s="14">
        <v>3.2177339159981097E-2</v>
      </c>
      <c r="AF520" s="14">
        <v>3.72631432541353E-3</v>
      </c>
      <c r="AG520" s="14">
        <v>0</v>
      </c>
      <c r="AH520" s="14"/>
      <c r="AI520" s="14">
        <v>1.51215905617927E-2</v>
      </c>
      <c r="AJ520" s="14">
        <v>0</v>
      </c>
      <c r="AK520" s="14">
        <v>0</v>
      </c>
      <c r="AL520" s="14">
        <v>0</v>
      </c>
      <c r="AM520" s="14">
        <v>0</v>
      </c>
      <c r="AN520" s="14">
        <v>0</v>
      </c>
      <c r="AO520" s="14"/>
      <c r="AP520" s="14">
        <v>6.1222815718204801E-3</v>
      </c>
      <c r="AQ520" s="14">
        <v>3.3284046860258598E-2</v>
      </c>
      <c r="AR520" s="14"/>
      <c r="AS520" s="14">
        <v>2.0501025650056601E-2</v>
      </c>
      <c r="AT520" s="14" t="s">
        <v>88</v>
      </c>
      <c r="AU520" s="14" t="s">
        <v>88</v>
      </c>
      <c r="AV520" s="14"/>
      <c r="AW520" s="14">
        <v>2.6470330817595498E-2</v>
      </c>
      <c r="AX520" s="14">
        <v>2.84411038430212E-3</v>
      </c>
      <c r="AY520" s="14"/>
      <c r="AZ520" s="14">
        <v>1.47743330903688E-2</v>
      </c>
      <c r="BA520" s="14">
        <v>4.5268336205627001E-2</v>
      </c>
    </row>
    <row r="521" spans="2:53" x14ac:dyDescent="0.35"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</row>
    <row r="522" spans="2:53" x14ac:dyDescent="0.35">
      <c r="B522" s="6" t="s">
        <v>234</v>
      </c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</row>
    <row r="523" spans="2:53" x14ac:dyDescent="0.35">
      <c r="B523" s="24" t="s">
        <v>219</v>
      </c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</row>
    <row r="524" spans="2:53" x14ac:dyDescent="0.35">
      <c r="B524" t="s">
        <v>231</v>
      </c>
      <c r="C524" s="14">
        <v>0.109593589715101</v>
      </c>
      <c r="D524" s="14">
        <v>9.6148340261274001E-2</v>
      </c>
      <c r="E524" s="14">
        <v>0.12542820433151</v>
      </c>
      <c r="F524" s="14"/>
      <c r="G524" s="14">
        <v>0.193659082651022</v>
      </c>
      <c r="H524" s="14">
        <v>9.82248903403075E-2</v>
      </c>
      <c r="I524" s="14">
        <v>0.110751845743446</v>
      </c>
      <c r="J524" s="14">
        <v>0.12789052618812999</v>
      </c>
      <c r="K524" s="14">
        <v>7.9247656002087996E-2</v>
      </c>
      <c r="L524" s="14" t="s">
        <v>88</v>
      </c>
      <c r="M524" s="14"/>
      <c r="N524" s="14">
        <v>0.103081002862141</v>
      </c>
      <c r="O524" s="14">
        <v>7.5203542441909896E-2</v>
      </c>
      <c r="P524" s="14">
        <v>0.13555275235816799</v>
      </c>
      <c r="Q524" s="14">
        <v>0.13625876793092601</v>
      </c>
      <c r="R524" s="14"/>
      <c r="S524" s="14">
        <v>0.17500973254951999</v>
      </c>
      <c r="T524" s="14">
        <v>9.6491644575856503E-2</v>
      </c>
      <c r="U524" s="14">
        <v>4.7796767596030298E-2</v>
      </c>
      <c r="V524" s="14">
        <v>0.11733429933450699</v>
      </c>
      <c r="W524" s="14">
        <v>4.7658815634863599E-2</v>
      </c>
      <c r="X524" s="14">
        <v>4.52054372228822E-2</v>
      </c>
      <c r="Y524" s="14">
        <v>0.238768423093868</v>
      </c>
      <c r="Z524" s="14">
        <v>0</v>
      </c>
      <c r="AA524" s="14">
        <v>0.11540727605793299</v>
      </c>
      <c r="AB524" s="14"/>
      <c r="AC524" s="14">
        <v>9.2752758500222202E-2</v>
      </c>
      <c r="AD524" s="14">
        <v>6.5892887950980403E-2</v>
      </c>
      <c r="AE524" s="14">
        <v>5.48540567904564E-2</v>
      </c>
      <c r="AF524" s="14">
        <v>0.22119922851847101</v>
      </c>
      <c r="AG524" s="14">
        <v>0.12725792317416401</v>
      </c>
      <c r="AH524" s="14"/>
      <c r="AI524" s="14">
        <v>9.4975156606242797E-2</v>
      </c>
      <c r="AJ524" s="14">
        <v>0.20359397948137301</v>
      </c>
      <c r="AK524" s="14">
        <v>7.9462239168259105E-2</v>
      </c>
      <c r="AL524" s="14">
        <v>0.124330352874676</v>
      </c>
      <c r="AM524" s="14">
        <v>0</v>
      </c>
      <c r="AN524" s="14">
        <v>0.11997184756019</v>
      </c>
      <c r="AO524" s="14"/>
      <c r="AP524" s="14">
        <v>0.104050638559359</v>
      </c>
      <c r="AQ524" s="14">
        <v>0.11452139577420101</v>
      </c>
      <c r="AR524" s="14"/>
      <c r="AS524" s="14">
        <v>0.109593589715101</v>
      </c>
      <c r="AT524" s="14" t="s">
        <v>88</v>
      </c>
      <c r="AU524" s="14" t="s">
        <v>88</v>
      </c>
      <c r="AV524" s="14"/>
      <c r="AW524" s="14">
        <v>0.102136185880154</v>
      </c>
      <c r="AX524" s="14">
        <v>0.14860974595588</v>
      </c>
      <c r="AY524" s="14"/>
      <c r="AZ524" s="14">
        <v>0.11707269125937</v>
      </c>
      <c r="BA524" s="14">
        <v>8.0497407015519898E-2</v>
      </c>
    </row>
    <row r="525" spans="2:53" x14ac:dyDescent="0.35">
      <c r="B525" t="s">
        <v>232</v>
      </c>
      <c r="C525" s="14">
        <v>0.75697439132559896</v>
      </c>
      <c r="D525" s="14">
        <v>0.76096720544005003</v>
      </c>
      <c r="E525" s="14">
        <v>0.75227201128018395</v>
      </c>
      <c r="F525" s="14"/>
      <c r="G525" s="14">
        <v>0.609237507068076</v>
      </c>
      <c r="H525" s="14">
        <v>0.76334340221652197</v>
      </c>
      <c r="I525" s="14">
        <v>0.77549875546966096</v>
      </c>
      <c r="J525" s="14">
        <v>0.64073424747095598</v>
      </c>
      <c r="K525" s="14">
        <v>0.85068988469767404</v>
      </c>
      <c r="L525" s="14" t="s">
        <v>88</v>
      </c>
      <c r="M525" s="14"/>
      <c r="N525" s="14">
        <v>0.78975504739650204</v>
      </c>
      <c r="O525" s="14">
        <v>0.83363201655993102</v>
      </c>
      <c r="P525" s="14">
        <v>0.67303679535241501</v>
      </c>
      <c r="Q525" s="14">
        <v>0.69658489525410905</v>
      </c>
      <c r="R525" s="14"/>
      <c r="S525" s="14">
        <v>0.66925695341515201</v>
      </c>
      <c r="T525" s="14">
        <v>0.74873181179852799</v>
      </c>
      <c r="U525" s="14">
        <v>0.79281369437212701</v>
      </c>
      <c r="V525" s="14">
        <v>0.77111219911577</v>
      </c>
      <c r="W525" s="14">
        <v>0.87251954682704302</v>
      </c>
      <c r="X525" s="14">
        <v>0.69326420779682696</v>
      </c>
      <c r="Y525" s="14">
        <v>0.70331345752377605</v>
      </c>
      <c r="Z525" s="14">
        <v>0.92544829122823702</v>
      </c>
      <c r="AA525" s="14">
        <v>0.81343840738219197</v>
      </c>
      <c r="AB525" s="14"/>
      <c r="AC525" s="14">
        <v>0.80395593415667099</v>
      </c>
      <c r="AD525" s="14">
        <v>0.86256327838439595</v>
      </c>
      <c r="AE525" s="14">
        <v>0.78616116106355705</v>
      </c>
      <c r="AF525" s="14">
        <v>0.63195830809504605</v>
      </c>
      <c r="AG525" s="14">
        <v>0.79370633743521801</v>
      </c>
      <c r="AH525" s="14"/>
      <c r="AI525" s="14">
        <v>0.77616421260662505</v>
      </c>
      <c r="AJ525" s="14">
        <v>0.67017521436645699</v>
      </c>
      <c r="AK525" s="14">
        <v>0.90016427086287798</v>
      </c>
      <c r="AL525" s="14">
        <v>0.752383380348979</v>
      </c>
      <c r="AM525" s="14">
        <v>0.86775324103016704</v>
      </c>
      <c r="AN525" s="14">
        <v>0.56017982080103201</v>
      </c>
      <c r="AO525" s="14"/>
      <c r="AP525" s="14">
        <v>0.73665053871112895</v>
      </c>
      <c r="AQ525" s="14">
        <v>0.77504274539256002</v>
      </c>
      <c r="AR525" s="14"/>
      <c r="AS525" s="14">
        <v>0.75697439132559896</v>
      </c>
      <c r="AT525" s="14" t="s">
        <v>88</v>
      </c>
      <c r="AU525" s="14" t="s">
        <v>88</v>
      </c>
      <c r="AV525" s="14"/>
      <c r="AW525" s="14">
        <v>0.78322787536669802</v>
      </c>
      <c r="AX525" s="14">
        <v>0.63752891962438196</v>
      </c>
      <c r="AY525" s="14"/>
      <c r="AZ525" s="14">
        <v>0.73887735183859504</v>
      </c>
      <c r="BA525" s="14">
        <v>0.827905918847049</v>
      </c>
    </row>
    <row r="526" spans="2:53" x14ac:dyDescent="0.35">
      <c r="B526" t="s">
        <v>233</v>
      </c>
      <c r="C526" s="14">
        <v>0.108326056537485</v>
      </c>
      <c r="D526" s="14">
        <v>0.114811338760297</v>
      </c>
      <c r="E526" s="14">
        <v>0.100688270044231</v>
      </c>
      <c r="F526" s="14"/>
      <c r="G526" s="14">
        <v>0.197103410280902</v>
      </c>
      <c r="H526" s="14">
        <v>0.13843170744317099</v>
      </c>
      <c r="I526" s="14">
        <v>9.0495336950384003E-2</v>
      </c>
      <c r="J526" s="14">
        <v>0.120024922422728</v>
      </c>
      <c r="K526" s="14">
        <v>7.0062459300237703E-2</v>
      </c>
      <c r="L526" s="14" t="s">
        <v>88</v>
      </c>
      <c r="M526" s="14"/>
      <c r="N526" s="14">
        <v>7.2820680882345695E-2</v>
      </c>
      <c r="O526" s="14">
        <v>8.2255037821842403E-2</v>
      </c>
      <c r="P526" s="14">
        <v>0.134536253225995</v>
      </c>
      <c r="Q526" s="14">
        <v>0.167156336814966</v>
      </c>
      <c r="R526" s="14"/>
      <c r="S526" s="14">
        <v>0.14456095984355799</v>
      </c>
      <c r="T526" s="14">
        <v>0.15477654362561599</v>
      </c>
      <c r="U526" s="14">
        <v>9.1720120325377602E-2</v>
      </c>
      <c r="V526" s="14">
        <v>8.1065030827668E-2</v>
      </c>
      <c r="W526" s="14">
        <v>7.9821637538093695E-2</v>
      </c>
      <c r="X526" s="14">
        <v>0.16667517820417799</v>
      </c>
      <c r="Y526" s="14">
        <v>5.7918119382355998E-2</v>
      </c>
      <c r="Z526" s="14">
        <v>0</v>
      </c>
      <c r="AA526" s="14">
        <v>7.1154316559875003E-2</v>
      </c>
      <c r="AB526" s="14"/>
      <c r="AC526" s="14">
        <v>7.0518975039287696E-2</v>
      </c>
      <c r="AD526" s="14">
        <v>3.2269470251436401E-2</v>
      </c>
      <c r="AE526" s="14">
        <v>0.12840907830936099</v>
      </c>
      <c r="AF526" s="14">
        <v>0.13394244272475</v>
      </c>
      <c r="AG526" s="14">
        <v>7.9035739390618504E-2</v>
      </c>
      <c r="AH526" s="14"/>
      <c r="AI526" s="14">
        <v>0.12275429255694301</v>
      </c>
      <c r="AJ526" s="14">
        <v>0.112338580500411</v>
      </c>
      <c r="AK526" s="14">
        <v>2.0373489968862901E-2</v>
      </c>
      <c r="AL526" s="14">
        <v>6.8712031195909601E-2</v>
      </c>
      <c r="AM526" s="14">
        <v>0.13224675896983301</v>
      </c>
      <c r="AN526" s="14">
        <v>0.292733935154397</v>
      </c>
      <c r="AO526" s="14"/>
      <c r="AP526" s="14">
        <v>0.141730258112301</v>
      </c>
      <c r="AQ526" s="14">
        <v>7.8628983210541195E-2</v>
      </c>
      <c r="AR526" s="14"/>
      <c r="AS526" s="14">
        <v>0.108326056537485</v>
      </c>
      <c r="AT526" s="14" t="s">
        <v>88</v>
      </c>
      <c r="AU526" s="14" t="s">
        <v>88</v>
      </c>
      <c r="AV526" s="14"/>
      <c r="AW526" s="14">
        <v>8.4330351853078897E-2</v>
      </c>
      <c r="AX526" s="14">
        <v>0.20322651975483999</v>
      </c>
      <c r="AY526" s="14"/>
      <c r="AZ526" s="14">
        <v>0.112881037175598</v>
      </c>
      <c r="BA526" s="14">
        <v>9.1596674137431E-2</v>
      </c>
    </row>
    <row r="527" spans="2:53" x14ac:dyDescent="0.35">
      <c r="B527" t="s">
        <v>116</v>
      </c>
      <c r="C527" s="14">
        <v>2.51059624218152E-2</v>
      </c>
      <c r="D527" s="14">
        <v>2.80731155383789E-2</v>
      </c>
      <c r="E527" s="14">
        <v>2.1611514344074999E-2</v>
      </c>
      <c r="F527" s="14"/>
      <c r="G527" s="14">
        <v>0</v>
      </c>
      <c r="H527" s="14">
        <v>0</v>
      </c>
      <c r="I527" s="14">
        <v>2.3254061836508799E-2</v>
      </c>
      <c r="J527" s="14">
        <v>0.111350303918185</v>
      </c>
      <c r="K527" s="14">
        <v>0</v>
      </c>
      <c r="L527" s="14" t="s">
        <v>88</v>
      </c>
      <c r="M527" s="14"/>
      <c r="N527" s="14">
        <v>3.4343268859011698E-2</v>
      </c>
      <c r="O527" s="14">
        <v>8.9094031763164196E-3</v>
      </c>
      <c r="P527" s="14">
        <v>5.6874199063421498E-2</v>
      </c>
      <c r="Q527" s="14">
        <v>0</v>
      </c>
      <c r="R527" s="14"/>
      <c r="S527" s="14">
        <v>1.11723541917706E-2</v>
      </c>
      <c r="T527" s="14">
        <v>0</v>
      </c>
      <c r="U527" s="14">
        <v>6.7669417706465299E-2</v>
      </c>
      <c r="V527" s="14">
        <v>3.04884707220545E-2</v>
      </c>
      <c r="W527" s="14">
        <v>0</v>
      </c>
      <c r="X527" s="14">
        <v>9.4855176776113798E-2</v>
      </c>
      <c r="Y527" s="14">
        <v>0</v>
      </c>
      <c r="Z527" s="14">
        <v>7.4551708771763495E-2</v>
      </c>
      <c r="AA527" s="14">
        <v>0</v>
      </c>
      <c r="AB527" s="14"/>
      <c r="AC527" s="14">
        <v>3.2772332303818902E-2</v>
      </c>
      <c r="AD527" s="14">
        <v>3.9274363413187498E-2</v>
      </c>
      <c r="AE527" s="14">
        <v>3.0575703836625199E-2</v>
      </c>
      <c r="AF527" s="14">
        <v>1.29000206617336E-2</v>
      </c>
      <c r="AG527" s="14">
        <v>0</v>
      </c>
      <c r="AH527" s="14"/>
      <c r="AI527" s="14">
        <v>6.1063382301891197E-3</v>
      </c>
      <c r="AJ527" s="14">
        <v>1.3892225651759399E-2</v>
      </c>
      <c r="AK527" s="14">
        <v>0</v>
      </c>
      <c r="AL527" s="14">
        <v>5.4574235580436101E-2</v>
      </c>
      <c r="AM527" s="14">
        <v>0</v>
      </c>
      <c r="AN527" s="14">
        <v>2.7114396484381E-2</v>
      </c>
      <c r="AO527" s="14"/>
      <c r="AP527" s="14">
        <v>1.75685646172117E-2</v>
      </c>
      <c r="AQ527" s="14">
        <v>3.1806875622698599E-2</v>
      </c>
      <c r="AR527" s="14"/>
      <c r="AS527" s="14">
        <v>2.51059624218152E-2</v>
      </c>
      <c r="AT527" s="14" t="s">
        <v>88</v>
      </c>
      <c r="AU527" s="14" t="s">
        <v>88</v>
      </c>
      <c r="AV527" s="14"/>
      <c r="AW527" s="14">
        <v>3.0305586900068401E-2</v>
      </c>
      <c r="AX527" s="14">
        <v>1.06348146648982E-2</v>
      </c>
      <c r="AY527" s="14"/>
      <c r="AZ527" s="14">
        <v>3.1168919726436799E-2</v>
      </c>
      <c r="BA527" s="14">
        <v>0</v>
      </c>
    </row>
    <row r="528" spans="2:53" x14ac:dyDescent="0.35"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</row>
    <row r="529" spans="2:53" x14ac:dyDescent="0.35">
      <c r="B529" s="6" t="s">
        <v>239</v>
      </c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</row>
    <row r="530" spans="2:53" x14ac:dyDescent="0.35">
      <c r="B530" s="24" t="s">
        <v>219</v>
      </c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</row>
    <row r="531" spans="2:53" x14ac:dyDescent="0.35">
      <c r="B531" t="s">
        <v>235</v>
      </c>
      <c r="C531" s="14">
        <v>0.57569651452046899</v>
      </c>
      <c r="D531" s="14">
        <v>0.61910897945084298</v>
      </c>
      <c r="E531" s="14">
        <v>0.52456918853953205</v>
      </c>
      <c r="F531" s="14"/>
      <c r="G531" s="14">
        <v>0.70012036034601799</v>
      </c>
      <c r="H531" s="14">
        <v>0.58327706171774896</v>
      </c>
      <c r="I531" s="14">
        <v>0.53752508422159695</v>
      </c>
      <c r="J531" s="14">
        <v>0.630880006733882</v>
      </c>
      <c r="K531" s="14">
        <v>0.81646433869324497</v>
      </c>
      <c r="L531" s="14" t="s">
        <v>88</v>
      </c>
      <c r="M531" s="14"/>
      <c r="N531" s="14">
        <v>0.67195885838421499</v>
      </c>
      <c r="O531" s="14">
        <v>0.48720566067836102</v>
      </c>
      <c r="P531" s="14">
        <v>0.51788400353300401</v>
      </c>
      <c r="Q531" s="14">
        <v>0.60177154092900897</v>
      </c>
      <c r="R531" s="14"/>
      <c r="S531" s="14">
        <v>0.60600583139731101</v>
      </c>
      <c r="T531" s="14">
        <v>0.58751021176664697</v>
      </c>
      <c r="U531" s="14">
        <v>0.49291474421925702</v>
      </c>
      <c r="V531" s="14">
        <v>0.58794690483763801</v>
      </c>
      <c r="W531" s="14">
        <v>0.84796763985253198</v>
      </c>
      <c r="X531" s="14">
        <v>0.56590190843891697</v>
      </c>
      <c r="Y531" s="14">
        <v>0.486675432823096</v>
      </c>
      <c r="Z531" s="14">
        <v>0.56307525377745105</v>
      </c>
      <c r="AA531" s="14">
        <v>0.49732449016943597</v>
      </c>
      <c r="AB531" s="14"/>
      <c r="AC531" s="14">
        <v>0.74375802248253897</v>
      </c>
      <c r="AD531" s="14">
        <v>0.46015594841233698</v>
      </c>
      <c r="AE531" s="14">
        <v>0.61660944058841904</v>
      </c>
      <c r="AF531" s="14">
        <v>0.52392280519884205</v>
      </c>
      <c r="AG531" s="14">
        <v>0.62944918550738904</v>
      </c>
      <c r="AH531" s="14"/>
      <c r="AI531" s="14">
        <v>0.60743911514544402</v>
      </c>
      <c r="AJ531" s="14">
        <v>0.48314276217529301</v>
      </c>
      <c r="AK531" s="14">
        <v>0.63200575284353799</v>
      </c>
      <c r="AL531" s="14">
        <v>0.59716292943066496</v>
      </c>
      <c r="AM531" s="14">
        <v>0.66558218566056104</v>
      </c>
      <c r="AN531" s="14">
        <v>0.38892827101724298</v>
      </c>
      <c r="AO531" s="14"/>
      <c r="AP531" s="14">
        <v>0.58592015287875399</v>
      </c>
      <c r="AQ531" s="14">
        <v>0.56660747410996404</v>
      </c>
      <c r="AR531" s="14"/>
      <c r="AS531" s="14">
        <v>0.57569651452046899</v>
      </c>
      <c r="AT531" s="14" t="s">
        <v>88</v>
      </c>
      <c r="AU531" s="14" t="s">
        <v>88</v>
      </c>
      <c r="AV531" s="14"/>
      <c r="AW531" s="14">
        <v>0.57705493164154398</v>
      </c>
      <c r="AX531" s="14">
        <v>0.57975976670649598</v>
      </c>
      <c r="AY531" s="14"/>
      <c r="AZ531" s="14">
        <v>0.59395157689878297</v>
      </c>
      <c r="BA531" s="14">
        <v>0.51202368661473097</v>
      </c>
    </row>
    <row r="532" spans="2:53" x14ac:dyDescent="0.35">
      <c r="B532" t="s">
        <v>236</v>
      </c>
      <c r="C532" s="14">
        <v>0.38211664426115599</v>
      </c>
      <c r="D532" s="14">
        <v>0.325111520364323</v>
      </c>
      <c r="E532" s="14">
        <v>0.44925219062396798</v>
      </c>
      <c r="F532" s="14"/>
      <c r="G532" s="14">
        <v>0.29987963965398201</v>
      </c>
      <c r="H532" s="14">
        <v>0.37525655933394197</v>
      </c>
      <c r="I532" s="14">
        <v>0.42183915523792898</v>
      </c>
      <c r="J532" s="14">
        <v>0.29317897722499298</v>
      </c>
      <c r="K532" s="14">
        <v>0.183535661306755</v>
      </c>
      <c r="L532" s="14" t="s">
        <v>88</v>
      </c>
      <c r="M532" s="14"/>
      <c r="N532" s="14">
        <v>0.31639563076768101</v>
      </c>
      <c r="O532" s="14">
        <v>0.49438258083665099</v>
      </c>
      <c r="P532" s="14">
        <v>0.34237240486875697</v>
      </c>
      <c r="Q532" s="14">
        <v>0.37859183428564702</v>
      </c>
      <c r="R532" s="14"/>
      <c r="S532" s="14">
        <v>0.39399416860268899</v>
      </c>
      <c r="T532" s="14">
        <v>0.33143903333678598</v>
      </c>
      <c r="U532" s="14">
        <v>0.43941583807427798</v>
      </c>
      <c r="V532" s="14">
        <v>0.37675933996481897</v>
      </c>
      <c r="W532" s="14">
        <v>8.41484530935631E-2</v>
      </c>
      <c r="X532" s="14">
        <v>0.38889265433820103</v>
      </c>
      <c r="Y532" s="14">
        <v>0.513324567176904</v>
      </c>
      <c r="Z532" s="14">
        <v>0.43692474622254901</v>
      </c>
      <c r="AA532" s="14">
        <v>0.441423150517126</v>
      </c>
      <c r="AB532" s="14"/>
      <c r="AC532" s="14">
        <v>0.25624197751746097</v>
      </c>
      <c r="AD532" s="14">
        <v>0.44710137427841301</v>
      </c>
      <c r="AE532" s="14">
        <v>0.35809509246510901</v>
      </c>
      <c r="AF532" s="14">
        <v>0.454546908705523</v>
      </c>
      <c r="AG532" s="14">
        <v>0.37055081449261101</v>
      </c>
      <c r="AH532" s="14"/>
      <c r="AI532" s="14">
        <v>0.38092119554467901</v>
      </c>
      <c r="AJ532" s="14">
        <v>0.475722617525356</v>
      </c>
      <c r="AK532" s="14">
        <v>0.36799424715646201</v>
      </c>
      <c r="AL532" s="14">
        <v>0.40283707056933499</v>
      </c>
      <c r="AM532" s="14">
        <v>0.33441781433943901</v>
      </c>
      <c r="AN532" s="14">
        <v>0.43801032967913101</v>
      </c>
      <c r="AO532" s="14"/>
      <c r="AP532" s="14">
        <v>0.362231758564942</v>
      </c>
      <c r="AQ532" s="14">
        <v>0.39979474703800999</v>
      </c>
      <c r="AR532" s="14"/>
      <c r="AS532" s="14">
        <v>0.38211664426115599</v>
      </c>
      <c r="AT532" s="14" t="s">
        <v>88</v>
      </c>
      <c r="AU532" s="14" t="s">
        <v>88</v>
      </c>
      <c r="AV532" s="14"/>
      <c r="AW532" s="14">
        <v>0.38077790200494599</v>
      </c>
      <c r="AX532" s="14">
        <v>0.37269562696875702</v>
      </c>
      <c r="AY532" s="14"/>
      <c r="AZ532" s="14">
        <v>0.36343622899015499</v>
      </c>
      <c r="BA532" s="14">
        <v>0.47042064152779101</v>
      </c>
    </row>
    <row r="533" spans="2:53" x14ac:dyDescent="0.35">
      <c r="B533" t="s">
        <v>237</v>
      </c>
      <c r="C533" s="14">
        <v>2.9269632576675701E-2</v>
      </c>
      <c r="D533" s="14">
        <v>4.0267193365843702E-2</v>
      </c>
      <c r="E533" s="14">
        <v>1.63176871765527E-2</v>
      </c>
      <c r="F533" s="14"/>
      <c r="G533" s="14">
        <v>0</v>
      </c>
      <c r="H533" s="14">
        <v>2.50260010911958E-2</v>
      </c>
      <c r="I533" s="14">
        <v>4.0635760540474103E-2</v>
      </c>
      <c r="J533" s="14">
        <v>0</v>
      </c>
      <c r="K533" s="14">
        <v>0</v>
      </c>
      <c r="L533" s="14" t="s">
        <v>88</v>
      </c>
      <c r="M533" s="14"/>
      <c r="N533" s="14">
        <v>1.16455108481034E-2</v>
      </c>
      <c r="O533" s="14">
        <v>1.8411758484988501E-2</v>
      </c>
      <c r="P533" s="14">
        <v>7.8595863774446204E-2</v>
      </c>
      <c r="Q533" s="14">
        <v>1.9636624785344E-2</v>
      </c>
      <c r="R533" s="14"/>
      <c r="S533" s="14">
        <v>0</v>
      </c>
      <c r="T533" s="14">
        <v>8.1050754896567503E-2</v>
      </c>
      <c r="U533" s="14">
        <v>0</v>
      </c>
      <c r="V533" s="14">
        <v>0</v>
      </c>
      <c r="W533" s="14">
        <v>6.7883907053904693E-2</v>
      </c>
      <c r="X533" s="14">
        <v>4.52054372228822E-2</v>
      </c>
      <c r="Y533" s="14">
        <v>0</v>
      </c>
      <c r="Z533" s="14">
        <v>0</v>
      </c>
      <c r="AA533" s="14">
        <v>6.1252359313438198E-2</v>
      </c>
      <c r="AB533" s="14"/>
      <c r="AC533" s="14">
        <v>0</v>
      </c>
      <c r="AD533" s="14">
        <v>3.2269470251436401E-2</v>
      </c>
      <c r="AE533" s="14">
        <v>2.5295466946471699E-2</v>
      </c>
      <c r="AF533" s="14">
        <v>2.1530286095635901E-2</v>
      </c>
      <c r="AG533" s="14">
        <v>0</v>
      </c>
      <c r="AH533" s="14"/>
      <c r="AI533" s="14">
        <v>1.1639689309876401E-2</v>
      </c>
      <c r="AJ533" s="14">
        <v>4.1134620299350902E-2</v>
      </c>
      <c r="AK533" s="14">
        <v>0</v>
      </c>
      <c r="AL533" s="14">
        <v>0</v>
      </c>
      <c r="AM533" s="14">
        <v>0</v>
      </c>
      <c r="AN533" s="14">
        <v>0.17306139930362599</v>
      </c>
      <c r="AO533" s="14"/>
      <c r="AP533" s="14">
        <v>5.1848088556303899E-2</v>
      </c>
      <c r="AQ533" s="14">
        <v>9.1968862985038792E-3</v>
      </c>
      <c r="AR533" s="14"/>
      <c r="AS533" s="14">
        <v>2.9269632576675701E-2</v>
      </c>
      <c r="AT533" s="14" t="s">
        <v>88</v>
      </c>
      <c r="AU533" s="14" t="s">
        <v>88</v>
      </c>
      <c r="AV533" s="14"/>
      <c r="AW533" s="14">
        <v>2.49600217335024E-2</v>
      </c>
      <c r="AX533" s="14">
        <v>4.7544606324746497E-2</v>
      </c>
      <c r="AY533" s="14"/>
      <c r="AZ533" s="14">
        <v>3.2197183809085303E-2</v>
      </c>
      <c r="BA533" s="14">
        <v>1.7555671857477601E-2</v>
      </c>
    </row>
    <row r="534" spans="2:53" x14ac:dyDescent="0.35">
      <c r="B534" t="s">
        <v>238</v>
      </c>
      <c r="C534" s="14">
        <v>0</v>
      </c>
      <c r="D534" s="14">
        <v>0</v>
      </c>
      <c r="E534" s="14">
        <v>0</v>
      </c>
      <c r="F534" s="14"/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 t="s">
        <v>88</v>
      </c>
      <c r="M534" s="14"/>
      <c r="N534" s="14">
        <v>0</v>
      </c>
      <c r="O534" s="14">
        <v>0</v>
      </c>
      <c r="P534" s="14">
        <v>0</v>
      </c>
      <c r="Q534" s="14">
        <v>0</v>
      </c>
      <c r="R534" s="14"/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0</v>
      </c>
      <c r="Y534" s="14">
        <v>0</v>
      </c>
      <c r="Z534" s="14">
        <v>0</v>
      </c>
      <c r="AA534" s="14">
        <v>0</v>
      </c>
      <c r="AB534" s="14"/>
      <c r="AC534" s="14">
        <v>0</v>
      </c>
      <c r="AD534" s="14">
        <v>0</v>
      </c>
      <c r="AE534" s="14">
        <v>0</v>
      </c>
      <c r="AF534" s="14">
        <v>0</v>
      </c>
      <c r="AG534" s="14">
        <v>0</v>
      </c>
      <c r="AH534" s="14"/>
      <c r="AI534" s="14">
        <v>0</v>
      </c>
      <c r="AJ534" s="14">
        <v>0</v>
      </c>
      <c r="AK534" s="14">
        <v>0</v>
      </c>
      <c r="AL534" s="14">
        <v>0</v>
      </c>
      <c r="AM534" s="14">
        <v>0</v>
      </c>
      <c r="AN534" s="14">
        <v>0</v>
      </c>
      <c r="AO534" s="14"/>
      <c r="AP534" s="14">
        <v>0</v>
      </c>
      <c r="AQ534" s="14">
        <v>0</v>
      </c>
      <c r="AR534" s="14"/>
      <c r="AS534" s="14">
        <v>0</v>
      </c>
      <c r="AT534" s="14" t="s">
        <v>88</v>
      </c>
      <c r="AU534" s="14" t="s">
        <v>88</v>
      </c>
      <c r="AV534" s="14"/>
      <c r="AW534" s="14">
        <v>0</v>
      </c>
      <c r="AX534" s="14">
        <v>0</v>
      </c>
      <c r="AY534" s="14"/>
      <c r="AZ534" s="14">
        <v>0</v>
      </c>
      <c r="BA534" s="14">
        <v>0</v>
      </c>
    </row>
    <row r="535" spans="2:53" x14ac:dyDescent="0.35">
      <c r="B535" t="s">
        <v>116</v>
      </c>
      <c r="C535" s="14">
        <v>1.29172086416998E-2</v>
      </c>
      <c r="D535" s="14">
        <v>1.55123068189905E-2</v>
      </c>
      <c r="E535" s="14">
        <v>9.8609336599479493E-3</v>
      </c>
      <c r="F535" s="14"/>
      <c r="G535" s="14">
        <v>0</v>
      </c>
      <c r="H535" s="14">
        <v>1.6440377857113098E-2</v>
      </c>
      <c r="I535" s="14">
        <v>0</v>
      </c>
      <c r="J535" s="14">
        <v>7.5941016041125006E-2</v>
      </c>
      <c r="K535" s="14">
        <v>0</v>
      </c>
      <c r="L535" s="14" t="s">
        <v>88</v>
      </c>
      <c r="M535" s="14"/>
      <c r="N535" s="14">
        <v>0</v>
      </c>
      <c r="O535" s="14">
        <v>0</v>
      </c>
      <c r="P535" s="14">
        <v>6.1147727823792998E-2</v>
      </c>
      <c r="Q535" s="14">
        <v>0</v>
      </c>
      <c r="R535" s="14"/>
      <c r="S535" s="14">
        <v>0</v>
      </c>
      <c r="T535" s="14">
        <v>0</v>
      </c>
      <c r="U535" s="14">
        <v>6.7669417706465299E-2</v>
      </c>
      <c r="V535" s="14">
        <v>3.52937551975437E-2</v>
      </c>
      <c r="W535" s="14">
        <v>0</v>
      </c>
      <c r="X535" s="14">
        <v>0</v>
      </c>
      <c r="Y535" s="14">
        <v>0</v>
      </c>
      <c r="Z535" s="14">
        <v>0</v>
      </c>
      <c r="AA535" s="14">
        <v>0</v>
      </c>
      <c r="AB535" s="14"/>
      <c r="AC535" s="14">
        <v>0</v>
      </c>
      <c r="AD535" s="14">
        <v>6.0473207057812901E-2</v>
      </c>
      <c r="AE535" s="14">
        <v>0</v>
      </c>
      <c r="AF535" s="14">
        <v>0</v>
      </c>
      <c r="AG535" s="14">
        <v>0</v>
      </c>
      <c r="AH535" s="14"/>
      <c r="AI535" s="14">
        <v>0</v>
      </c>
      <c r="AJ535" s="14">
        <v>0</v>
      </c>
      <c r="AK535" s="14">
        <v>0</v>
      </c>
      <c r="AL535" s="14">
        <v>0</v>
      </c>
      <c r="AM535" s="14">
        <v>0</v>
      </c>
      <c r="AN535" s="14">
        <v>0</v>
      </c>
      <c r="AO535" s="14"/>
      <c r="AP535" s="14">
        <v>0</v>
      </c>
      <c r="AQ535" s="14">
        <v>2.4400892553522201E-2</v>
      </c>
      <c r="AR535" s="14"/>
      <c r="AS535" s="14">
        <v>1.29172086416998E-2</v>
      </c>
      <c r="AT535" s="14" t="s">
        <v>88</v>
      </c>
      <c r="AU535" s="14" t="s">
        <v>88</v>
      </c>
      <c r="AV535" s="14"/>
      <c r="AW535" s="14">
        <v>1.72071446200073E-2</v>
      </c>
      <c r="AX535" s="14">
        <v>0</v>
      </c>
      <c r="AY535" s="14"/>
      <c r="AZ535" s="14">
        <v>1.0415010301976601E-2</v>
      </c>
      <c r="BA535" s="14">
        <v>0</v>
      </c>
    </row>
    <row r="536" spans="2:53" x14ac:dyDescent="0.35"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</row>
    <row r="537" spans="2:53" x14ac:dyDescent="0.35">
      <c r="B537" s="6" t="s">
        <v>240</v>
      </c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</row>
    <row r="538" spans="2:53" x14ac:dyDescent="0.35">
      <c r="B538" s="24" t="s">
        <v>219</v>
      </c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</row>
    <row r="539" spans="2:53" x14ac:dyDescent="0.35">
      <c r="B539" t="s">
        <v>220</v>
      </c>
      <c r="C539" s="14">
        <v>0.47180705556883401</v>
      </c>
      <c r="D539" s="14">
        <v>0.58349746805274305</v>
      </c>
      <c r="E539" s="14">
        <v>0.34026805779092301</v>
      </c>
      <c r="F539" s="14"/>
      <c r="G539" s="14">
        <v>0.80634091734897795</v>
      </c>
      <c r="H539" s="14">
        <v>0.51322896578436905</v>
      </c>
      <c r="I539" s="14">
        <v>0.44720670688853698</v>
      </c>
      <c r="J539" s="14">
        <v>0.46657412705203</v>
      </c>
      <c r="K539" s="14">
        <v>0.37074677541453099</v>
      </c>
      <c r="L539" s="14" t="s">
        <v>88</v>
      </c>
      <c r="M539" s="14"/>
      <c r="N539" s="14">
        <v>0.54300136620553896</v>
      </c>
      <c r="O539" s="14">
        <v>0.395429570688342</v>
      </c>
      <c r="P539" s="14">
        <v>0.40854229884715298</v>
      </c>
      <c r="Q539" s="14">
        <v>0.52520414812236005</v>
      </c>
      <c r="R539" s="14"/>
      <c r="S539" s="14">
        <v>0.66292426302768404</v>
      </c>
      <c r="T539" s="14">
        <v>0.43670382377470601</v>
      </c>
      <c r="U539" s="14">
        <v>0.51882881598535002</v>
      </c>
      <c r="V539" s="14">
        <v>0.33557830800501398</v>
      </c>
      <c r="W539" s="14">
        <v>0.59724569599237898</v>
      </c>
      <c r="X539" s="14">
        <v>0.33318463783455299</v>
      </c>
      <c r="Y539" s="14">
        <v>0.486675432823096</v>
      </c>
      <c r="Z539" s="14">
        <v>0.40174655494421802</v>
      </c>
      <c r="AA539" s="14">
        <v>0.335836018473463</v>
      </c>
      <c r="AB539" s="14"/>
      <c r="AC539" s="14">
        <v>0.28053138609037198</v>
      </c>
      <c r="AD539" s="14">
        <v>0.488946214352176</v>
      </c>
      <c r="AE539" s="14">
        <v>0.42843351130958301</v>
      </c>
      <c r="AF539" s="14">
        <v>0.53611930325342805</v>
      </c>
      <c r="AG539" s="14">
        <v>0.63211046221159795</v>
      </c>
      <c r="AH539" s="14"/>
      <c r="AI539" s="14">
        <v>0.56921199623016705</v>
      </c>
      <c r="AJ539" s="14">
        <v>0.46514357037976001</v>
      </c>
      <c r="AK539" s="14">
        <v>0.42684180839229602</v>
      </c>
      <c r="AL539" s="14">
        <v>0.42015149519678602</v>
      </c>
      <c r="AM539" s="14">
        <v>0.46388481902214401</v>
      </c>
      <c r="AN539" s="14">
        <v>0.39446310586034</v>
      </c>
      <c r="AO539" s="14"/>
      <c r="AP539" s="14">
        <v>0.50572619269556496</v>
      </c>
      <c r="AQ539" s="14">
        <v>0.44165219315779602</v>
      </c>
      <c r="AR539" s="14"/>
      <c r="AS539" s="14">
        <v>0.47180705556883401</v>
      </c>
      <c r="AT539" s="14" t="s">
        <v>88</v>
      </c>
      <c r="AU539" s="14" t="s">
        <v>88</v>
      </c>
      <c r="AV539" s="14"/>
      <c r="AW539" s="14">
        <v>0.42961101624646703</v>
      </c>
      <c r="AX539" s="14">
        <v>0.61998402612549797</v>
      </c>
      <c r="AY539" s="14"/>
      <c r="AZ539" s="14">
        <v>0.54685017788990398</v>
      </c>
      <c r="BA539" s="14">
        <v>0.16490134886906399</v>
      </c>
    </row>
    <row r="540" spans="2:53" x14ac:dyDescent="0.35">
      <c r="B540" t="s">
        <v>221</v>
      </c>
      <c r="C540" s="14">
        <v>0.37591056934023698</v>
      </c>
      <c r="D540" s="14">
        <v>0.30417052007029999</v>
      </c>
      <c r="E540" s="14">
        <v>0.46039959549425002</v>
      </c>
      <c r="F540" s="14"/>
      <c r="G540" s="14">
        <v>0</v>
      </c>
      <c r="H540" s="14">
        <v>0.35107181024141798</v>
      </c>
      <c r="I540" s="14">
        <v>0.40017475089260601</v>
      </c>
      <c r="J540" s="14">
        <v>0.365527585955225</v>
      </c>
      <c r="K540" s="14">
        <v>0.43483045815737797</v>
      </c>
      <c r="L540" s="14" t="s">
        <v>88</v>
      </c>
      <c r="M540" s="14"/>
      <c r="N540" s="14">
        <v>0.382906849274607</v>
      </c>
      <c r="O540" s="14">
        <v>0.44810801562576302</v>
      </c>
      <c r="P540" s="14">
        <v>0.35939470195975698</v>
      </c>
      <c r="Q540" s="14">
        <v>0.29189152402318702</v>
      </c>
      <c r="R540" s="14"/>
      <c r="S540" s="14">
        <v>0.246257457637507</v>
      </c>
      <c r="T540" s="14">
        <v>0.41959685941366398</v>
      </c>
      <c r="U540" s="14">
        <v>0.26830633384993302</v>
      </c>
      <c r="V540" s="14">
        <v>0.46844602430882598</v>
      </c>
      <c r="W540" s="14">
        <v>0.39158512360103598</v>
      </c>
      <c r="X540" s="14">
        <v>0.486036221030549</v>
      </c>
      <c r="Y540" s="14">
        <v>0.37942106247495899</v>
      </c>
      <c r="Z540" s="14">
        <v>0.38922599294309801</v>
      </c>
      <c r="AA540" s="14">
        <v>0.45741587100265801</v>
      </c>
      <c r="AB540" s="14"/>
      <c r="AC540" s="14">
        <v>0.37030186835912698</v>
      </c>
      <c r="AD540" s="14">
        <v>0.31316213712684199</v>
      </c>
      <c r="AE540" s="14">
        <v>0.42215333166836799</v>
      </c>
      <c r="AF540" s="14">
        <v>0.42601197763277199</v>
      </c>
      <c r="AG540" s="14">
        <v>0.26178212859178701</v>
      </c>
      <c r="AH540" s="14"/>
      <c r="AI540" s="14">
        <v>0.32762523973325303</v>
      </c>
      <c r="AJ540" s="14">
        <v>0.45324671361124802</v>
      </c>
      <c r="AK540" s="14">
        <v>0.36060241906249402</v>
      </c>
      <c r="AL540" s="14">
        <v>0.37660785250223799</v>
      </c>
      <c r="AM540" s="14">
        <v>0.44729049447222402</v>
      </c>
      <c r="AN540" s="14">
        <v>0.45779659960632801</v>
      </c>
      <c r="AO540" s="14"/>
      <c r="AP540" s="14">
        <v>0.35252300972378098</v>
      </c>
      <c r="AQ540" s="14">
        <v>0.39670262663017303</v>
      </c>
      <c r="AR540" s="14"/>
      <c r="AS540" s="14">
        <v>0.37591056934023698</v>
      </c>
      <c r="AT540" s="14" t="s">
        <v>88</v>
      </c>
      <c r="AU540" s="14" t="s">
        <v>88</v>
      </c>
      <c r="AV540" s="14"/>
      <c r="AW540" s="14">
        <v>0.390748758817419</v>
      </c>
      <c r="AX540" s="14">
        <v>0.301341722469045</v>
      </c>
      <c r="AY540" s="14"/>
      <c r="AZ540" s="14">
        <v>0.35483965778361198</v>
      </c>
      <c r="BA540" s="14">
        <v>0.47420132718008201</v>
      </c>
    </row>
    <row r="541" spans="2:53" x14ac:dyDescent="0.35">
      <c r="B541" t="s">
        <v>222</v>
      </c>
      <c r="C541" s="14">
        <v>8.6761567507699797E-2</v>
      </c>
      <c r="D541" s="14">
        <v>8.1775995661379705E-2</v>
      </c>
      <c r="E541" s="14">
        <v>9.2633128991181604E-2</v>
      </c>
      <c r="F541" s="14"/>
      <c r="G541" s="14">
        <v>0.193659082651022</v>
      </c>
      <c r="H541" s="14">
        <v>4.1277411127451799E-2</v>
      </c>
      <c r="I541" s="14">
        <v>0.10483567836373001</v>
      </c>
      <c r="J541" s="14">
        <v>0.123160180802332</v>
      </c>
      <c r="K541" s="14">
        <v>0</v>
      </c>
      <c r="L541" s="14" t="s">
        <v>88</v>
      </c>
      <c r="M541" s="14"/>
      <c r="N541" s="14">
        <v>1.7999033240656801E-2</v>
      </c>
      <c r="O541" s="14">
        <v>0.117110299492746</v>
      </c>
      <c r="P541" s="14">
        <v>0.11072543600371799</v>
      </c>
      <c r="Q541" s="14">
        <v>0.126471237010327</v>
      </c>
      <c r="R541" s="14"/>
      <c r="S541" s="14">
        <v>9.0818279334808696E-2</v>
      </c>
      <c r="T541" s="14">
        <v>5.84494590352286E-2</v>
      </c>
      <c r="U541" s="14">
        <v>0.12481534516643</v>
      </c>
      <c r="V541" s="14">
        <v>9.4899694100610194E-2</v>
      </c>
      <c r="W541" s="14">
        <v>1.1169180406585001E-2</v>
      </c>
      <c r="X541" s="14">
        <v>0.11169904784771</v>
      </c>
      <c r="Y541" s="14">
        <v>0.12149768304786999</v>
      </c>
      <c r="Z541" s="14">
        <v>7.4551708771763495E-2</v>
      </c>
      <c r="AA541" s="14">
        <v>8.3048481417903705E-2</v>
      </c>
      <c r="AB541" s="14"/>
      <c r="AC541" s="14">
        <v>0.27577141742162398</v>
      </c>
      <c r="AD541" s="14">
        <v>9.7931360432382306E-2</v>
      </c>
      <c r="AE541" s="14">
        <v>7.9964511559114201E-2</v>
      </c>
      <c r="AF541" s="14">
        <v>1.2189921155313E-2</v>
      </c>
      <c r="AG541" s="14">
        <v>8.7163924892637801E-2</v>
      </c>
      <c r="AH541" s="14"/>
      <c r="AI541" s="14">
        <v>4.54933335541199E-2</v>
      </c>
      <c r="AJ541" s="14">
        <v>3.3232448809758001E-2</v>
      </c>
      <c r="AK541" s="14">
        <v>0.10096064868164099</v>
      </c>
      <c r="AL541" s="14">
        <v>0.136455524975307</v>
      </c>
      <c r="AM541" s="14">
        <v>0</v>
      </c>
      <c r="AN541" s="14">
        <v>0.120625898048952</v>
      </c>
      <c r="AO541" s="14"/>
      <c r="AP541" s="14">
        <v>9.8471481743617306E-2</v>
      </c>
      <c r="AQ541" s="14">
        <v>7.6351194999995903E-2</v>
      </c>
      <c r="AR541" s="14"/>
      <c r="AS541" s="14">
        <v>8.6761567507699797E-2</v>
      </c>
      <c r="AT541" s="14" t="s">
        <v>88</v>
      </c>
      <c r="AU541" s="14" t="s">
        <v>88</v>
      </c>
      <c r="AV541" s="14"/>
      <c r="AW541" s="14">
        <v>0.10788658888430699</v>
      </c>
      <c r="AX541" s="14">
        <v>2.6056957881439701E-2</v>
      </c>
      <c r="AY541" s="14"/>
      <c r="AZ541" s="14">
        <v>5.7838053482327297E-2</v>
      </c>
      <c r="BA541" s="14">
        <v>0.21145259107914899</v>
      </c>
    </row>
    <row r="542" spans="2:53" x14ac:dyDescent="0.35">
      <c r="B542" t="s">
        <v>223</v>
      </c>
      <c r="C542" s="14">
        <v>1.7024868256453701E-2</v>
      </c>
      <c r="D542" s="14">
        <v>2.5076940879881098E-3</v>
      </c>
      <c r="E542" s="14">
        <v>3.4121900116394599E-2</v>
      </c>
      <c r="F542" s="14"/>
      <c r="G542" s="14">
        <v>0</v>
      </c>
      <c r="H542" s="14">
        <v>3.4402374552027E-2</v>
      </c>
      <c r="I542" s="14">
        <v>1.37097828656091E-2</v>
      </c>
      <c r="J542" s="14">
        <v>0</v>
      </c>
      <c r="K542" s="14">
        <v>0</v>
      </c>
      <c r="L542" s="14" t="s">
        <v>88</v>
      </c>
      <c r="M542" s="14"/>
      <c r="N542" s="14">
        <v>4.3383799360279598E-3</v>
      </c>
      <c r="O542" s="14">
        <v>0</v>
      </c>
      <c r="P542" s="14">
        <v>3.5738134717053303E-2</v>
      </c>
      <c r="Q542" s="14">
        <v>3.8347157914755299E-2</v>
      </c>
      <c r="R542" s="14"/>
      <c r="S542" s="14">
        <v>0</v>
      </c>
      <c r="T542" s="14">
        <v>4.3965388802793499E-2</v>
      </c>
      <c r="U542" s="14">
        <v>1.0939327122665999E-2</v>
      </c>
      <c r="V542" s="14">
        <v>0</v>
      </c>
      <c r="W542" s="14">
        <v>0</v>
      </c>
      <c r="X542" s="14">
        <v>4.52054372228822E-2</v>
      </c>
      <c r="Y542" s="14">
        <v>0</v>
      </c>
      <c r="Z542" s="14">
        <v>8.1817802266703807E-2</v>
      </c>
      <c r="AA542" s="14">
        <v>0</v>
      </c>
      <c r="AB542" s="14"/>
      <c r="AC542" s="14">
        <v>7.3395328128877502E-2</v>
      </c>
      <c r="AD542" s="14">
        <v>1.97287886835961E-2</v>
      </c>
      <c r="AE542" s="14">
        <v>0</v>
      </c>
      <c r="AF542" s="14">
        <v>8.0208212789103003E-3</v>
      </c>
      <c r="AG542" s="14">
        <v>0</v>
      </c>
      <c r="AH542" s="14"/>
      <c r="AI542" s="14">
        <v>3.7967262919362298E-3</v>
      </c>
      <c r="AJ542" s="14">
        <v>1.9668247571262301E-2</v>
      </c>
      <c r="AK542" s="14">
        <v>3.5273704058116598E-2</v>
      </c>
      <c r="AL542" s="14">
        <v>5.9323109746521503E-2</v>
      </c>
      <c r="AM542" s="14">
        <v>0</v>
      </c>
      <c r="AN542" s="14">
        <v>0</v>
      </c>
      <c r="AO542" s="14"/>
      <c r="AP542" s="14">
        <v>9.96883740810218E-3</v>
      </c>
      <c r="AQ542" s="14">
        <v>2.3297835596545701E-2</v>
      </c>
      <c r="AR542" s="14"/>
      <c r="AS542" s="14">
        <v>1.7024868256453701E-2</v>
      </c>
      <c r="AT542" s="14" t="s">
        <v>88</v>
      </c>
      <c r="AU542" s="14" t="s">
        <v>88</v>
      </c>
      <c r="AV542" s="14"/>
      <c r="AW542" s="14">
        <v>2.0872436559934E-2</v>
      </c>
      <c r="AX542" s="14">
        <v>6.1218939407234902E-3</v>
      </c>
      <c r="AY542" s="14"/>
      <c r="AZ542" s="14">
        <v>1.68367349004651E-3</v>
      </c>
      <c r="BA542" s="14">
        <v>8.2470667644405707E-2</v>
      </c>
    </row>
    <row r="543" spans="2:53" x14ac:dyDescent="0.35">
      <c r="B543" t="s">
        <v>116</v>
      </c>
      <c r="C543" s="14">
        <v>7.0888069954909497E-3</v>
      </c>
      <c r="D543" s="14">
        <v>0</v>
      </c>
      <c r="E543" s="14">
        <v>1.5437371092362401E-2</v>
      </c>
      <c r="F543" s="14"/>
      <c r="G543" s="14">
        <v>0</v>
      </c>
      <c r="H543" s="14">
        <v>1.6440377857113098E-2</v>
      </c>
      <c r="I543" s="14">
        <v>4.6501502561331898E-3</v>
      </c>
      <c r="J543" s="14">
        <v>0</v>
      </c>
      <c r="K543" s="14">
        <v>0</v>
      </c>
      <c r="L543" s="14" t="s">
        <v>88</v>
      </c>
      <c r="M543" s="14"/>
      <c r="N543" s="14">
        <v>0</v>
      </c>
      <c r="O543" s="14">
        <v>9.6838517459826995E-3</v>
      </c>
      <c r="P543" s="14">
        <v>2.1435296463133899E-2</v>
      </c>
      <c r="Q543" s="14">
        <v>0</v>
      </c>
      <c r="R543" s="14"/>
      <c r="S543" s="14">
        <v>0</v>
      </c>
      <c r="T543" s="14">
        <v>0</v>
      </c>
      <c r="U543" s="14">
        <v>0</v>
      </c>
      <c r="V543" s="14">
        <v>3.52937551975437E-2</v>
      </c>
      <c r="W543" s="14">
        <v>0</v>
      </c>
      <c r="X543" s="14">
        <v>0</v>
      </c>
      <c r="Y543" s="14">
        <v>0</v>
      </c>
      <c r="Z543" s="14">
        <v>5.2657941074217098E-2</v>
      </c>
      <c r="AA543" s="14">
        <v>0</v>
      </c>
      <c r="AB543" s="14"/>
      <c r="AC543" s="14">
        <v>0</v>
      </c>
      <c r="AD543" s="14">
        <v>2.11988436446254E-2</v>
      </c>
      <c r="AE543" s="14">
        <v>0</v>
      </c>
      <c r="AF543" s="14">
        <v>0</v>
      </c>
      <c r="AG543" s="14">
        <v>0</v>
      </c>
      <c r="AH543" s="14"/>
      <c r="AI543" s="14">
        <v>7.1689067897733796E-3</v>
      </c>
      <c r="AJ543" s="14">
        <v>0</v>
      </c>
      <c r="AK543" s="14">
        <v>0</v>
      </c>
      <c r="AL543" s="14">
        <v>0</v>
      </c>
      <c r="AM543" s="14">
        <v>0</v>
      </c>
      <c r="AN543" s="14">
        <v>0</v>
      </c>
      <c r="AO543" s="14"/>
      <c r="AP543" s="14">
        <v>5.4410300484480003E-3</v>
      </c>
      <c r="AQ543" s="14">
        <v>8.5537171120576797E-3</v>
      </c>
      <c r="AR543" s="14"/>
      <c r="AS543" s="14">
        <v>7.0888069954909497E-3</v>
      </c>
      <c r="AT543" s="14" t="s">
        <v>88</v>
      </c>
      <c r="AU543" s="14" t="s">
        <v>88</v>
      </c>
      <c r="AV543" s="14"/>
      <c r="AW543" s="14">
        <v>9.4430716835337408E-3</v>
      </c>
      <c r="AX543" s="14">
        <v>0</v>
      </c>
      <c r="AY543" s="14"/>
      <c r="AZ543" s="14">
        <v>0</v>
      </c>
      <c r="BA543" s="14">
        <v>1.34779281505343E-2</v>
      </c>
    </row>
    <row r="544" spans="2:53" x14ac:dyDescent="0.35">
      <c r="B544" t="s">
        <v>224</v>
      </c>
      <c r="C544" s="14">
        <v>0.84771762490907099</v>
      </c>
      <c r="D544" s="14">
        <v>0.88766798812304304</v>
      </c>
      <c r="E544" s="14">
        <v>0.80066765328517298</v>
      </c>
      <c r="F544" s="14"/>
      <c r="G544" s="14">
        <v>0.80634091734897795</v>
      </c>
      <c r="H544" s="14">
        <v>0.86430077602578703</v>
      </c>
      <c r="I544" s="14">
        <v>0.84738145778114304</v>
      </c>
      <c r="J544" s="14">
        <v>0.83210171300725499</v>
      </c>
      <c r="K544" s="14">
        <v>0.80557723357190902</v>
      </c>
      <c r="L544" s="14" t="s">
        <v>88</v>
      </c>
      <c r="M544" s="14"/>
      <c r="N544" s="14">
        <v>0.92590821548014501</v>
      </c>
      <c r="O544" s="14">
        <v>0.84353758631410602</v>
      </c>
      <c r="P544" s="14">
        <v>0.76793700080691096</v>
      </c>
      <c r="Q544" s="14">
        <v>0.81709567214554701</v>
      </c>
      <c r="R544" s="14"/>
      <c r="S544" s="14">
        <v>0.90918172066519098</v>
      </c>
      <c r="T544" s="14">
        <v>0.85630068318837005</v>
      </c>
      <c r="U544" s="14">
        <v>0.78713514983528399</v>
      </c>
      <c r="V544" s="14">
        <v>0.80402433231383996</v>
      </c>
      <c r="W544" s="14">
        <v>0.98883081959341501</v>
      </c>
      <c r="X544" s="14">
        <v>0.81922085886510199</v>
      </c>
      <c r="Y544" s="14">
        <v>0.86609649529805399</v>
      </c>
      <c r="Z544" s="14">
        <v>0.79097254788731597</v>
      </c>
      <c r="AA544" s="14">
        <v>0.79325188947612102</v>
      </c>
      <c r="AB544" s="14"/>
      <c r="AC544" s="14">
        <v>0.65083325444949902</v>
      </c>
      <c r="AD544" s="14">
        <v>0.80210835147901705</v>
      </c>
      <c r="AE544" s="14">
        <v>0.85058684297795095</v>
      </c>
      <c r="AF544" s="14">
        <v>0.96213128088620004</v>
      </c>
      <c r="AG544" s="14">
        <v>0.89389259080338501</v>
      </c>
      <c r="AH544" s="14"/>
      <c r="AI544" s="14">
        <v>0.89683723596342002</v>
      </c>
      <c r="AJ544" s="14">
        <v>0.91839028399100697</v>
      </c>
      <c r="AK544" s="14">
        <v>0.78744422745479004</v>
      </c>
      <c r="AL544" s="14">
        <v>0.79675934769902501</v>
      </c>
      <c r="AM544" s="14">
        <v>0.91117531349436898</v>
      </c>
      <c r="AN544" s="14">
        <v>0.85225970546666696</v>
      </c>
      <c r="AO544" s="14"/>
      <c r="AP544" s="14">
        <v>0.85824920241934599</v>
      </c>
      <c r="AQ544" s="14">
        <v>0.838354819787969</v>
      </c>
      <c r="AR544" s="14"/>
      <c r="AS544" s="14">
        <v>0.84771762490907099</v>
      </c>
      <c r="AT544" s="14" t="s">
        <v>88</v>
      </c>
      <c r="AU544" s="14" t="s">
        <v>88</v>
      </c>
      <c r="AV544" s="14"/>
      <c r="AW544" s="14">
        <v>0.82035977506388602</v>
      </c>
      <c r="AX544" s="14">
        <v>0.92132574859454297</v>
      </c>
      <c r="AY544" s="14"/>
      <c r="AZ544" s="14">
        <v>0.90168983567351702</v>
      </c>
      <c r="BA544" s="14">
        <v>0.63910267604914595</v>
      </c>
    </row>
    <row r="545" spans="2:53" x14ac:dyDescent="0.35"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</row>
    <row r="546" spans="2:53" x14ac:dyDescent="0.35">
      <c r="B546" s="6" t="s">
        <v>241</v>
      </c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</row>
    <row r="547" spans="2:53" x14ac:dyDescent="0.35">
      <c r="B547" s="24" t="s">
        <v>213</v>
      </c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</row>
    <row r="548" spans="2:53" x14ac:dyDescent="0.35">
      <c r="B548" t="s">
        <v>154</v>
      </c>
      <c r="C548" s="14">
        <v>0.53724141227028299</v>
      </c>
      <c r="D548" s="14">
        <v>0.51461135296729399</v>
      </c>
      <c r="E548" s="14">
        <v>0.56611401596302202</v>
      </c>
      <c r="F548" s="14"/>
      <c r="G548" s="14">
        <v>0.44799906943940199</v>
      </c>
      <c r="H548" s="14">
        <v>0.46730477760528999</v>
      </c>
      <c r="I548" s="14">
        <v>0.58505149590882799</v>
      </c>
      <c r="J548" s="14">
        <v>0.50259924336188699</v>
      </c>
      <c r="K548" s="14">
        <v>0.52799574245662595</v>
      </c>
      <c r="L548" s="14" t="s">
        <v>88</v>
      </c>
      <c r="M548" s="14"/>
      <c r="N548" s="14">
        <v>0.60995371919464403</v>
      </c>
      <c r="O548" s="14">
        <v>0.47413324720127298</v>
      </c>
      <c r="P548" s="14">
        <v>0.44533705962755199</v>
      </c>
      <c r="Q548" s="14">
        <v>0.59689607402802203</v>
      </c>
      <c r="R548" s="14"/>
      <c r="S548" s="14">
        <v>0.70025986281247898</v>
      </c>
      <c r="T548" s="14">
        <v>0.40174386526271799</v>
      </c>
      <c r="U548" s="14">
        <v>0.45447056895340499</v>
      </c>
      <c r="V548" s="14">
        <v>0.48881031541299802</v>
      </c>
      <c r="W548" s="14">
        <v>0.54402800925800499</v>
      </c>
      <c r="X548" s="14">
        <v>0.69855001381593496</v>
      </c>
      <c r="Y548" s="14">
        <v>0.58240160723182499</v>
      </c>
      <c r="Z548" s="14">
        <v>0.54891285199641704</v>
      </c>
      <c r="AA548" s="14">
        <v>0.47341334925816903</v>
      </c>
      <c r="AB548" s="14"/>
      <c r="AC548" s="14">
        <v>0.35767925537943901</v>
      </c>
      <c r="AD548" s="14">
        <v>0.46582052414570602</v>
      </c>
      <c r="AE548" s="14">
        <v>0.54119158212661</v>
      </c>
      <c r="AF548" s="14">
        <v>0.58883853378070705</v>
      </c>
      <c r="AG548" s="14">
        <v>0.76883112150873201</v>
      </c>
      <c r="AH548" s="14"/>
      <c r="AI548" s="14">
        <v>0.56941819756753098</v>
      </c>
      <c r="AJ548" s="14">
        <v>0.59560004527792199</v>
      </c>
      <c r="AK548" s="14">
        <v>0.55666957037820097</v>
      </c>
      <c r="AL548" s="14">
        <v>0.46227059974440599</v>
      </c>
      <c r="AM548" s="14">
        <v>0.673306208653771</v>
      </c>
      <c r="AN548" s="14">
        <v>0.49506105723224197</v>
      </c>
      <c r="AO548" s="14"/>
      <c r="AP548" s="14">
        <v>0.572293632386775</v>
      </c>
      <c r="AQ548" s="14">
        <v>0.50618105514997602</v>
      </c>
      <c r="AR548" s="14"/>
      <c r="AS548" s="14">
        <v>0.53724141227028299</v>
      </c>
      <c r="AT548" s="14" t="s">
        <v>88</v>
      </c>
      <c r="AU548" s="14" t="s">
        <v>88</v>
      </c>
      <c r="AV548" s="14"/>
      <c r="AW548" s="14">
        <v>0.496581302980586</v>
      </c>
      <c r="AX548" s="14">
        <v>0.71216215920778403</v>
      </c>
      <c r="AY548" s="14"/>
      <c r="AZ548" s="14">
        <v>0.55919683605117698</v>
      </c>
      <c r="BA548" s="14">
        <v>0.448722732457488</v>
      </c>
    </row>
    <row r="549" spans="2:53" x14ac:dyDescent="0.35">
      <c r="B549" t="s">
        <v>155</v>
      </c>
      <c r="C549" s="14">
        <v>0.34258291992277101</v>
      </c>
      <c r="D549" s="14">
        <v>0.35217798584941401</v>
      </c>
      <c r="E549" s="14">
        <v>0.33034103702725898</v>
      </c>
      <c r="F549" s="14"/>
      <c r="G549" s="14">
        <v>0.35489752027969601</v>
      </c>
      <c r="H549" s="14">
        <v>0.40319067675770098</v>
      </c>
      <c r="I549" s="14">
        <v>0.33835116480792499</v>
      </c>
      <c r="J549" s="14">
        <v>0.25577744698719501</v>
      </c>
      <c r="K549" s="14">
        <v>0.255294760452556</v>
      </c>
      <c r="L549" s="14" t="s">
        <v>88</v>
      </c>
      <c r="M549" s="14"/>
      <c r="N549" s="14">
        <v>0.343629091122297</v>
      </c>
      <c r="O549" s="14">
        <v>0.42331037440765001</v>
      </c>
      <c r="P549" s="14">
        <v>0.36882707179778801</v>
      </c>
      <c r="Q549" s="14">
        <v>0.22931503208099099</v>
      </c>
      <c r="R549" s="14"/>
      <c r="S549" s="14">
        <v>0.17596543223309899</v>
      </c>
      <c r="T549" s="14">
        <v>0.47167361429294002</v>
      </c>
      <c r="U549" s="14">
        <v>0.23422873322159499</v>
      </c>
      <c r="V549" s="14">
        <v>0.40378059398694699</v>
      </c>
      <c r="W549" s="14">
        <v>0.45597199074199501</v>
      </c>
      <c r="X549" s="14">
        <v>0.232374429620192</v>
      </c>
      <c r="Y549" s="14">
        <v>0.343722358566381</v>
      </c>
      <c r="Z549" s="14">
        <v>0.45108714800358302</v>
      </c>
      <c r="AA549" s="14">
        <v>0.435038143712148</v>
      </c>
      <c r="AB549" s="14"/>
      <c r="AC549" s="14">
        <v>0.40346949917492497</v>
      </c>
      <c r="AD549" s="14">
        <v>0.38392236885921099</v>
      </c>
      <c r="AE549" s="14">
        <v>0.343811884454362</v>
      </c>
      <c r="AF549" s="14">
        <v>0.337892155134426</v>
      </c>
      <c r="AG549" s="14">
        <v>0.20654194244927601</v>
      </c>
      <c r="AH549" s="14"/>
      <c r="AI549" s="14">
        <v>0.36429383863674802</v>
      </c>
      <c r="AJ549" s="14">
        <v>0.34683066575656601</v>
      </c>
      <c r="AK549" s="14">
        <v>0.34172163118794602</v>
      </c>
      <c r="AL549" s="14">
        <v>0.39355489782909098</v>
      </c>
      <c r="AM549" s="14">
        <v>7.3597337055893094E-2</v>
      </c>
      <c r="AN549" s="14">
        <v>0.41661671419006702</v>
      </c>
      <c r="AO549" s="14"/>
      <c r="AP549" s="14">
        <v>0.30717606107713602</v>
      </c>
      <c r="AQ549" s="14">
        <v>0.37395752833840901</v>
      </c>
      <c r="AR549" s="14"/>
      <c r="AS549" s="14">
        <v>0.34258291992277101</v>
      </c>
      <c r="AT549" s="14" t="s">
        <v>88</v>
      </c>
      <c r="AU549" s="14" t="s">
        <v>88</v>
      </c>
      <c r="AV549" s="14"/>
      <c r="AW549" s="14">
        <v>0.37382302717080601</v>
      </c>
      <c r="AX549" s="14">
        <v>0.25566111091933202</v>
      </c>
      <c r="AY549" s="14"/>
      <c r="AZ549" s="14">
        <v>0.34498483217829501</v>
      </c>
      <c r="BA549" s="14">
        <v>0.33887507380190401</v>
      </c>
    </row>
    <row r="550" spans="2:53" x14ac:dyDescent="0.35">
      <c r="B550" t="s">
        <v>116</v>
      </c>
      <c r="C550" s="14">
        <v>0.120175667806946</v>
      </c>
      <c r="D550" s="14">
        <v>0.133210661183292</v>
      </c>
      <c r="E550" s="14">
        <v>0.103544947009718</v>
      </c>
      <c r="F550" s="14"/>
      <c r="G550" s="14">
        <v>0.197103410280902</v>
      </c>
      <c r="H550" s="14">
        <v>0.129504545637008</v>
      </c>
      <c r="I550" s="14">
        <v>7.6597339283246801E-2</v>
      </c>
      <c r="J550" s="14">
        <v>0.24162330965091799</v>
      </c>
      <c r="K550" s="14">
        <v>0.21670949709081799</v>
      </c>
      <c r="L550" s="14" t="s">
        <v>88</v>
      </c>
      <c r="M550" s="14"/>
      <c r="N550" s="14">
        <v>4.6417189683059502E-2</v>
      </c>
      <c r="O550" s="14">
        <v>0.10255637839107801</v>
      </c>
      <c r="P550" s="14">
        <v>0.185835868574661</v>
      </c>
      <c r="Q550" s="14">
        <v>0.17378889389098701</v>
      </c>
      <c r="R550" s="14"/>
      <c r="S550" s="14">
        <v>0.123774704954423</v>
      </c>
      <c r="T550" s="14">
        <v>0.12658252044434301</v>
      </c>
      <c r="U550" s="14">
        <v>0.31130069782499997</v>
      </c>
      <c r="V550" s="14">
        <v>0.107409090600055</v>
      </c>
      <c r="W550" s="14">
        <v>0</v>
      </c>
      <c r="X550" s="14">
        <v>6.9075556563873403E-2</v>
      </c>
      <c r="Y550" s="14">
        <v>7.3876034201794102E-2</v>
      </c>
      <c r="Z550" s="14">
        <v>0</v>
      </c>
      <c r="AA550" s="14">
        <v>9.1548507029683104E-2</v>
      </c>
      <c r="AB550" s="14"/>
      <c r="AC550" s="14">
        <v>0.23885124544563599</v>
      </c>
      <c r="AD550" s="14">
        <v>0.15025710699508299</v>
      </c>
      <c r="AE550" s="14">
        <v>0.114996533419028</v>
      </c>
      <c r="AF550" s="14">
        <v>7.3269311084866798E-2</v>
      </c>
      <c r="AG550" s="14">
        <v>2.4626936041991399E-2</v>
      </c>
      <c r="AH550" s="14"/>
      <c r="AI550" s="14">
        <v>6.6287963795720994E-2</v>
      </c>
      <c r="AJ550" s="14">
        <v>5.7569288965512201E-2</v>
      </c>
      <c r="AK550" s="14">
        <v>0.101608798433853</v>
      </c>
      <c r="AL550" s="14">
        <v>0.14417450242650301</v>
      </c>
      <c r="AM550" s="14">
        <v>0.253096454290336</v>
      </c>
      <c r="AN550" s="14">
        <v>8.8322228577690995E-2</v>
      </c>
      <c r="AO550" s="14"/>
      <c r="AP550" s="14">
        <v>0.120530306536089</v>
      </c>
      <c r="AQ550" s="14">
        <v>0.119861416511615</v>
      </c>
      <c r="AR550" s="14"/>
      <c r="AS550" s="14">
        <v>0.120175667806946</v>
      </c>
      <c r="AT550" s="14" t="s">
        <v>88</v>
      </c>
      <c r="AU550" s="14" t="s">
        <v>88</v>
      </c>
      <c r="AV550" s="14"/>
      <c r="AW550" s="14">
        <v>0.12959566984860801</v>
      </c>
      <c r="AX550" s="14">
        <v>3.2176729872884002E-2</v>
      </c>
      <c r="AY550" s="14"/>
      <c r="AZ550" s="14">
        <v>9.5818331770528106E-2</v>
      </c>
      <c r="BA550" s="14">
        <v>0.21240219374060801</v>
      </c>
    </row>
    <row r="551" spans="2:53" x14ac:dyDescent="0.35"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</row>
    <row r="552" spans="2:53" x14ac:dyDescent="0.35">
      <c r="B552" s="6" t="s">
        <v>242</v>
      </c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</row>
    <row r="553" spans="2:53" x14ac:dyDescent="0.35">
      <c r="B553" s="24" t="s">
        <v>219</v>
      </c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</row>
    <row r="554" spans="2:53" x14ac:dyDescent="0.35">
      <c r="B554" t="s">
        <v>214</v>
      </c>
      <c r="C554" s="14">
        <v>0.188132324007042</v>
      </c>
      <c r="D554" s="14">
        <v>0.20347065691034699</v>
      </c>
      <c r="E554" s="14">
        <v>0.17034322825135301</v>
      </c>
      <c r="F554" s="14"/>
      <c r="G554" s="14">
        <v>0.43227563595914398</v>
      </c>
      <c r="H554" s="14">
        <v>0.30324842840196897</v>
      </c>
      <c r="I554" s="14">
        <v>0.16048939784174901</v>
      </c>
      <c r="J554" s="14">
        <v>8.3595015389255706E-2</v>
      </c>
      <c r="K554" s="14">
        <v>0.132695121695973</v>
      </c>
      <c r="L554" s="14" t="s">
        <v>88</v>
      </c>
      <c r="M554" s="14"/>
      <c r="N554" s="14">
        <v>0.102815441138844</v>
      </c>
      <c r="O554" s="14">
        <v>0.17217645281266</v>
      </c>
      <c r="P554" s="14">
        <v>0.27314594847095203</v>
      </c>
      <c r="Q554" s="14">
        <v>0.25438896077634998</v>
      </c>
      <c r="R554" s="14"/>
      <c r="S554" s="14">
        <v>0.172860057323133</v>
      </c>
      <c r="T554" s="14">
        <v>0.24503416002913</v>
      </c>
      <c r="U554" s="14">
        <v>0.161171210883926</v>
      </c>
      <c r="V554" s="14">
        <v>0.119453976313808</v>
      </c>
      <c r="W554" s="14">
        <v>0.10925323710382299</v>
      </c>
      <c r="X554" s="14">
        <v>0.21274739874445101</v>
      </c>
      <c r="Y554" s="14">
        <v>0.20979046432809301</v>
      </c>
      <c r="Z554" s="14">
        <v>0.12439112086223</v>
      </c>
      <c r="AA554" s="14">
        <v>0.31055157954852702</v>
      </c>
      <c r="AB554" s="14"/>
      <c r="AC554" s="14">
        <v>0.33030991811142102</v>
      </c>
      <c r="AD554" s="14">
        <v>0.187899016928637</v>
      </c>
      <c r="AE554" s="14">
        <v>0.15938115183620999</v>
      </c>
      <c r="AF554" s="14">
        <v>0.18836589174065901</v>
      </c>
      <c r="AG554" s="14">
        <v>0.21344385140960401</v>
      </c>
      <c r="AH554" s="14"/>
      <c r="AI554" s="14">
        <v>0.16756379449111899</v>
      </c>
      <c r="AJ554" s="14">
        <v>0.247686929473346</v>
      </c>
      <c r="AK554" s="14">
        <v>0.11303159353040899</v>
      </c>
      <c r="AL554" s="14">
        <v>0.15231931065316501</v>
      </c>
      <c r="AM554" s="14">
        <v>9.3861020109357998E-2</v>
      </c>
      <c r="AN554" s="14">
        <v>0.37220149879964698</v>
      </c>
      <c r="AO554" s="14"/>
      <c r="AP554" s="14">
        <v>0.172351594308957</v>
      </c>
      <c r="AQ554" s="14">
        <v>0.20394229315887999</v>
      </c>
      <c r="AR554" s="14"/>
      <c r="AS554" s="14">
        <v>0.188132324007042</v>
      </c>
      <c r="AT554" s="14" t="s">
        <v>88</v>
      </c>
      <c r="AU554" s="14" t="s">
        <v>88</v>
      </c>
      <c r="AV554" s="14"/>
      <c r="AW554" s="14">
        <v>0.109055258365208</v>
      </c>
      <c r="AX554" s="14">
        <v>0.38446597366958801</v>
      </c>
      <c r="AY554" s="14"/>
      <c r="AZ554" s="14">
        <v>0.190400767673469</v>
      </c>
      <c r="BA554" s="14">
        <v>0.175278305580154</v>
      </c>
    </row>
    <row r="555" spans="2:53" x14ac:dyDescent="0.35">
      <c r="B555" t="s">
        <v>215</v>
      </c>
      <c r="C555" s="14">
        <v>0.55264647132270295</v>
      </c>
      <c r="D555" s="14">
        <v>0.55398167532351805</v>
      </c>
      <c r="E555" s="14">
        <v>0.55109792807660096</v>
      </c>
      <c r="F555" s="14"/>
      <c r="G555" s="14">
        <v>0.38006236960749301</v>
      </c>
      <c r="H555" s="14">
        <v>0.506162657008004</v>
      </c>
      <c r="I555" s="14">
        <v>0.56791182736719104</v>
      </c>
      <c r="J555" s="14">
        <v>0.66663249238264999</v>
      </c>
      <c r="K555" s="14">
        <v>0.28113468356662802</v>
      </c>
      <c r="L555" s="14" t="s">
        <v>88</v>
      </c>
      <c r="M555" s="14"/>
      <c r="N555" s="14">
        <v>0.60041149008010697</v>
      </c>
      <c r="O555" s="14">
        <v>0.56194792335748101</v>
      </c>
      <c r="P555" s="14">
        <v>0.47774041969987502</v>
      </c>
      <c r="Q555" s="14">
        <v>0.53240919586528102</v>
      </c>
      <c r="R555" s="14"/>
      <c r="S555" s="14">
        <v>0.67023434855334296</v>
      </c>
      <c r="T555" s="14">
        <v>0.49926807618506203</v>
      </c>
      <c r="U555" s="14">
        <v>0.57993754547976695</v>
      </c>
      <c r="V555" s="14">
        <v>0.59879544919573602</v>
      </c>
      <c r="W555" s="14">
        <v>0.46294827617518503</v>
      </c>
      <c r="X555" s="14">
        <v>0.38944567190860602</v>
      </c>
      <c r="Y555" s="14">
        <v>0.61599197271536599</v>
      </c>
      <c r="Z555" s="14">
        <v>0.65842880903910705</v>
      </c>
      <c r="AA555" s="14">
        <v>0.303191607113456</v>
      </c>
      <c r="AB555" s="14"/>
      <c r="AC555" s="14">
        <v>0.41613413671914601</v>
      </c>
      <c r="AD555" s="14">
        <v>0.48338167691390699</v>
      </c>
      <c r="AE555" s="14">
        <v>0.52091674140290201</v>
      </c>
      <c r="AF555" s="14">
        <v>0.66284452394629401</v>
      </c>
      <c r="AG555" s="14">
        <v>0.60327130995026401</v>
      </c>
      <c r="AH555" s="14"/>
      <c r="AI555" s="14">
        <v>0.55302269913223301</v>
      </c>
      <c r="AJ555" s="14">
        <v>0.60548876760365999</v>
      </c>
      <c r="AK555" s="14">
        <v>0.526447899774382</v>
      </c>
      <c r="AL555" s="14">
        <v>0.55243880185940397</v>
      </c>
      <c r="AM555" s="14">
        <v>0.88579267560618102</v>
      </c>
      <c r="AN555" s="14">
        <v>0.19691129564406101</v>
      </c>
      <c r="AO555" s="14"/>
      <c r="AP555" s="14">
        <v>0.57806451023827299</v>
      </c>
      <c r="AQ555" s="14">
        <v>0.52718133638637799</v>
      </c>
      <c r="AR555" s="14"/>
      <c r="AS555" s="14">
        <v>0.55264647132270295</v>
      </c>
      <c r="AT555" s="14" t="s">
        <v>88</v>
      </c>
      <c r="AU555" s="14" t="s">
        <v>88</v>
      </c>
      <c r="AV555" s="14"/>
      <c r="AW555" s="14">
        <v>0.59752058998410196</v>
      </c>
      <c r="AX555" s="14">
        <v>0.45304376504830701</v>
      </c>
      <c r="AY555" s="14"/>
      <c r="AZ555" s="14">
        <v>0.561283984067248</v>
      </c>
      <c r="BA555" s="14">
        <v>0.503702453173138</v>
      </c>
    </row>
    <row r="556" spans="2:53" x14ac:dyDescent="0.35">
      <c r="B556" t="s">
        <v>216</v>
      </c>
      <c r="C556" s="14">
        <v>0.109488816395536</v>
      </c>
      <c r="D556" s="14">
        <v>0.129835103549654</v>
      </c>
      <c r="E556" s="14">
        <v>8.5891594145954694E-2</v>
      </c>
      <c r="F556" s="14"/>
      <c r="G556" s="14">
        <v>0.18766199443336401</v>
      </c>
      <c r="H556" s="14">
        <v>5.3476144144563101E-2</v>
      </c>
      <c r="I556" s="14">
        <v>0.114791984434422</v>
      </c>
      <c r="J556" s="14">
        <v>0.15282534493883501</v>
      </c>
      <c r="K556" s="14">
        <v>0.217942289104121</v>
      </c>
      <c r="L556" s="14" t="s">
        <v>88</v>
      </c>
      <c r="M556" s="14"/>
      <c r="N556" s="14">
        <v>0.147693376765451</v>
      </c>
      <c r="O556" s="14">
        <v>0.106868478981632</v>
      </c>
      <c r="P556" s="14">
        <v>4.7542171897227502E-2</v>
      </c>
      <c r="Q556" s="14">
        <v>0.10347748864864</v>
      </c>
      <c r="R556" s="14"/>
      <c r="S556" s="14">
        <v>0.11781923753840599</v>
      </c>
      <c r="T556" s="14">
        <v>7.5312068605041305E-2</v>
      </c>
      <c r="U556" s="14">
        <v>7.5390004882235795E-2</v>
      </c>
      <c r="V556" s="14">
        <v>0.17376153158275601</v>
      </c>
      <c r="W556" s="14">
        <v>0.18719283851599999</v>
      </c>
      <c r="X556" s="14">
        <v>9.2227190764370096E-2</v>
      </c>
      <c r="Y556" s="14">
        <v>9.5919175569626602E-3</v>
      </c>
      <c r="Z556" s="14">
        <v>0.116414845243539</v>
      </c>
      <c r="AA556" s="14">
        <v>0.147757932452274</v>
      </c>
      <c r="AB556" s="14"/>
      <c r="AC556" s="14">
        <v>2.2599420564316401E-2</v>
      </c>
      <c r="AD556" s="14">
        <v>7.49591676588027E-2</v>
      </c>
      <c r="AE556" s="14">
        <v>0.20167326737469099</v>
      </c>
      <c r="AF556" s="14">
        <v>7.2375224406986904E-2</v>
      </c>
      <c r="AG556" s="14">
        <v>5.0133155477668501E-2</v>
      </c>
      <c r="AH556" s="14"/>
      <c r="AI556" s="14">
        <v>0.143126070048643</v>
      </c>
      <c r="AJ556" s="14">
        <v>8.4748137017637198E-2</v>
      </c>
      <c r="AK556" s="14">
        <v>6.8480795108976394E-2</v>
      </c>
      <c r="AL556" s="14">
        <v>0.14712167131172099</v>
      </c>
      <c r="AM556" s="14">
        <v>2.03463042844612E-2</v>
      </c>
      <c r="AN556" s="14">
        <v>4.7414684574344099E-2</v>
      </c>
      <c r="AO556" s="14"/>
      <c r="AP556" s="14">
        <v>0.11345862612624801</v>
      </c>
      <c r="AQ556" s="14">
        <v>0.105511651170481</v>
      </c>
      <c r="AR556" s="14"/>
      <c r="AS556" s="14">
        <v>0.109488816395536</v>
      </c>
      <c r="AT556" s="14" t="s">
        <v>88</v>
      </c>
      <c r="AU556" s="14" t="s">
        <v>88</v>
      </c>
      <c r="AV556" s="14"/>
      <c r="AW556" s="14">
        <v>0.115989595827982</v>
      </c>
      <c r="AX556" s="14">
        <v>0.105316859759207</v>
      </c>
      <c r="AY556" s="14"/>
      <c r="AZ556" s="14">
        <v>0.104287067428341</v>
      </c>
      <c r="BA556" s="14">
        <v>0.13896425723012901</v>
      </c>
    </row>
    <row r="557" spans="2:53" x14ac:dyDescent="0.35">
      <c r="B557" t="s">
        <v>217</v>
      </c>
      <c r="C557" s="14">
        <v>4.2620128248580601E-2</v>
      </c>
      <c r="D557" s="14">
        <v>4.4086556046825903E-2</v>
      </c>
      <c r="E557" s="14">
        <v>4.0919394232293203E-2</v>
      </c>
      <c r="F557" s="14"/>
      <c r="G557" s="14">
        <v>0</v>
      </c>
      <c r="H557" s="14">
        <v>4.2935809119334797E-2</v>
      </c>
      <c r="I557" s="14">
        <v>4.0354203427883997E-2</v>
      </c>
      <c r="J557" s="14">
        <v>6.9667510133580496E-2</v>
      </c>
      <c r="K557" s="14">
        <v>0</v>
      </c>
      <c r="L557" s="14" t="s">
        <v>88</v>
      </c>
      <c r="M557" s="14"/>
      <c r="N557" s="14">
        <v>5.9327300086857299E-2</v>
      </c>
      <c r="O557" s="14">
        <v>4.8444283650147899E-2</v>
      </c>
      <c r="P557" s="14">
        <v>3.0917660039273501E-2</v>
      </c>
      <c r="Q557" s="14">
        <v>2.41468573709696E-2</v>
      </c>
      <c r="R557" s="14"/>
      <c r="S557" s="14">
        <v>2.1732588633854601E-2</v>
      </c>
      <c r="T557" s="14">
        <v>0.108614495492604</v>
      </c>
      <c r="U557" s="14">
        <v>0</v>
      </c>
      <c r="V557" s="14">
        <v>5.0050325503158501E-2</v>
      </c>
      <c r="W557" s="14">
        <v>5.8726891313391899E-2</v>
      </c>
      <c r="X557" s="14">
        <v>0.114683884567472</v>
      </c>
      <c r="Y557" s="14">
        <v>4.1909585864933797E-2</v>
      </c>
      <c r="Z557" s="14">
        <v>0</v>
      </c>
      <c r="AA557" s="14">
        <v>0</v>
      </c>
      <c r="AB557" s="14"/>
      <c r="AC557" s="14">
        <v>0.23095652460511701</v>
      </c>
      <c r="AD557" s="14">
        <v>4.0193032028209799E-2</v>
      </c>
      <c r="AE557" s="14">
        <v>3.3663643662490902E-2</v>
      </c>
      <c r="AF557" s="14">
        <v>3.0599614029212099E-2</v>
      </c>
      <c r="AG557" s="14">
        <v>0</v>
      </c>
      <c r="AH557" s="14"/>
      <c r="AI557" s="14">
        <v>5.6211588416874299E-2</v>
      </c>
      <c r="AJ557" s="14">
        <v>3.9824236573634202E-2</v>
      </c>
      <c r="AK557" s="14">
        <v>0</v>
      </c>
      <c r="AL557" s="14">
        <v>3.3551151039107302E-2</v>
      </c>
      <c r="AM557" s="14">
        <v>0</v>
      </c>
      <c r="AN557" s="14">
        <v>7.1057726339006005E-2</v>
      </c>
      <c r="AO557" s="14"/>
      <c r="AP557" s="14">
        <v>4.9789830701819797E-2</v>
      </c>
      <c r="AQ557" s="14">
        <v>3.54371413536635E-2</v>
      </c>
      <c r="AR557" s="14"/>
      <c r="AS557" s="14">
        <v>4.2620128248580601E-2</v>
      </c>
      <c r="AT557" s="14" t="s">
        <v>88</v>
      </c>
      <c r="AU557" s="14" t="s">
        <v>88</v>
      </c>
      <c r="AV557" s="14"/>
      <c r="AW557" s="14">
        <v>5.3435675456585202E-2</v>
      </c>
      <c r="AX557" s="14">
        <v>2.0130889802342799E-2</v>
      </c>
      <c r="AY557" s="14"/>
      <c r="AZ557" s="14">
        <v>4.256925670759E-2</v>
      </c>
      <c r="BA557" s="14">
        <v>4.2908389198135902E-2</v>
      </c>
    </row>
    <row r="558" spans="2:53" x14ac:dyDescent="0.35">
      <c r="B558" t="s">
        <v>116</v>
      </c>
      <c r="C558" s="14">
        <v>5.8584067960241001E-2</v>
      </c>
      <c r="D558" s="14">
        <v>3.3079020345757097E-2</v>
      </c>
      <c r="E558" s="14">
        <v>8.8164318768964703E-2</v>
      </c>
      <c r="F558" s="14"/>
      <c r="G558" s="14">
        <v>0</v>
      </c>
      <c r="H558" s="14">
        <v>4.5392824003343497E-2</v>
      </c>
      <c r="I558" s="14">
        <v>6.5396143044094204E-2</v>
      </c>
      <c r="J558" s="14">
        <v>2.72796371556791E-2</v>
      </c>
      <c r="K558" s="14">
        <v>0.17071115138931001</v>
      </c>
      <c r="L558" s="14" t="s">
        <v>88</v>
      </c>
      <c r="M558" s="14"/>
      <c r="N558" s="14">
        <v>4.9135711637383103E-2</v>
      </c>
      <c r="O558" s="14">
        <v>5.9059465510360801E-2</v>
      </c>
      <c r="P558" s="14">
        <v>3.3605165089068703E-2</v>
      </c>
      <c r="Q558" s="14">
        <v>8.5577497338758302E-2</v>
      </c>
      <c r="R558" s="14"/>
      <c r="S558" s="14">
        <v>1.3286789978549599E-2</v>
      </c>
      <c r="T558" s="14">
        <v>3.58855996511451E-2</v>
      </c>
      <c r="U558" s="14">
        <v>0.118375653952403</v>
      </c>
      <c r="V558" s="14">
        <v>0</v>
      </c>
      <c r="W558" s="14">
        <v>0</v>
      </c>
      <c r="X558" s="14">
        <v>7.5957423266311205E-2</v>
      </c>
      <c r="Y558" s="14">
        <v>6.5117417342363898E-2</v>
      </c>
      <c r="Z558" s="14">
        <v>0.100765224855124</v>
      </c>
      <c r="AA558" s="14">
        <v>0.20564433421438499</v>
      </c>
      <c r="AB558" s="14"/>
      <c r="AC558" s="14">
        <v>0</v>
      </c>
      <c r="AD558" s="14">
        <v>0.108442627747213</v>
      </c>
      <c r="AE558" s="14">
        <v>2.1006133047105701E-2</v>
      </c>
      <c r="AF558" s="14">
        <v>2.02067794200766E-2</v>
      </c>
      <c r="AG558" s="14">
        <v>0.104647245424812</v>
      </c>
      <c r="AH558" s="14"/>
      <c r="AI558" s="14">
        <v>2.76131476694602E-2</v>
      </c>
      <c r="AJ558" s="14">
        <v>1.7841376906502001E-2</v>
      </c>
      <c r="AK558" s="14">
        <v>0.11558596910831299</v>
      </c>
      <c r="AL558" s="14">
        <v>8.1017914963085302E-2</v>
      </c>
      <c r="AM558" s="14">
        <v>0</v>
      </c>
      <c r="AN558" s="14">
        <v>0.31241479464294197</v>
      </c>
      <c r="AO558" s="14"/>
      <c r="AP558" s="14">
        <v>3.6448547227398501E-2</v>
      </c>
      <c r="AQ558" s="14">
        <v>8.0760602673245599E-2</v>
      </c>
      <c r="AR558" s="14"/>
      <c r="AS558" s="14">
        <v>5.8584067960241001E-2</v>
      </c>
      <c r="AT558" s="14" t="s">
        <v>88</v>
      </c>
      <c r="AU558" s="14" t="s">
        <v>88</v>
      </c>
      <c r="AV558" s="14"/>
      <c r="AW558" s="14">
        <v>6.8762960686179195E-2</v>
      </c>
      <c r="AX558" s="14">
        <v>0</v>
      </c>
      <c r="AY558" s="14"/>
      <c r="AZ558" s="14">
        <v>4.9810296988381998E-2</v>
      </c>
      <c r="BA558" s="14">
        <v>0.10830018629048201</v>
      </c>
    </row>
    <row r="559" spans="2:53" x14ac:dyDescent="0.35"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</row>
    <row r="560" spans="2:53" x14ac:dyDescent="0.35">
      <c r="B560" s="6" t="s">
        <v>243</v>
      </c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</row>
    <row r="561" spans="2:53" x14ac:dyDescent="0.35">
      <c r="B561" s="24" t="s">
        <v>219</v>
      </c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</row>
    <row r="562" spans="2:53" x14ac:dyDescent="0.35">
      <c r="B562" t="s">
        <v>220</v>
      </c>
      <c r="C562" s="14">
        <v>0.242832845020889</v>
      </c>
      <c r="D562" s="14">
        <v>0.31786989809704902</v>
      </c>
      <c r="E562" s="14">
        <v>0.15580635193252301</v>
      </c>
      <c r="F562" s="14"/>
      <c r="G562" s="14">
        <v>0</v>
      </c>
      <c r="H562" s="14">
        <v>0.29571876917994999</v>
      </c>
      <c r="I562" s="14">
        <v>0.222113345762737</v>
      </c>
      <c r="J562" s="14">
        <v>0.33531980936436401</v>
      </c>
      <c r="K562" s="14">
        <v>0</v>
      </c>
      <c r="L562" s="14" t="s">
        <v>88</v>
      </c>
      <c r="M562" s="14"/>
      <c r="N562" s="14">
        <v>0.27563008743189299</v>
      </c>
      <c r="O562" s="14">
        <v>0.25906280739610099</v>
      </c>
      <c r="P562" s="14">
        <v>0.29291640162439198</v>
      </c>
      <c r="Q562" s="14">
        <v>0.15636348354364901</v>
      </c>
      <c r="R562" s="14"/>
      <c r="S562" s="14">
        <v>0.29078449542096602</v>
      </c>
      <c r="T562" s="14">
        <v>0.27295236398516298</v>
      </c>
      <c r="U562" s="14">
        <v>0.124928841048736</v>
      </c>
      <c r="V562" s="14">
        <v>0.31110900109258799</v>
      </c>
      <c r="W562" s="14">
        <v>0.19985458008335</v>
      </c>
      <c r="X562" s="14">
        <v>0.167270962520608</v>
      </c>
      <c r="Y562" s="14">
        <v>0.25000409634893</v>
      </c>
      <c r="Z562" s="14">
        <v>0.17760896668933401</v>
      </c>
      <c r="AA562" s="14">
        <v>0.24234668181313701</v>
      </c>
      <c r="AB562" s="14"/>
      <c r="AC562" s="14">
        <v>9.3798901513841904E-2</v>
      </c>
      <c r="AD562" s="14">
        <v>0.23242406507211699</v>
      </c>
      <c r="AE562" s="14">
        <v>0.18678664017857599</v>
      </c>
      <c r="AF562" s="14">
        <v>0.41494957497388002</v>
      </c>
      <c r="AG562" s="14">
        <v>0.52941507114286901</v>
      </c>
      <c r="AH562" s="14"/>
      <c r="AI562" s="14">
        <v>0.289321553872815</v>
      </c>
      <c r="AJ562" s="14">
        <v>0.30554714892329399</v>
      </c>
      <c r="AK562" s="14">
        <v>0.24124825489936899</v>
      </c>
      <c r="AL562" s="14">
        <v>0.128729932419057</v>
      </c>
      <c r="AM562" s="14">
        <v>0.16463964367412501</v>
      </c>
      <c r="AN562" s="14">
        <v>0.133685149612642</v>
      </c>
      <c r="AO562" s="14"/>
      <c r="AP562" s="14">
        <v>0.32929624468303498</v>
      </c>
      <c r="AQ562" s="14">
        <v>0.15620924094334701</v>
      </c>
      <c r="AR562" s="14"/>
      <c r="AS562" s="14">
        <v>0.242832845020889</v>
      </c>
      <c r="AT562" s="14" t="s">
        <v>88</v>
      </c>
      <c r="AU562" s="14" t="s">
        <v>88</v>
      </c>
      <c r="AV562" s="14"/>
      <c r="AW562" s="14">
        <v>0.189031852909022</v>
      </c>
      <c r="AX562" s="14">
        <v>0.37846152839423802</v>
      </c>
      <c r="AY562" s="14"/>
      <c r="AZ562" s="14">
        <v>0.26367852042661499</v>
      </c>
      <c r="BA562" s="14">
        <v>0.12471190609178601</v>
      </c>
    </row>
    <row r="563" spans="2:53" x14ac:dyDescent="0.35">
      <c r="B563" t="s">
        <v>221</v>
      </c>
      <c r="C563" s="14">
        <v>0.48631738224640197</v>
      </c>
      <c r="D563" s="14">
        <v>0.50054800955193501</v>
      </c>
      <c r="E563" s="14">
        <v>0.46981298157929202</v>
      </c>
      <c r="F563" s="14"/>
      <c r="G563" s="14">
        <v>0.38006236960749301</v>
      </c>
      <c r="H563" s="14">
        <v>0.44874042754229898</v>
      </c>
      <c r="I563" s="14">
        <v>0.50821793623728195</v>
      </c>
      <c r="J563" s="14">
        <v>0.50592143478384199</v>
      </c>
      <c r="K563" s="14">
        <v>0.35063741080009397</v>
      </c>
      <c r="L563" s="14" t="s">
        <v>88</v>
      </c>
      <c r="M563" s="14"/>
      <c r="N563" s="14">
        <v>0.485405884456867</v>
      </c>
      <c r="O563" s="14">
        <v>0.46667802596945401</v>
      </c>
      <c r="P563" s="14">
        <v>0.38906228003922499</v>
      </c>
      <c r="Q563" s="14">
        <v>0.56600091927735496</v>
      </c>
      <c r="R563" s="14"/>
      <c r="S563" s="14">
        <v>0.56345272392991996</v>
      </c>
      <c r="T563" s="14">
        <v>0.43853348696283001</v>
      </c>
      <c r="U563" s="14">
        <v>0.61560400704618001</v>
      </c>
      <c r="V563" s="14">
        <v>0.30589896732761401</v>
      </c>
      <c r="W563" s="14">
        <v>0.57343839489573001</v>
      </c>
      <c r="X563" s="14">
        <v>0.39278538726336398</v>
      </c>
      <c r="Y563" s="14">
        <v>0.53386875591082605</v>
      </c>
      <c r="Z563" s="14">
        <v>0.43503330382910799</v>
      </c>
      <c r="AA563" s="14">
        <v>0.44474165320993397</v>
      </c>
      <c r="AB563" s="14"/>
      <c r="AC563" s="14">
        <v>0.50616137376070403</v>
      </c>
      <c r="AD563" s="14">
        <v>0.39213679856142403</v>
      </c>
      <c r="AE563" s="14">
        <v>0.556584471717253</v>
      </c>
      <c r="AF563" s="14">
        <v>0.46579593291952998</v>
      </c>
      <c r="AG563" s="14">
        <v>0.29361991854194303</v>
      </c>
      <c r="AH563" s="14"/>
      <c r="AI563" s="14">
        <v>0.51898803063682097</v>
      </c>
      <c r="AJ563" s="14">
        <v>0.44378926363972598</v>
      </c>
      <c r="AK563" s="14">
        <v>0.25893127091643597</v>
      </c>
      <c r="AL563" s="14">
        <v>0.53759860779244395</v>
      </c>
      <c r="AM563" s="14">
        <v>0.73103154650781599</v>
      </c>
      <c r="AN563" s="14">
        <v>0.55390401900062902</v>
      </c>
      <c r="AO563" s="14"/>
      <c r="AP563" s="14">
        <v>0.44345824759364799</v>
      </c>
      <c r="AQ563" s="14">
        <v>0.52925592879642402</v>
      </c>
      <c r="AR563" s="14"/>
      <c r="AS563" s="14">
        <v>0.48631738224640197</v>
      </c>
      <c r="AT563" s="14" t="s">
        <v>88</v>
      </c>
      <c r="AU563" s="14" t="s">
        <v>88</v>
      </c>
      <c r="AV563" s="14"/>
      <c r="AW563" s="14">
        <v>0.53261822633995903</v>
      </c>
      <c r="AX563" s="14">
        <v>0.36317681889710701</v>
      </c>
      <c r="AY563" s="14"/>
      <c r="AZ563" s="14">
        <v>0.480607875309427</v>
      </c>
      <c r="BA563" s="14">
        <v>0.51867000729170798</v>
      </c>
    </row>
    <row r="564" spans="2:53" x14ac:dyDescent="0.35">
      <c r="B564" t="s">
        <v>222</v>
      </c>
      <c r="C564" s="14">
        <v>0.181468795090199</v>
      </c>
      <c r="D564" s="14">
        <v>0.13097823482785201</v>
      </c>
      <c r="E564" s="14">
        <v>0.240026750307858</v>
      </c>
      <c r="F564" s="14"/>
      <c r="G564" s="14">
        <v>0.43227563595914398</v>
      </c>
      <c r="H564" s="14">
        <v>0.233255585404951</v>
      </c>
      <c r="I564" s="14">
        <v>0.16740042524845</v>
      </c>
      <c r="J564" s="14">
        <v>9.0638835587185204E-2</v>
      </c>
      <c r="K564" s="14">
        <v>0.28113468356662802</v>
      </c>
      <c r="L564" s="14" t="s">
        <v>88</v>
      </c>
      <c r="M564" s="14"/>
      <c r="N564" s="14">
        <v>0.14477687476506201</v>
      </c>
      <c r="O564" s="14">
        <v>0.182685049489514</v>
      </c>
      <c r="P564" s="14">
        <v>0.21152516377938199</v>
      </c>
      <c r="Q564" s="14">
        <v>0.20691269546079799</v>
      </c>
      <c r="R564" s="14"/>
      <c r="S564" s="14">
        <v>0.110639327215396</v>
      </c>
      <c r="T564" s="14">
        <v>0.216383777784876</v>
      </c>
      <c r="U564" s="14">
        <v>0.14109152029205499</v>
      </c>
      <c r="V564" s="14">
        <v>0.25280706604227798</v>
      </c>
      <c r="W564" s="14">
        <v>0.16798013370752801</v>
      </c>
      <c r="X564" s="14">
        <v>0.28281620191796197</v>
      </c>
      <c r="Y564" s="14">
        <v>9.3411088205599693E-2</v>
      </c>
      <c r="Z564" s="14">
        <v>0.28659250462643399</v>
      </c>
      <c r="AA564" s="14">
        <v>0.218892400084988</v>
      </c>
      <c r="AB564" s="14"/>
      <c r="AC564" s="14">
        <v>0.377440304161137</v>
      </c>
      <c r="AD564" s="14">
        <v>0.172076089619635</v>
      </c>
      <c r="AE564" s="14">
        <v>0.194228761182968</v>
      </c>
      <c r="AF564" s="14">
        <v>0.102462248427269</v>
      </c>
      <c r="AG564" s="14">
        <v>9.58403239749058E-2</v>
      </c>
      <c r="AH564" s="14"/>
      <c r="AI564" s="14">
        <v>0.160615621869176</v>
      </c>
      <c r="AJ564" s="14">
        <v>0.12798657142769801</v>
      </c>
      <c r="AK564" s="14">
        <v>0.319243874474128</v>
      </c>
      <c r="AL564" s="14">
        <v>0.183583465381326</v>
      </c>
      <c r="AM564" s="14">
        <v>0.104328809818059</v>
      </c>
      <c r="AN564" s="14">
        <v>0.230420464820497</v>
      </c>
      <c r="AO564" s="14"/>
      <c r="AP564" s="14">
        <v>0.143900554496521</v>
      </c>
      <c r="AQ564" s="14">
        <v>0.21910664430492699</v>
      </c>
      <c r="AR564" s="14"/>
      <c r="AS564" s="14">
        <v>0.181468795090199</v>
      </c>
      <c r="AT564" s="14" t="s">
        <v>88</v>
      </c>
      <c r="AU564" s="14" t="s">
        <v>88</v>
      </c>
      <c r="AV564" s="14"/>
      <c r="AW564" s="14">
        <v>0.178068674318662</v>
      </c>
      <c r="AX564" s="14">
        <v>0.18647294974030099</v>
      </c>
      <c r="AY564" s="14"/>
      <c r="AZ564" s="14">
        <v>0.17846438132504799</v>
      </c>
      <c r="BA564" s="14">
        <v>0.19849314992466399</v>
      </c>
    </row>
    <row r="565" spans="2:53" x14ac:dyDescent="0.35">
      <c r="B565" t="s">
        <v>223</v>
      </c>
      <c r="C565" s="14">
        <v>1.8312310625626799E-2</v>
      </c>
      <c r="D565" s="14">
        <v>1.1566772109735E-2</v>
      </c>
      <c r="E565" s="14">
        <v>2.6135653053996701E-2</v>
      </c>
      <c r="F565" s="14"/>
      <c r="G565" s="14">
        <v>0</v>
      </c>
      <c r="H565" s="14">
        <v>0</v>
      </c>
      <c r="I565" s="14">
        <v>3.1214731677586701E-2</v>
      </c>
      <c r="J565" s="14">
        <v>0</v>
      </c>
      <c r="K565" s="14">
        <v>0</v>
      </c>
      <c r="L565" s="14" t="s">
        <v>88</v>
      </c>
      <c r="M565" s="14"/>
      <c r="N565" s="14">
        <v>1.8820210508206699E-2</v>
      </c>
      <c r="O565" s="14">
        <v>0</v>
      </c>
      <c r="P565" s="14">
        <v>3.09176604301027E-2</v>
      </c>
      <c r="Q565" s="14">
        <v>2.5946111182532899E-2</v>
      </c>
      <c r="R565" s="14"/>
      <c r="S565" s="14">
        <v>0</v>
      </c>
      <c r="T565" s="14">
        <v>1.34339494329643E-2</v>
      </c>
      <c r="U565" s="14">
        <v>0</v>
      </c>
      <c r="V565" s="14">
        <v>5.6926256886224998E-2</v>
      </c>
      <c r="W565" s="14">
        <v>0</v>
      </c>
      <c r="X565" s="14">
        <v>0.11468388534528</v>
      </c>
      <c r="Y565" s="14">
        <v>0</v>
      </c>
      <c r="Z565" s="14">
        <v>0</v>
      </c>
      <c r="AA565" s="14">
        <v>0</v>
      </c>
      <c r="AB565" s="14"/>
      <c r="AC565" s="14">
        <v>2.2599420564316401E-2</v>
      </c>
      <c r="AD565" s="14">
        <v>3.6728958827989898E-2</v>
      </c>
      <c r="AE565" s="14">
        <v>1.2774102469577799E-2</v>
      </c>
      <c r="AF565" s="14">
        <v>0</v>
      </c>
      <c r="AG565" s="14">
        <v>0</v>
      </c>
      <c r="AH565" s="14"/>
      <c r="AI565" s="14">
        <v>0</v>
      </c>
      <c r="AJ565" s="14">
        <v>3.6397806306213601E-2</v>
      </c>
      <c r="AK565" s="14">
        <v>0</v>
      </c>
      <c r="AL565" s="14">
        <v>0</v>
      </c>
      <c r="AM565" s="14">
        <v>0</v>
      </c>
      <c r="AN565" s="14">
        <v>0</v>
      </c>
      <c r="AO565" s="14"/>
      <c r="AP565" s="14">
        <v>2.2771405228597399E-2</v>
      </c>
      <c r="AQ565" s="14">
        <v>1.38449539528457E-2</v>
      </c>
      <c r="AR565" s="14"/>
      <c r="AS565" s="14">
        <v>1.8312310625626799E-2</v>
      </c>
      <c r="AT565" s="14" t="s">
        <v>88</v>
      </c>
      <c r="AU565" s="14" t="s">
        <v>88</v>
      </c>
      <c r="AV565" s="14"/>
      <c r="AW565" s="14">
        <v>2.63938410363064E-2</v>
      </c>
      <c r="AX565" s="14">
        <v>0</v>
      </c>
      <c r="AY565" s="14"/>
      <c r="AZ565" s="14">
        <v>7.3073836813894698E-3</v>
      </c>
      <c r="BA565" s="14">
        <v>8.0671158597633894E-2</v>
      </c>
    </row>
    <row r="566" spans="2:53" x14ac:dyDescent="0.35">
      <c r="B566" t="s">
        <v>116</v>
      </c>
      <c r="C566" s="14">
        <v>2.0640636742077601E-2</v>
      </c>
      <c r="D566" s="14">
        <v>0</v>
      </c>
      <c r="E566" s="14">
        <v>4.4579239833949E-2</v>
      </c>
      <c r="F566" s="14"/>
      <c r="G566" s="14">
        <v>0</v>
      </c>
      <c r="H566" s="14">
        <v>0</v>
      </c>
      <c r="I566" s="14">
        <v>2.9403926668533899E-2</v>
      </c>
      <c r="J566" s="14">
        <v>2.72796371556791E-2</v>
      </c>
      <c r="K566" s="14">
        <v>0</v>
      </c>
      <c r="L566" s="14" t="s">
        <v>88</v>
      </c>
      <c r="M566" s="14"/>
      <c r="N566" s="14">
        <v>1.02737401239086E-2</v>
      </c>
      <c r="O566" s="14">
        <v>2.3891730247598501E-2</v>
      </c>
      <c r="P566" s="14">
        <v>3.3605165089068703E-2</v>
      </c>
      <c r="Q566" s="14">
        <v>2.24446711197171E-2</v>
      </c>
      <c r="R566" s="14"/>
      <c r="S566" s="14">
        <v>1.3286789978549599E-2</v>
      </c>
      <c r="T566" s="14">
        <v>0</v>
      </c>
      <c r="U566" s="14">
        <v>5.3250046811360398E-2</v>
      </c>
      <c r="V566" s="14">
        <v>0</v>
      </c>
      <c r="W566" s="14">
        <v>0</v>
      </c>
      <c r="X566" s="14">
        <v>0</v>
      </c>
      <c r="Y566" s="14">
        <v>6.5117417342363898E-2</v>
      </c>
      <c r="Z566" s="14">
        <v>0.100765224855124</v>
      </c>
      <c r="AA566" s="14">
        <v>0</v>
      </c>
      <c r="AB566" s="14"/>
      <c r="AC566" s="14">
        <v>0</v>
      </c>
      <c r="AD566" s="14">
        <v>5.9836628108883502E-2</v>
      </c>
      <c r="AE566" s="14">
        <v>0</v>
      </c>
      <c r="AF566" s="14">
        <v>0</v>
      </c>
      <c r="AG566" s="14">
        <v>0</v>
      </c>
      <c r="AH566" s="14"/>
      <c r="AI566" s="14">
        <v>0</v>
      </c>
      <c r="AJ566" s="14">
        <v>1.7841376906502001E-2</v>
      </c>
      <c r="AK566" s="14">
        <v>5.1995136332923103E-2</v>
      </c>
      <c r="AL566" s="14">
        <v>4.9106515321166201E-2</v>
      </c>
      <c r="AM566" s="14">
        <v>0</v>
      </c>
      <c r="AN566" s="14">
        <v>8.1990366566232598E-2</v>
      </c>
      <c r="AO566" s="14"/>
      <c r="AP566" s="14">
        <v>0</v>
      </c>
      <c r="AQ566" s="14">
        <v>4.1319517656320297E-2</v>
      </c>
      <c r="AR566" s="14"/>
      <c r="AS566" s="14">
        <v>2.0640636742077601E-2</v>
      </c>
      <c r="AT566" s="14" t="s">
        <v>88</v>
      </c>
      <c r="AU566" s="14" t="s">
        <v>88</v>
      </c>
      <c r="AV566" s="14"/>
      <c r="AW566" s="14">
        <v>2.9749696594604101E-2</v>
      </c>
      <c r="AX566" s="14">
        <v>0</v>
      </c>
      <c r="AY566" s="14"/>
      <c r="AZ566" s="14">
        <v>1.06144016465625E-2</v>
      </c>
      <c r="BA566" s="14">
        <v>7.7453778094208406E-2</v>
      </c>
    </row>
    <row r="567" spans="2:53" x14ac:dyDescent="0.35">
      <c r="B567" t="s">
        <v>224</v>
      </c>
      <c r="C567" s="14">
        <v>0.72915022726729095</v>
      </c>
      <c r="D567" s="14">
        <v>0.81841790764898403</v>
      </c>
      <c r="E567" s="14">
        <v>0.62561933351181498</v>
      </c>
      <c r="F567" s="14"/>
      <c r="G567" s="14">
        <v>0.38006236960749301</v>
      </c>
      <c r="H567" s="14">
        <v>0.74445919672225003</v>
      </c>
      <c r="I567" s="14">
        <v>0.73033128200001995</v>
      </c>
      <c r="J567" s="14">
        <v>0.841241244148206</v>
      </c>
      <c r="K567" s="14">
        <v>0.35063741080009397</v>
      </c>
      <c r="L567" s="14" t="s">
        <v>88</v>
      </c>
      <c r="M567" s="14"/>
      <c r="N567" s="14">
        <v>0.76103597188876004</v>
      </c>
      <c r="O567" s="14">
        <v>0.72574083336555495</v>
      </c>
      <c r="P567" s="14">
        <v>0.68197868166361597</v>
      </c>
      <c r="Q567" s="14">
        <v>0.722364402821004</v>
      </c>
      <c r="R567" s="14"/>
      <c r="S567" s="14">
        <v>0.85423721935088703</v>
      </c>
      <c r="T567" s="14">
        <v>0.71148585094799299</v>
      </c>
      <c r="U567" s="14">
        <v>0.74053284809491704</v>
      </c>
      <c r="V567" s="14">
        <v>0.617007968420202</v>
      </c>
      <c r="W567" s="14">
        <v>0.77329297497908001</v>
      </c>
      <c r="X567" s="14">
        <v>0.56005634978397201</v>
      </c>
      <c r="Y567" s="14">
        <v>0.783872852259756</v>
      </c>
      <c r="Z567" s="14">
        <v>0.612642270518442</v>
      </c>
      <c r="AA567" s="14">
        <v>0.68708833502307098</v>
      </c>
      <c r="AB567" s="14"/>
      <c r="AC567" s="14">
        <v>0.59996027527454598</v>
      </c>
      <c r="AD567" s="14">
        <v>0.62456086363354102</v>
      </c>
      <c r="AE567" s="14">
        <v>0.74337111189582905</v>
      </c>
      <c r="AF567" s="14">
        <v>0.880745507893409</v>
      </c>
      <c r="AG567" s="14">
        <v>0.82303498968481303</v>
      </c>
      <c r="AH567" s="14"/>
      <c r="AI567" s="14">
        <v>0.80830958450963597</v>
      </c>
      <c r="AJ567" s="14">
        <v>0.74933641256301997</v>
      </c>
      <c r="AK567" s="14">
        <v>0.50017952581580405</v>
      </c>
      <c r="AL567" s="14">
        <v>0.66632854021150101</v>
      </c>
      <c r="AM567" s="14">
        <v>0.89567119018194097</v>
      </c>
      <c r="AN567" s="14">
        <v>0.68758916861327002</v>
      </c>
      <c r="AO567" s="14"/>
      <c r="AP567" s="14">
        <v>0.77275449227668302</v>
      </c>
      <c r="AQ567" s="14">
        <v>0.68546516973977101</v>
      </c>
      <c r="AR567" s="14"/>
      <c r="AS567" s="14">
        <v>0.72915022726729095</v>
      </c>
      <c r="AT567" s="14" t="s">
        <v>88</v>
      </c>
      <c r="AU567" s="14" t="s">
        <v>88</v>
      </c>
      <c r="AV567" s="14"/>
      <c r="AW567" s="14">
        <v>0.72165007924898095</v>
      </c>
      <c r="AX567" s="14">
        <v>0.74163834729134503</v>
      </c>
      <c r="AY567" s="14"/>
      <c r="AZ567" s="14">
        <v>0.74428639573604305</v>
      </c>
      <c r="BA567" s="14">
        <v>0.64338191338349404</v>
      </c>
    </row>
    <row r="568" spans="2:53" x14ac:dyDescent="0.35"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</row>
    <row r="569" spans="2:53" x14ac:dyDescent="0.35">
      <c r="B569" s="6" t="s">
        <v>244</v>
      </c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</row>
    <row r="570" spans="2:53" x14ac:dyDescent="0.35">
      <c r="B570" s="24" t="s">
        <v>219</v>
      </c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</row>
    <row r="571" spans="2:53" x14ac:dyDescent="0.35">
      <c r="B571" t="s">
        <v>226</v>
      </c>
      <c r="C571" s="14">
        <v>0.29341390193642602</v>
      </c>
      <c r="D571" s="14">
        <v>0.311346063816895</v>
      </c>
      <c r="E571" s="14">
        <v>0.27261653452960399</v>
      </c>
      <c r="F571" s="14"/>
      <c r="G571" s="14">
        <v>0</v>
      </c>
      <c r="H571" s="14">
        <v>0.37191131307528902</v>
      </c>
      <c r="I571" s="14">
        <v>0.259339176432484</v>
      </c>
      <c r="J571" s="14">
        <v>0.37180345764318101</v>
      </c>
      <c r="K571" s="14">
        <v>0.17071115138931001</v>
      </c>
      <c r="L571" s="14" t="s">
        <v>88</v>
      </c>
      <c r="M571" s="14"/>
      <c r="N571" s="14">
        <v>0.24957799003469799</v>
      </c>
      <c r="O571" s="14">
        <v>0.30515073266343001</v>
      </c>
      <c r="P571" s="14">
        <v>0.38711428072959703</v>
      </c>
      <c r="Q571" s="14">
        <v>0.278358092214257</v>
      </c>
      <c r="R571" s="14"/>
      <c r="S571" s="14">
        <v>0.352834846872424</v>
      </c>
      <c r="T571" s="14">
        <v>0.202231283811976</v>
      </c>
      <c r="U571" s="14">
        <v>0.246231229327533</v>
      </c>
      <c r="V571" s="14">
        <v>0.46695229977129499</v>
      </c>
      <c r="W571" s="14">
        <v>0.12722906029557299</v>
      </c>
      <c r="X571" s="14">
        <v>0.15996873080002</v>
      </c>
      <c r="Y571" s="14">
        <v>0.30126013855319</v>
      </c>
      <c r="Z571" s="14">
        <v>0.211437090786111</v>
      </c>
      <c r="AA571" s="14">
        <v>0.34927083120684199</v>
      </c>
      <c r="AB571" s="14"/>
      <c r="AC571" s="14">
        <v>0.33030991811142102</v>
      </c>
      <c r="AD571" s="14">
        <v>0.230979088639234</v>
      </c>
      <c r="AE571" s="14">
        <v>0.340598548197246</v>
      </c>
      <c r="AF571" s="14">
        <v>0.30266687631157402</v>
      </c>
      <c r="AG571" s="14">
        <v>0.495119486630485</v>
      </c>
      <c r="AH571" s="14"/>
      <c r="AI571" s="14">
        <v>0.297933150599476</v>
      </c>
      <c r="AJ571" s="14">
        <v>0.43612878490270701</v>
      </c>
      <c r="AK571" s="14">
        <v>0.30623890731404002</v>
      </c>
      <c r="AL571" s="14">
        <v>0.257310110302581</v>
      </c>
      <c r="AM571" s="14">
        <v>0.223429567543767</v>
      </c>
      <c r="AN571" s="14">
        <v>0</v>
      </c>
      <c r="AO571" s="14"/>
      <c r="AP571" s="14">
        <v>0.28748384756536399</v>
      </c>
      <c r="AQ571" s="14">
        <v>0.29935494385710398</v>
      </c>
      <c r="AR571" s="14"/>
      <c r="AS571" s="14">
        <v>0.29341390193642602</v>
      </c>
      <c r="AT571" s="14" t="s">
        <v>88</v>
      </c>
      <c r="AU571" s="14" t="s">
        <v>88</v>
      </c>
      <c r="AV571" s="14"/>
      <c r="AW571" s="14">
        <v>0.25254143654193401</v>
      </c>
      <c r="AX571" s="14">
        <v>0.40211900475005102</v>
      </c>
      <c r="AY571" s="14"/>
      <c r="AZ571" s="14">
        <v>0.32172373301906099</v>
      </c>
      <c r="BA571" s="14">
        <v>0.13299771184806999</v>
      </c>
    </row>
    <row r="572" spans="2:53" x14ac:dyDescent="0.35">
      <c r="B572" t="s">
        <v>227</v>
      </c>
      <c r="C572" s="14">
        <v>0.377284908532173</v>
      </c>
      <c r="D572" s="14">
        <v>0.36003931591411997</v>
      </c>
      <c r="E572" s="14">
        <v>0.39728600645983803</v>
      </c>
      <c r="F572" s="14"/>
      <c r="G572" s="14">
        <v>0</v>
      </c>
      <c r="H572" s="14">
        <v>0.32319304876329802</v>
      </c>
      <c r="I572" s="14">
        <v>0.43088751160400601</v>
      </c>
      <c r="J572" s="14">
        <v>0.31048547708469798</v>
      </c>
      <c r="K572" s="14">
        <v>0.24311859076244399</v>
      </c>
      <c r="L572" s="14" t="s">
        <v>88</v>
      </c>
      <c r="M572" s="14"/>
      <c r="N572" s="14">
        <v>0.40550080453520498</v>
      </c>
      <c r="O572" s="14">
        <v>0.40838496296892501</v>
      </c>
      <c r="P572" s="14">
        <v>0.292401939856403</v>
      </c>
      <c r="Q572" s="14">
        <v>0.36825280872094801</v>
      </c>
      <c r="R572" s="14"/>
      <c r="S572" s="14">
        <v>0.44098179664534498</v>
      </c>
      <c r="T572" s="14">
        <v>0.51894166456299695</v>
      </c>
      <c r="U572" s="14">
        <v>0.40804161553176599</v>
      </c>
      <c r="V572" s="14">
        <v>0.17282146144841401</v>
      </c>
      <c r="W572" s="14">
        <v>0.50369934788649495</v>
      </c>
      <c r="X572" s="14">
        <v>0.47573819765042702</v>
      </c>
      <c r="Y572" s="14">
        <v>0.280860802260954</v>
      </c>
      <c r="Z572" s="14">
        <v>0.31415920980845002</v>
      </c>
      <c r="AA572" s="14">
        <v>0.20974344175079301</v>
      </c>
      <c r="AB572" s="14"/>
      <c r="AC572" s="14">
        <v>0.47605566511702602</v>
      </c>
      <c r="AD572" s="14">
        <v>0.33864850779789402</v>
      </c>
      <c r="AE572" s="14">
        <v>0.34839401921416402</v>
      </c>
      <c r="AF572" s="14">
        <v>0.54199850072773503</v>
      </c>
      <c r="AG572" s="14">
        <v>0.198038211834971</v>
      </c>
      <c r="AH572" s="14"/>
      <c r="AI572" s="14">
        <v>0.39161967020726501</v>
      </c>
      <c r="AJ572" s="14">
        <v>0.27756068400503597</v>
      </c>
      <c r="AK572" s="14">
        <v>0.29590314766384601</v>
      </c>
      <c r="AL572" s="14">
        <v>0.36693160502574301</v>
      </c>
      <c r="AM572" s="14">
        <v>0.55766504599795996</v>
      </c>
      <c r="AN572" s="14">
        <v>0.54772342763595105</v>
      </c>
      <c r="AO572" s="14"/>
      <c r="AP572" s="14">
        <v>0.38879282035145402</v>
      </c>
      <c r="AQ572" s="14">
        <v>0.36575567418459998</v>
      </c>
      <c r="AR572" s="14"/>
      <c r="AS572" s="14">
        <v>0.377284908532173</v>
      </c>
      <c r="AT572" s="14" t="s">
        <v>88</v>
      </c>
      <c r="AU572" s="14" t="s">
        <v>88</v>
      </c>
      <c r="AV572" s="14"/>
      <c r="AW572" s="14">
        <v>0.389184517719525</v>
      </c>
      <c r="AX572" s="14">
        <v>0.36810944652233002</v>
      </c>
      <c r="AY572" s="14"/>
      <c r="AZ572" s="14">
        <v>0.367828312377533</v>
      </c>
      <c r="BA572" s="14">
        <v>0.43087022035913097</v>
      </c>
    </row>
    <row r="573" spans="2:53" x14ac:dyDescent="0.35">
      <c r="B573" t="s">
        <v>228</v>
      </c>
      <c r="C573" s="14">
        <v>0.211276489630947</v>
      </c>
      <c r="D573" s="14">
        <v>0.243508821295332</v>
      </c>
      <c r="E573" s="14">
        <v>0.173894067563205</v>
      </c>
      <c r="F573" s="14"/>
      <c r="G573" s="14">
        <v>0.56772436404085602</v>
      </c>
      <c r="H573" s="14">
        <v>0.19217069009195101</v>
      </c>
      <c r="I573" s="14">
        <v>0.179812321411712</v>
      </c>
      <c r="J573" s="14">
        <v>0.24959114500751201</v>
      </c>
      <c r="K573" s="14">
        <v>0.58617025784824595</v>
      </c>
      <c r="L573" s="14" t="s">
        <v>88</v>
      </c>
      <c r="M573" s="14"/>
      <c r="N573" s="14">
        <v>0.26934021282352</v>
      </c>
      <c r="O573" s="14">
        <v>0.117204212844503</v>
      </c>
      <c r="P573" s="14">
        <v>0.21822476400768301</v>
      </c>
      <c r="Q573" s="14">
        <v>0.218201247819584</v>
      </c>
      <c r="R573" s="14"/>
      <c r="S573" s="14">
        <v>0.117276618896982</v>
      </c>
      <c r="T573" s="14">
        <v>0.24294145197388201</v>
      </c>
      <c r="U573" s="14">
        <v>0.29247710832934098</v>
      </c>
      <c r="V573" s="14">
        <v>0.193212286406373</v>
      </c>
      <c r="W573" s="14">
        <v>0.31034470050453999</v>
      </c>
      <c r="X573" s="14">
        <v>0.18177467572375</v>
      </c>
      <c r="Y573" s="14">
        <v>0.28557108209424797</v>
      </c>
      <c r="Z573" s="14">
        <v>0.257223629306776</v>
      </c>
      <c r="AA573" s="14">
        <v>0.21889242430570999</v>
      </c>
      <c r="AB573" s="14"/>
      <c r="AC573" s="14">
        <v>0.19363441677155299</v>
      </c>
      <c r="AD573" s="14">
        <v>0.25221376073304602</v>
      </c>
      <c r="AE573" s="14">
        <v>0.21874410619704199</v>
      </c>
      <c r="AF573" s="14">
        <v>0.104657476443808</v>
      </c>
      <c r="AG573" s="14">
        <v>0.12987729121935601</v>
      </c>
      <c r="AH573" s="14"/>
      <c r="AI573" s="14">
        <v>0.25518734381762598</v>
      </c>
      <c r="AJ573" s="14">
        <v>0.174410634315564</v>
      </c>
      <c r="AK573" s="14">
        <v>0.27738201358021403</v>
      </c>
      <c r="AL573" s="14">
        <v>0.152754854542163</v>
      </c>
      <c r="AM573" s="14">
        <v>0.21890538645827301</v>
      </c>
      <c r="AN573" s="14">
        <v>0.183713052393154</v>
      </c>
      <c r="AO573" s="14"/>
      <c r="AP573" s="14">
        <v>0.20970593860652201</v>
      </c>
      <c r="AQ573" s="14">
        <v>0.21284995066365001</v>
      </c>
      <c r="AR573" s="14"/>
      <c r="AS573" s="14">
        <v>0.211276489630947</v>
      </c>
      <c r="AT573" s="14" t="s">
        <v>88</v>
      </c>
      <c r="AU573" s="14" t="s">
        <v>88</v>
      </c>
      <c r="AV573" s="14"/>
      <c r="AW573" s="14">
        <v>0.25111207241894901</v>
      </c>
      <c r="AX573" s="14">
        <v>0.110715918719865</v>
      </c>
      <c r="AY573" s="14"/>
      <c r="AZ573" s="14">
        <v>0.20584696348152201</v>
      </c>
      <c r="BA573" s="14">
        <v>0.24204261805938801</v>
      </c>
    </row>
    <row r="574" spans="2:53" x14ac:dyDescent="0.35">
      <c r="B574" t="s">
        <v>229</v>
      </c>
      <c r="C574" s="14">
        <v>3.5096015012898898E-2</v>
      </c>
      <c r="D574" s="14">
        <v>4.7378086316244399E-2</v>
      </c>
      <c r="E574" s="14">
        <v>2.08515111368398E-2</v>
      </c>
      <c r="F574" s="14"/>
      <c r="G574" s="14">
        <v>0</v>
      </c>
      <c r="H574" s="14">
        <v>4.8055104056743701E-2</v>
      </c>
      <c r="I574" s="14">
        <v>4.0198209677394597E-2</v>
      </c>
      <c r="J574" s="14">
        <v>0</v>
      </c>
      <c r="K574" s="14">
        <v>0</v>
      </c>
      <c r="L574" s="14" t="s">
        <v>88</v>
      </c>
      <c r="M574" s="14"/>
      <c r="N574" s="14">
        <v>8.2973884234904607E-3</v>
      </c>
      <c r="O574" s="14">
        <v>5.9089576563945201E-2</v>
      </c>
      <c r="P574" s="14">
        <v>6.8653850317247897E-2</v>
      </c>
      <c r="Q574" s="14">
        <v>2.5946111182532899E-2</v>
      </c>
      <c r="R574" s="14"/>
      <c r="S574" s="14">
        <v>2.9065055450172898E-2</v>
      </c>
      <c r="T574" s="14">
        <v>0</v>
      </c>
      <c r="U574" s="14">
        <v>0</v>
      </c>
      <c r="V574" s="14">
        <v>0.15169396112716399</v>
      </c>
      <c r="W574" s="14">
        <v>0</v>
      </c>
      <c r="X574" s="14">
        <v>3.2496614032015099E-2</v>
      </c>
      <c r="Y574" s="14">
        <v>0</v>
      </c>
      <c r="Z574" s="14">
        <v>0.116414845243539</v>
      </c>
      <c r="AA574" s="14">
        <v>0</v>
      </c>
      <c r="AB574" s="14"/>
      <c r="AC574" s="14">
        <v>0</v>
      </c>
      <c r="AD574" s="14">
        <v>9.7873311147610803E-2</v>
      </c>
      <c r="AE574" s="14">
        <v>2.89630395350352E-2</v>
      </c>
      <c r="AF574" s="14">
        <v>0</v>
      </c>
      <c r="AG574" s="14">
        <v>0</v>
      </c>
      <c r="AH574" s="14"/>
      <c r="AI574" s="14">
        <v>1.6993472667744602E-2</v>
      </c>
      <c r="AJ574" s="14">
        <v>6.0583315789890603E-2</v>
      </c>
      <c r="AK574" s="14">
        <v>6.8480795108976394E-2</v>
      </c>
      <c r="AL574" s="14">
        <v>0</v>
      </c>
      <c r="AM574" s="14">
        <v>0</v>
      </c>
      <c r="AN574" s="14">
        <v>3.7528202418130999E-2</v>
      </c>
      <c r="AO574" s="14"/>
      <c r="AP574" s="14">
        <v>3.33020814474215E-2</v>
      </c>
      <c r="AQ574" s="14">
        <v>3.6893272482817298E-2</v>
      </c>
      <c r="AR574" s="14"/>
      <c r="AS574" s="14">
        <v>3.5096015012898898E-2</v>
      </c>
      <c r="AT574" s="14" t="s">
        <v>88</v>
      </c>
      <c r="AU574" s="14" t="s">
        <v>88</v>
      </c>
      <c r="AV574" s="14"/>
      <c r="AW574" s="14">
        <v>3.39898855171352E-2</v>
      </c>
      <c r="AX574" s="14">
        <v>4.1792298126063103E-2</v>
      </c>
      <c r="AY574" s="14"/>
      <c r="AZ574" s="14">
        <v>3.3153068573978497E-2</v>
      </c>
      <c r="BA574" s="14">
        <v>4.61056202757337E-2</v>
      </c>
    </row>
    <row r="575" spans="2:53" x14ac:dyDescent="0.35">
      <c r="B575" t="s">
        <v>116</v>
      </c>
      <c r="C575" s="14">
        <v>5.3899805727893102E-2</v>
      </c>
      <c r="D575" s="14">
        <v>2.8594012091649801E-2</v>
      </c>
      <c r="E575" s="14">
        <v>8.3248965705496503E-2</v>
      </c>
      <c r="F575" s="14"/>
      <c r="G575" s="14">
        <v>0</v>
      </c>
      <c r="H575" s="14">
        <v>4.5392824003343497E-2</v>
      </c>
      <c r="I575" s="14">
        <v>6.7558362957735998E-2</v>
      </c>
      <c r="J575" s="14">
        <v>2.72796371556791E-2</v>
      </c>
      <c r="K575" s="14">
        <v>0</v>
      </c>
      <c r="L575" s="14" t="s">
        <v>88</v>
      </c>
      <c r="M575" s="14"/>
      <c r="N575" s="14">
        <v>2.3845395673056002E-2</v>
      </c>
      <c r="O575" s="14">
        <v>7.4596751076694806E-2</v>
      </c>
      <c r="P575" s="14">
        <v>3.3605165089068703E-2</v>
      </c>
      <c r="Q575" s="14">
        <v>8.5577497338758302E-2</v>
      </c>
      <c r="R575" s="14"/>
      <c r="S575" s="14">
        <v>1.3286789978549599E-2</v>
      </c>
      <c r="T575" s="14">
        <v>3.58855996511451E-2</v>
      </c>
      <c r="U575" s="14">
        <v>5.3250046811360398E-2</v>
      </c>
      <c r="V575" s="14">
        <v>0</v>
      </c>
      <c r="W575" s="14">
        <v>0</v>
      </c>
      <c r="X575" s="14">
        <v>0.140074832873016</v>
      </c>
      <c r="Y575" s="14">
        <v>6.5117417342363898E-2</v>
      </c>
      <c r="Z575" s="14">
        <v>0.100765224855124</v>
      </c>
      <c r="AA575" s="14">
        <v>0.17278978754302601</v>
      </c>
      <c r="AB575" s="14"/>
      <c r="AC575" s="14">
        <v>0</v>
      </c>
      <c r="AD575" s="14">
        <v>5.9836628108883502E-2</v>
      </c>
      <c r="AE575" s="14">
        <v>5.3392210002207598E-2</v>
      </c>
      <c r="AF575" s="14">
        <v>2.02067794200766E-2</v>
      </c>
      <c r="AG575" s="14">
        <v>0</v>
      </c>
      <c r="AH575" s="14"/>
      <c r="AI575" s="14">
        <v>1.2076645460056001E-2</v>
      </c>
      <c r="AJ575" s="14">
        <v>3.7112229344490801E-2</v>
      </c>
      <c r="AK575" s="14">
        <v>5.1995136332923103E-2</v>
      </c>
      <c r="AL575" s="14">
        <v>8.1017914963085302E-2</v>
      </c>
      <c r="AM575" s="14">
        <v>0</v>
      </c>
      <c r="AN575" s="14">
        <v>0.23103531755276399</v>
      </c>
      <c r="AO575" s="14"/>
      <c r="AP575" s="14">
        <v>3.9926664174221901E-2</v>
      </c>
      <c r="AQ575" s="14">
        <v>6.7898837530878997E-2</v>
      </c>
      <c r="AR575" s="14"/>
      <c r="AS575" s="14">
        <v>5.3899805727893102E-2</v>
      </c>
      <c r="AT575" s="14" t="s">
        <v>88</v>
      </c>
      <c r="AU575" s="14" t="s">
        <v>88</v>
      </c>
      <c r="AV575" s="14"/>
      <c r="AW575" s="14">
        <v>5.6732907338558597E-2</v>
      </c>
      <c r="AX575" s="14">
        <v>1.3293646934494601E-2</v>
      </c>
      <c r="AY575" s="14"/>
      <c r="AZ575" s="14">
        <v>3.7296102461422301E-2</v>
      </c>
      <c r="BA575" s="14">
        <v>0.14798382945767799</v>
      </c>
    </row>
    <row r="576" spans="2:53" x14ac:dyDescent="0.35"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</row>
    <row r="577" spans="2:53" x14ac:dyDescent="0.35">
      <c r="B577" s="6" t="s">
        <v>245</v>
      </c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</row>
    <row r="578" spans="2:53" x14ac:dyDescent="0.35">
      <c r="B578" s="24" t="s">
        <v>219</v>
      </c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</row>
    <row r="579" spans="2:53" x14ac:dyDescent="0.35">
      <c r="B579" t="s">
        <v>231</v>
      </c>
      <c r="C579" s="14">
        <v>0.18122823971598201</v>
      </c>
      <c r="D579" s="14">
        <v>0.193227935962692</v>
      </c>
      <c r="E579" s="14">
        <v>0.16731122885713601</v>
      </c>
      <c r="F579" s="14"/>
      <c r="G579" s="14">
        <v>0.43227563595914398</v>
      </c>
      <c r="H579" s="14">
        <v>9.4366533106264902E-2</v>
      </c>
      <c r="I579" s="14">
        <v>0.215598025814626</v>
      </c>
      <c r="J579" s="14">
        <v>0.20781122434327501</v>
      </c>
      <c r="K579" s="14">
        <v>0</v>
      </c>
      <c r="L579" s="14" t="s">
        <v>88</v>
      </c>
      <c r="M579" s="14"/>
      <c r="N579" s="14">
        <v>9.3736087388066894E-2</v>
      </c>
      <c r="O579" s="14">
        <v>0.163214120834447</v>
      </c>
      <c r="P579" s="14">
        <v>0.33851399259357801</v>
      </c>
      <c r="Q579" s="14">
        <v>0.206528121120825</v>
      </c>
      <c r="R579" s="14"/>
      <c r="S579" s="14">
        <v>0.28070615376130897</v>
      </c>
      <c r="T579" s="14">
        <v>0.24116818371150001</v>
      </c>
      <c r="U579" s="14">
        <v>0</v>
      </c>
      <c r="V579" s="14">
        <v>0.16207271483556401</v>
      </c>
      <c r="W579" s="14">
        <v>0.10925323710382299</v>
      </c>
      <c r="X579" s="14">
        <v>0.15933964058938299</v>
      </c>
      <c r="Y579" s="14">
        <v>9.7050703459757498E-2</v>
      </c>
      <c r="Z579" s="14">
        <v>9.9004384347769106E-2</v>
      </c>
      <c r="AA579" s="14">
        <v>0.25119155633734702</v>
      </c>
      <c r="AB579" s="14"/>
      <c r="AC579" s="14">
        <v>7.2242985574884497E-2</v>
      </c>
      <c r="AD579" s="14">
        <v>0.12675466460901599</v>
      </c>
      <c r="AE579" s="14">
        <v>0.12455692078960599</v>
      </c>
      <c r="AF579" s="14">
        <v>0.377533152268553</v>
      </c>
      <c r="AG579" s="14">
        <v>0.20482447329350201</v>
      </c>
      <c r="AH579" s="14"/>
      <c r="AI579" s="14">
        <v>0.137623471624579</v>
      </c>
      <c r="AJ579" s="14">
        <v>0.29304780537611202</v>
      </c>
      <c r="AK579" s="14">
        <v>8.5550745733092695E-2</v>
      </c>
      <c r="AL579" s="14">
        <v>0.19765193630814301</v>
      </c>
      <c r="AM579" s="14">
        <v>2.5192581663955702E-2</v>
      </c>
      <c r="AN579" s="14">
        <v>0.37220149879964698</v>
      </c>
      <c r="AO579" s="14"/>
      <c r="AP579" s="14">
        <v>0.20137220226838701</v>
      </c>
      <c r="AQ579" s="14">
        <v>0.16104695325823701</v>
      </c>
      <c r="AR579" s="14"/>
      <c r="AS579" s="14">
        <v>0.18122823971598201</v>
      </c>
      <c r="AT579" s="14" t="s">
        <v>88</v>
      </c>
      <c r="AU579" s="14" t="s">
        <v>88</v>
      </c>
      <c r="AV579" s="14"/>
      <c r="AW579" s="14">
        <v>0.13000517714793899</v>
      </c>
      <c r="AX579" s="14">
        <v>0.27972132158336099</v>
      </c>
      <c r="AY579" s="14"/>
      <c r="AZ579" s="14">
        <v>0.188113690822198</v>
      </c>
      <c r="BA579" s="14">
        <v>0.142212188003251</v>
      </c>
    </row>
    <row r="580" spans="2:53" x14ac:dyDescent="0.35">
      <c r="B580" t="s">
        <v>232</v>
      </c>
      <c r="C580" s="14">
        <v>0.70042013138700698</v>
      </c>
      <c r="D580" s="14">
        <v>0.65155147159563698</v>
      </c>
      <c r="E580" s="14">
        <v>0.75709703845123999</v>
      </c>
      <c r="F580" s="14"/>
      <c r="G580" s="14">
        <v>0.56772436404085602</v>
      </c>
      <c r="H580" s="14">
        <v>0.78004468777353897</v>
      </c>
      <c r="I580" s="14">
        <v>0.68431365741112005</v>
      </c>
      <c r="J580" s="14">
        <v>0.554486984614603</v>
      </c>
      <c r="K580" s="14">
        <v>1</v>
      </c>
      <c r="L580" s="14" t="s">
        <v>88</v>
      </c>
      <c r="M580" s="14"/>
      <c r="N580" s="14">
        <v>0.74085961669671896</v>
      </c>
      <c r="O580" s="14">
        <v>0.76548391774086999</v>
      </c>
      <c r="P580" s="14">
        <v>0.66148600740642205</v>
      </c>
      <c r="Q580" s="14">
        <v>0.61731119272193102</v>
      </c>
      <c r="R580" s="14"/>
      <c r="S580" s="14">
        <v>0.62905787561139603</v>
      </c>
      <c r="T580" s="14">
        <v>0.73199935471551103</v>
      </c>
      <c r="U580" s="14">
        <v>0.88162434604759699</v>
      </c>
      <c r="V580" s="14">
        <v>0.69476532426122195</v>
      </c>
      <c r="W580" s="14">
        <v>0.89074676289617705</v>
      </c>
      <c r="X580" s="14">
        <v>0.52119131650578299</v>
      </c>
      <c r="Y580" s="14">
        <v>0.71442891790575203</v>
      </c>
      <c r="Z580" s="14">
        <v>0.90099561565223096</v>
      </c>
      <c r="AA580" s="14">
        <v>0.56695234788442594</v>
      </c>
      <c r="AB580" s="14"/>
      <c r="AC580" s="14">
        <v>0.73921543770711695</v>
      </c>
      <c r="AD580" s="14">
        <v>0.78854566508881097</v>
      </c>
      <c r="AE580" s="14">
        <v>0.73643124350765599</v>
      </c>
      <c r="AF580" s="14">
        <v>0.58879626863400902</v>
      </c>
      <c r="AG580" s="14">
        <v>0.58047168017351403</v>
      </c>
      <c r="AH580" s="14"/>
      <c r="AI580" s="14">
        <v>0.76435643234877004</v>
      </c>
      <c r="AJ580" s="14">
        <v>0.59896137789886605</v>
      </c>
      <c r="AK580" s="14">
        <v>0.79886328515859495</v>
      </c>
      <c r="AL580" s="14">
        <v>0.68390155910186501</v>
      </c>
      <c r="AM580" s="14">
        <v>0.872157127741788</v>
      </c>
      <c r="AN580" s="14">
        <v>0.363242086404378</v>
      </c>
      <c r="AO580" s="14"/>
      <c r="AP580" s="14">
        <v>0.69548328167487095</v>
      </c>
      <c r="AQ580" s="14">
        <v>0.705366128381405</v>
      </c>
      <c r="AR580" s="14"/>
      <c r="AS580" s="14">
        <v>0.70042013138700698</v>
      </c>
      <c r="AT580" s="14" t="s">
        <v>88</v>
      </c>
      <c r="AU580" s="14" t="s">
        <v>88</v>
      </c>
      <c r="AV580" s="14"/>
      <c r="AW580" s="14">
        <v>0.74336300687826795</v>
      </c>
      <c r="AX580" s="14">
        <v>0.64906975986160698</v>
      </c>
      <c r="AY580" s="14"/>
      <c r="AZ580" s="14">
        <v>0.68341323117928898</v>
      </c>
      <c r="BA580" s="14">
        <v>0.79678884968036601</v>
      </c>
    </row>
    <row r="581" spans="2:53" x14ac:dyDescent="0.35">
      <c r="B581" t="s">
        <v>233</v>
      </c>
      <c r="C581" s="14">
        <v>6.3379852898557507E-2</v>
      </c>
      <c r="D581" s="14">
        <v>9.8988197299476902E-2</v>
      </c>
      <c r="E581" s="14">
        <v>2.2081997894183501E-2</v>
      </c>
      <c r="F581" s="14"/>
      <c r="G581" s="14">
        <v>0</v>
      </c>
      <c r="H581" s="14">
        <v>5.6445533273562401E-2</v>
      </c>
      <c r="I581" s="14">
        <v>6.5700860012243803E-2</v>
      </c>
      <c r="J581" s="14">
        <v>9.1013736376300405E-2</v>
      </c>
      <c r="K581" s="14">
        <v>0</v>
      </c>
      <c r="L581" s="14" t="s">
        <v>88</v>
      </c>
      <c r="M581" s="14"/>
      <c r="N581" s="14">
        <v>0.114836845606515</v>
      </c>
      <c r="O581" s="14">
        <v>1.6335660635317901E-2</v>
      </c>
      <c r="P581" s="14">
        <v>0</v>
      </c>
      <c r="Q581" s="14">
        <v>8.1145369232692999E-2</v>
      </c>
      <c r="R581" s="14"/>
      <c r="S581" s="14">
        <v>7.6949180648745896E-2</v>
      </c>
      <c r="T581" s="14">
        <v>2.6832461572988499E-2</v>
      </c>
      <c r="U581" s="14">
        <v>6.5125607141042305E-2</v>
      </c>
      <c r="V581" s="14">
        <v>9.3111654373543296E-2</v>
      </c>
      <c r="W581" s="14">
        <v>0</v>
      </c>
      <c r="X581" s="14">
        <v>7.9369929255848903E-2</v>
      </c>
      <c r="Y581" s="14">
        <v>9.3165629018829896E-2</v>
      </c>
      <c r="Z581" s="14">
        <v>0</v>
      </c>
      <c r="AA581" s="14">
        <v>7.01876360826027E-2</v>
      </c>
      <c r="AB581" s="14"/>
      <c r="AC581" s="14">
        <v>0</v>
      </c>
      <c r="AD581" s="14">
        <v>5.4792405870199401E-2</v>
      </c>
      <c r="AE581" s="14">
        <v>9.0641263495215896E-2</v>
      </c>
      <c r="AF581" s="14">
        <v>1.3463799677361299E-2</v>
      </c>
      <c r="AG581" s="14">
        <v>0.21470384653298399</v>
      </c>
      <c r="AH581" s="14"/>
      <c r="AI581" s="14">
        <v>9.8020096026650794E-2</v>
      </c>
      <c r="AJ581" s="14">
        <v>2.4779594086050499E-2</v>
      </c>
      <c r="AK581" s="14">
        <v>6.3590832775389405E-2</v>
      </c>
      <c r="AL581" s="14">
        <v>3.3551151039107302E-2</v>
      </c>
      <c r="AM581" s="14">
        <v>0.102650290594256</v>
      </c>
      <c r="AN581" s="14">
        <v>0</v>
      </c>
      <c r="AO581" s="14"/>
      <c r="AP581" s="14">
        <v>6.6991804996571896E-2</v>
      </c>
      <c r="AQ581" s="14">
        <v>5.9761208365633402E-2</v>
      </c>
      <c r="AR581" s="14"/>
      <c r="AS581" s="14">
        <v>6.3379852898557507E-2</v>
      </c>
      <c r="AT581" s="14" t="s">
        <v>88</v>
      </c>
      <c r="AU581" s="14" t="s">
        <v>88</v>
      </c>
      <c r="AV581" s="14"/>
      <c r="AW581" s="14">
        <v>6.8353859870214598E-2</v>
      </c>
      <c r="AX581" s="14">
        <v>5.7915271620537098E-2</v>
      </c>
      <c r="AY581" s="14"/>
      <c r="AZ581" s="14">
        <v>7.0494593179696405E-2</v>
      </c>
      <c r="BA581" s="14">
        <v>2.3064545963768598E-2</v>
      </c>
    </row>
    <row r="582" spans="2:53" x14ac:dyDescent="0.35">
      <c r="B582" t="s">
        <v>116</v>
      </c>
      <c r="C582" s="14">
        <v>5.4971775998452703E-2</v>
      </c>
      <c r="D582" s="14">
        <v>5.6232395142194101E-2</v>
      </c>
      <c r="E582" s="14">
        <v>5.35097347974407E-2</v>
      </c>
      <c r="F582" s="14"/>
      <c r="G582" s="14">
        <v>0</v>
      </c>
      <c r="H582" s="14">
        <v>6.9143245846633394E-2</v>
      </c>
      <c r="I582" s="14">
        <v>3.4387456762010202E-2</v>
      </c>
      <c r="J582" s="14">
        <v>0.14668805466582199</v>
      </c>
      <c r="K582" s="14">
        <v>0</v>
      </c>
      <c r="L582" s="14" t="s">
        <v>88</v>
      </c>
      <c r="M582" s="14"/>
      <c r="N582" s="14">
        <v>5.0567450308699503E-2</v>
      </c>
      <c r="O582" s="14">
        <v>5.4966300789365201E-2</v>
      </c>
      <c r="P582" s="14">
        <v>0</v>
      </c>
      <c r="Q582" s="14">
        <v>9.5015316924550897E-2</v>
      </c>
      <c r="R582" s="14"/>
      <c r="S582" s="14">
        <v>1.3286789978549599E-2</v>
      </c>
      <c r="T582" s="14">
        <v>0</v>
      </c>
      <c r="U582" s="14">
        <v>5.3250046811360398E-2</v>
      </c>
      <c r="V582" s="14">
        <v>5.0050306529671101E-2</v>
      </c>
      <c r="W582" s="14">
        <v>0</v>
      </c>
      <c r="X582" s="14">
        <v>0.24009911364898601</v>
      </c>
      <c r="Y582" s="14">
        <v>9.5354749615660594E-2</v>
      </c>
      <c r="Z582" s="14">
        <v>0</v>
      </c>
      <c r="AA582" s="14">
        <v>0.111668459695625</v>
      </c>
      <c r="AB582" s="14"/>
      <c r="AC582" s="14">
        <v>0.18854157671799801</v>
      </c>
      <c r="AD582" s="14">
        <v>2.9907264431973699E-2</v>
      </c>
      <c r="AE582" s="14">
        <v>4.8370572207521702E-2</v>
      </c>
      <c r="AF582" s="14">
        <v>2.02067794200766E-2</v>
      </c>
      <c r="AG582" s="14">
        <v>0</v>
      </c>
      <c r="AH582" s="14"/>
      <c r="AI582" s="14">
        <v>0</v>
      </c>
      <c r="AJ582" s="14">
        <v>8.32112226389711E-2</v>
      </c>
      <c r="AK582" s="14">
        <v>5.1995136332923103E-2</v>
      </c>
      <c r="AL582" s="14">
        <v>8.4895353550884803E-2</v>
      </c>
      <c r="AM582" s="14">
        <v>0</v>
      </c>
      <c r="AN582" s="14">
        <v>0.26455641479597503</v>
      </c>
      <c r="AO582" s="14"/>
      <c r="AP582" s="14">
        <v>3.6152711060170199E-2</v>
      </c>
      <c r="AQ582" s="14">
        <v>7.3825709994724098E-2</v>
      </c>
      <c r="AR582" s="14"/>
      <c r="AS582" s="14">
        <v>5.4971775998452703E-2</v>
      </c>
      <c r="AT582" s="14" t="s">
        <v>88</v>
      </c>
      <c r="AU582" s="14" t="s">
        <v>88</v>
      </c>
      <c r="AV582" s="14"/>
      <c r="AW582" s="14">
        <v>5.8277956103579102E-2</v>
      </c>
      <c r="AX582" s="14">
        <v>1.3293646934494601E-2</v>
      </c>
      <c r="AY582" s="14"/>
      <c r="AZ582" s="14">
        <v>5.7978484818816199E-2</v>
      </c>
      <c r="BA582" s="14">
        <v>3.7934416352614901E-2</v>
      </c>
    </row>
    <row r="583" spans="2:53" x14ac:dyDescent="0.35"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</row>
    <row r="584" spans="2:53" x14ac:dyDescent="0.35">
      <c r="B584" s="6" t="s">
        <v>246</v>
      </c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</row>
    <row r="585" spans="2:53" x14ac:dyDescent="0.35">
      <c r="B585" s="24" t="s">
        <v>219</v>
      </c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</row>
    <row r="586" spans="2:53" x14ac:dyDescent="0.35">
      <c r="B586" t="s">
        <v>235</v>
      </c>
      <c r="C586" s="14">
        <v>0.46168000404626303</v>
      </c>
      <c r="D586" s="14">
        <v>0.50188528175150104</v>
      </c>
      <c r="E586" s="14">
        <v>0.41505071652907399</v>
      </c>
      <c r="F586" s="14"/>
      <c r="G586" s="14">
        <v>0.18766199443336401</v>
      </c>
      <c r="H586" s="14">
        <v>0.47187603299182901</v>
      </c>
      <c r="I586" s="14">
        <v>0.44368573115542798</v>
      </c>
      <c r="J586" s="14">
        <v>0.51140915175462598</v>
      </c>
      <c r="K586" s="14">
        <v>0.631772031255875</v>
      </c>
      <c r="L586" s="14" t="s">
        <v>88</v>
      </c>
      <c r="M586" s="14"/>
      <c r="N586" s="14">
        <v>0.42092706055553197</v>
      </c>
      <c r="O586" s="14">
        <v>0.40170382153440698</v>
      </c>
      <c r="P586" s="14">
        <v>0.65121468903421298</v>
      </c>
      <c r="Q586" s="14">
        <v>0.44592760757240402</v>
      </c>
      <c r="R586" s="14"/>
      <c r="S586" s="14">
        <v>0.474464924378389</v>
      </c>
      <c r="T586" s="14">
        <v>0.49392711685158802</v>
      </c>
      <c r="U586" s="14">
        <v>0.49541050811808801</v>
      </c>
      <c r="V586" s="14">
        <v>0.54620073898804899</v>
      </c>
      <c r="W586" s="14">
        <v>0.495357338514542</v>
      </c>
      <c r="X586" s="14">
        <v>0.52574936845122899</v>
      </c>
      <c r="Y586" s="14">
        <v>0.34486567813062602</v>
      </c>
      <c r="Z586" s="14">
        <v>0.14026381575098401</v>
      </c>
      <c r="AA586" s="14">
        <v>0.46231090199916602</v>
      </c>
      <c r="AB586" s="14"/>
      <c r="AC586" s="14">
        <v>0.50602573787433003</v>
      </c>
      <c r="AD586" s="14">
        <v>0.53534262941933997</v>
      </c>
      <c r="AE586" s="14">
        <v>0.46351286355165899</v>
      </c>
      <c r="AF586" s="14">
        <v>0.40690873213810302</v>
      </c>
      <c r="AG586" s="14">
        <v>0.44569171312872702</v>
      </c>
      <c r="AH586" s="14"/>
      <c r="AI586" s="14">
        <v>0.41990639709266397</v>
      </c>
      <c r="AJ586" s="14">
        <v>0.51855019721181095</v>
      </c>
      <c r="AK586" s="14">
        <v>0.53649424608315199</v>
      </c>
      <c r="AL586" s="14">
        <v>0.50632346500824499</v>
      </c>
      <c r="AM586" s="14">
        <v>0.52992609258082402</v>
      </c>
      <c r="AN586" s="14">
        <v>0.35959851561996797</v>
      </c>
      <c r="AO586" s="14"/>
      <c r="AP586" s="14">
        <v>0.471363267785541</v>
      </c>
      <c r="AQ586" s="14">
        <v>0.45197879859277301</v>
      </c>
      <c r="AR586" s="14"/>
      <c r="AS586" s="14">
        <v>0.46168000404626303</v>
      </c>
      <c r="AT586" s="14" t="s">
        <v>88</v>
      </c>
      <c r="AU586" s="14" t="s">
        <v>88</v>
      </c>
      <c r="AV586" s="14"/>
      <c r="AW586" s="14">
        <v>0.44862492128253101</v>
      </c>
      <c r="AX586" s="14">
        <v>0.51907805980732802</v>
      </c>
      <c r="AY586" s="14"/>
      <c r="AZ586" s="14">
        <v>0.48700191763695799</v>
      </c>
      <c r="BA586" s="14">
        <v>0.31819469351547902</v>
      </c>
    </row>
    <row r="587" spans="2:53" x14ac:dyDescent="0.35">
      <c r="B587" t="s">
        <v>236</v>
      </c>
      <c r="C587" s="14">
        <v>0.46237697668317901</v>
      </c>
      <c r="D587" s="14">
        <v>0.449599382230705</v>
      </c>
      <c r="E587" s="14">
        <v>0.47719617852703999</v>
      </c>
      <c r="F587" s="14"/>
      <c r="G587" s="14">
        <v>0.38006236960749301</v>
      </c>
      <c r="H587" s="14">
        <v>0.47644820423154699</v>
      </c>
      <c r="I587" s="14">
        <v>0.45872006372659302</v>
      </c>
      <c r="J587" s="14">
        <v>0.48859084824537402</v>
      </c>
      <c r="K587" s="14">
        <v>0.368227968744125</v>
      </c>
      <c r="L587" s="14" t="s">
        <v>88</v>
      </c>
      <c r="M587" s="14"/>
      <c r="N587" s="14">
        <v>0.49152835522808103</v>
      </c>
      <c r="O587" s="14">
        <v>0.55806878758267697</v>
      </c>
      <c r="P587" s="14">
        <v>0.28426248544661498</v>
      </c>
      <c r="Q587" s="14">
        <v>0.45372577594282898</v>
      </c>
      <c r="R587" s="14"/>
      <c r="S587" s="14">
        <v>0.479084258286398</v>
      </c>
      <c r="T587" s="14">
        <v>0.418295648852331</v>
      </c>
      <c r="U587" s="14">
        <v>0.37726686589480202</v>
      </c>
      <c r="V587" s="14">
        <v>0.39687300412572601</v>
      </c>
      <c r="W587" s="14">
        <v>0.504642661485458</v>
      </c>
      <c r="X587" s="14">
        <v>0.292039079459536</v>
      </c>
      <c r="Y587" s="14">
        <v>0.55237677529358198</v>
      </c>
      <c r="Z587" s="14">
        <v>0.75897095939389203</v>
      </c>
      <c r="AA587" s="14">
        <v>0.51757608125164301</v>
      </c>
      <c r="AB587" s="14"/>
      <c r="AC587" s="14">
        <v>0.41973346814453399</v>
      </c>
      <c r="AD587" s="14">
        <v>0.36809178364378597</v>
      </c>
      <c r="AE587" s="14">
        <v>0.496914809370612</v>
      </c>
      <c r="AF587" s="14">
        <v>0.514973574426975</v>
      </c>
      <c r="AG587" s="14">
        <v>0.45846796289636799</v>
      </c>
      <c r="AH587" s="14"/>
      <c r="AI587" s="14">
        <v>0.54907229586128803</v>
      </c>
      <c r="AJ587" s="14">
        <v>0.36983211197388699</v>
      </c>
      <c r="AK587" s="14">
        <v>0.41151061758392499</v>
      </c>
      <c r="AL587" s="14">
        <v>0.34752165837174598</v>
      </c>
      <c r="AM587" s="14">
        <v>0.353818815091196</v>
      </c>
      <c r="AN587" s="14">
        <v>0.56241822298871902</v>
      </c>
      <c r="AO587" s="14"/>
      <c r="AP587" s="14">
        <v>0.46232466049401699</v>
      </c>
      <c r="AQ587" s="14">
        <v>0.46242938980681902</v>
      </c>
      <c r="AR587" s="14"/>
      <c r="AS587" s="14">
        <v>0.46237697668317901</v>
      </c>
      <c r="AT587" s="14" t="s">
        <v>88</v>
      </c>
      <c r="AU587" s="14" t="s">
        <v>88</v>
      </c>
      <c r="AV587" s="14"/>
      <c r="AW587" s="14">
        <v>0.45383202962022001</v>
      </c>
      <c r="AX587" s="14">
        <v>0.450915108791967</v>
      </c>
      <c r="AY587" s="14"/>
      <c r="AZ587" s="14">
        <v>0.45236659092658799</v>
      </c>
      <c r="BA587" s="14">
        <v>0.51910030857801204</v>
      </c>
    </row>
    <row r="588" spans="2:53" x14ac:dyDescent="0.35">
      <c r="B588" t="s">
        <v>237</v>
      </c>
      <c r="C588" s="14">
        <v>5.1267605327473799E-2</v>
      </c>
      <c r="D588" s="14">
        <v>4.8515336017793703E-2</v>
      </c>
      <c r="E588" s="14">
        <v>5.4459632948988701E-2</v>
      </c>
      <c r="F588" s="14"/>
      <c r="G588" s="14">
        <v>0</v>
      </c>
      <c r="H588" s="14">
        <v>2.01591582057211E-2</v>
      </c>
      <c r="I588" s="14">
        <v>7.9156579796616305E-2</v>
      </c>
      <c r="J588" s="14">
        <v>0</v>
      </c>
      <c r="K588" s="14">
        <v>0</v>
      </c>
      <c r="L588" s="14" t="s">
        <v>88</v>
      </c>
      <c r="M588" s="14"/>
      <c r="N588" s="14">
        <v>8.19066327920282E-2</v>
      </c>
      <c r="O588" s="14">
        <v>1.6335660635317901E-2</v>
      </c>
      <c r="P588" s="14">
        <v>3.3605165089068703E-2</v>
      </c>
      <c r="Q588" s="14">
        <v>5.5334638312475697E-2</v>
      </c>
      <c r="R588" s="14"/>
      <c r="S588" s="14">
        <v>2.1732588633854601E-2</v>
      </c>
      <c r="T588" s="14">
        <v>8.7777234296080101E-2</v>
      </c>
      <c r="U588" s="14">
        <v>7.4072579175749304E-2</v>
      </c>
      <c r="V588" s="14">
        <v>5.6926256886224998E-2</v>
      </c>
      <c r="W588" s="14">
        <v>0</v>
      </c>
      <c r="X588" s="14">
        <v>5.3153212751557599E-2</v>
      </c>
      <c r="Y588" s="14">
        <v>9.3165629018829896E-2</v>
      </c>
      <c r="Z588" s="14">
        <v>0.100765224855124</v>
      </c>
      <c r="AA588" s="14">
        <v>1.0056507562321E-2</v>
      </c>
      <c r="AB588" s="14"/>
      <c r="AC588" s="14">
        <v>0</v>
      </c>
      <c r="AD588" s="14">
        <v>6.6658322504899697E-2</v>
      </c>
      <c r="AE588" s="14">
        <v>3.9572327077728099E-2</v>
      </c>
      <c r="AF588" s="14">
        <v>6.7851313959478299E-2</v>
      </c>
      <c r="AG588" s="14">
        <v>0</v>
      </c>
      <c r="AH588" s="14"/>
      <c r="AI588" s="14">
        <v>2.6164941170609999E-2</v>
      </c>
      <c r="AJ588" s="14">
        <v>8.4334524951557396E-2</v>
      </c>
      <c r="AK588" s="14">
        <v>0</v>
      </c>
      <c r="AL588" s="14">
        <v>9.11918566352556E-2</v>
      </c>
      <c r="AM588" s="14">
        <v>0.11625509232797999</v>
      </c>
      <c r="AN588" s="14">
        <v>0</v>
      </c>
      <c r="AO588" s="14"/>
      <c r="AP588" s="14">
        <v>4.3347673674452303E-2</v>
      </c>
      <c r="AQ588" s="14">
        <v>5.9202211490465902E-2</v>
      </c>
      <c r="AR588" s="14"/>
      <c r="AS588" s="14">
        <v>5.1267605327473799E-2</v>
      </c>
      <c r="AT588" s="14" t="s">
        <v>88</v>
      </c>
      <c r="AU588" s="14" t="s">
        <v>88</v>
      </c>
      <c r="AV588" s="14"/>
      <c r="AW588" s="14">
        <v>7.2481198572295402E-2</v>
      </c>
      <c r="AX588" s="14">
        <v>3.5551717989743999E-3</v>
      </c>
      <c r="AY588" s="14"/>
      <c r="AZ588" s="14">
        <v>4.4396027781214702E-2</v>
      </c>
      <c r="BA588" s="14">
        <v>9.0205043231994006E-2</v>
      </c>
    </row>
    <row r="589" spans="2:53" x14ac:dyDescent="0.35">
      <c r="B589" t="s">
        <v>238</v>
      </c>
      <c r="C589" s="14">
        <v>1.23740958456334E-2</v>
      </c>
      <c r="D589" s="14">
        <v>0</v>
      </c>
      <c r="E589" s="14">
        <v>2.6725327969472201E-2</v>
      </c>
      <c r="F589" s="14"/>
      <c r="G589" s="14">
        <v>0.43227563595914398</v>
      </c>
      <c r="H589" s="14">
        <v>3.6782482038284401E-3</v>
      </c>
      <c r="I589" s="14">
        <v>8.8382295817578602E-3</v>
      </c>
      <c r="J589" s="14">
        <v>0</v>
      </c>
      <c r="K589" s="14">
        <v>0</v>
      </c>
      <c r="L589" s="14" t="s">
        <v>88</v>
      </c>
      <c r="M589" s="14"/>
      <c r="N589" s="14">
        <v>2.6702674180185001E-3</v>
      </c>
      <c r="O589" s="14">
        <v>0</v>
      </c>
      <c r="P589" s="14">
        <v>3.09176604301027E-2</v>
      </c>
      <c r="Q589" s="14">
        <v>2.3664242723919801E-2</v>
      </c>
      <c r="R589" s="14"/>
      <c r="S589" s="14">
        <v>2.4718228701357699E-2</v>
      </c>
      <c r="T589" s="14">
        <v>0</v>
      </c>
      <c r="U589" s="14">
        <v>0</v>
      </c>
      <c r="V589" s="14">
        <v>0</v>
      </c>
      <c r="W589" s="14">
        <v>0</v>
      </c>
      <c r="X589" s="14">
        <v>6.1530672593721997E-2</v>
      </c>
      <c r="Y589" s="14">
        <v>9.5919175569626602E-3</v>
      </c>
      <c r="Z589" s="14">
        <v>0</v>
      </c>
      <c r="AA589" s="14">
        <v>0</v>
      </c>
      <c r="AB589" s="14"/>
      <c r="AC589" s="14">
        <v>0</v>
      </c>
      <c r="AD589" s="14">
        <v>0</v>
      </c>
      <c r="AE589" s="14">
        <v>0</v>
      </c>
      <c r="AF589" s="14">
        <v>4.8624006400347598E-3</v>
      </c>
      <c r="AG589" s="14">
        <v>9.58403239749058E-2</v>
      </c>
      <c r="AH589" s="14"/>
      <c r="AI589" s="14">
        <v>2.3000899779177602E-3</v>
      </c>
      <c r="AJ589" s="14">
        <v>2.72831658627446E-2</v>
      </c>
      <c r="AK589" s="14">
        <v>0</v>
      </c>
      <c r="AL589" s="14">
        <v>5.49630199847536E-2</v>
      </c>
      <c r="AM589" s="14">
        <v>0</v>
      </c>
      <c r="AN589" s="14">
        <v>0</v>
      </c>
      <c r="AO589" s="14"/>
      <c r="AP589" s="14">
        <v>2.2964398045990399E-2</v>
      </c>
      <c r="AQ589" s="14">
        <v>1.7641713174531501E-3</v>
      </c>
      <c r="AR589" s="14"/>
      <c r="AS589" s="14">
        <v>1.23740958456334E-2</v>
      </c>
      <c r="AT589" s="14" t="s">
        <v>88</v>
      </c>
      <c r="AU589" s="14" t="s">
        <v>88</v>
      </c>
      <c r="AV589" s="14"/>
      <c r="AW589" s="14">
        <v>8.7434167793421901E-3</v>
      </c>
      <c r="AX589" s="14">
        <v>2.28964872284468E-2</v>
      </c>
      <c r="AY589" s="14"/>
      <c r="AZ589" s="14">
        <v>8.4578079220945807E-3</v>
      </c>
      <c r="BA589" s="14">
        <v>3.4565538321900201E-2</v>
      </c>
    </row>
    <row r="590" spans="2:53" x14ac:dyDescent="0.35">
      <c r="B590" t="s">
        <v>116</v>
      </c>
      <c r="C590" s="14">
        <v>1.23013180974515E-2</v>
      </c>
      <c r="D590" s="14">
        <v>0</v>
      </c>
      <c r="E590" s="14">
        <v>2.6568144025424501E-2</v>
      </c>
      <c r="F590" s="14"/>
      <c r="G590" s="14">
        <v>0</v>
      </c>
      <c r="H590" s="14">
        <v>2.78383563670743E-2</v>
      </c>
      <c r="I590" s="14">
        <v>9.5993957396052799E-3</v>
      </c>
      <c r="J590" s="14">
        <v>0</v>
      </c>
      <c r="K590" s="14">
        <v>0</v>
      </c>
      <c r="L590" s="14" t="s">
        <v>88</v>
      </c>
      <c r="M590" s="14"/>
      <c r="N590" s="14">
        <v>2.9676840063410899E-3</v>
      </c>
      <c r="O590" s="14">
        <v>2.3891730247598501E-2</v>
      </c>
      <c r="P590" s="14">
        <v>0</v>
      </c>
      <c r="Q590" s="14">
        <v>2.13477354483716E-2</v>
      </c>
      <c r="R590" s="14"/>
      <c r="S590" s="14">
        <v>0</v>
      </c>
      <c r="T590" s="14">
        <v>0</v>
      </c>
      <c r="U590" s="14">
        <v>5.3250046811360398E-2</v>
      </c>
      <c r="V590" s="14">
        <v>0</v>
      </c>
      <c r="W590" s="14">
        <v>0</v>
      </c>
      <c r="X590" s="14">
        <v>6.7527666743954995E-2</v>
      </c>
      <c r="Y590" s="14">
        <v>0</v>
      </c>
      <c r="Z590" s="14">
        <v>0</v>
      </c>
      <c r="AA590" s="14">
        <v>1.0056509186869501E-2</v>
      </c>
      <c r="AB590" s="14"/>
      <c r="AC590" s="14">
        <v>7.4240793981135797E-2</v>
      </c>
      <c r="AD590" s="14">
        <v>2.9907264431973699E-2</v>
      </c>
      <c r="AE590" s="14">
        <v>0</v>
      </c>
      <c r="AF590" s="14">
        <v>5.4039788354088803E-3</v>
      </c>
      <c r="AG590" s="14">
        <v>0</v>
      </c>
      <c r="AH590" s="14"/>
      <c r="AI590" s="14">
        <v>2.5562758975193698E-3</v>
      </c>
      <c r="AJ590" s="14">
        <v>0</v>
      </c>
      <c r="AK590" s="14">
        <v>5.1995136332923103E-2</v>
      </c>
      <c r="AL590" s="14">
        <v>0</v>
      </c>
      <c r="AM590" s="14">
        <v>0</v>
      </c>
      <c r="AN590" s="14">
        <v>7.7983261391312703E-2</v>
      </c>
      <c r="AO590" s="14"/>
      <c r="AP590" s="14">
        <v>0</v>
      </c>
      <c r="AQ590" s="14">
        <v>2.4625428792488701E-2</v>
      </c>
      <c r="AR590" s="14"/>
      <c r="AS590" s="14">
        <v>1.23013180974515E-2</v>
      </c>
      <c r="AT590" s="14" t="s">
        <v>88</v>
      </c>
      <c r="AU590" s="14" t="s">
        <v>88</v>
      </c>
      <c r="AV590" s="14"/>
      <c r="AW590" s="14">
        <v>1.6318433745611899E-2</v>
      </c>
      <c r="AX590" s="14">
        <v>3.5551723732840301E-3</v>
      </c>
      <c r="AY590" s="14"/>
      <c r="AZ590" s="14">
        <v>7.7776557331441102E-3</v>
      </c>
      <c r="BA590" s="14">
        <v>3.7934416352614901E-2</v>
      </c>
    </row>
    <row r="591" spans="2:53" x14ac:dyDescent="0.35"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</row>
    <row r="592" spans="2:53" x14ac:dyDescent="0.35">
      <c r="B592" s="6" t="s">
        <v>247</v>
      </c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</row>
    <row r="593" spans="2:53" x14ac:dyDescent="0.35">
      <c r="B593" s="24" t="s">
        <v>219</v>
      </c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</row>
    <row r="594" spans="2:53" x14ac:dyDescent="0.35">
      <c r="B594" t="s">
        <v>220</v>
      </c>
      <c r="C594" s="14">
        <v>0.50176188482508</v>
      </c>
      <c r="D594" s="14">
        <v>0.63162323489248695</v>
      </c>
      <c r="E594" s="14">
        <v>0.35115125419948201</v>
      </c>
      <c r="F594" s="14"/>
      <c r="G594" s="14">
        <v>0.38006236960749301</v>
      </c>
      <c r="H594" s="14">
        <v>0.42746938027325099</v>
      </c>
      <c r="I594" s="14">
        <v>0.49629088694545298</v>
      </c>
      <c r="J594" s="14">
        <v>0.72747916503194598</v>
      </c>
      <c r="K594" s="14">
        <v>0.35063741080009397</v>
      </c>
      <c r="L594" s="14" t="s">
        <v>88</v>
      </c>
      <c r="M594" s="14"/>
      <c r="N594" s="14">
        <v>0.49034368090777802</v>
      </c>
      <c r="O594" s="14">
        <v>0.42143058684193102</v>
      </c>
      <c r="P594" s="14">
        <v>0.56717550136997896</v>
      </c>
      <c r="Q594" s="14">
        <v>0.54577990108508401</v>
      </c>
      <c r="R594" s="14"/>
      <c r="S594" s="14">
        <v>0.63655125956852499</v>
      </c>
      <c r="T594" s="14">
        <v>0.45112426613868101</v>
      </c>
      <c r="U594" s="14">
        <v>0.48650682182909399</v>
      </c>
      <c r="V594" s="14">
        <v>0.55011731737088498</v>
      </c>
      <c r="W594" s="14">
        <v>0.62670974961571102</v>
      </c>
      <c r="X594" s="14">
        <v>0.28827766305198299</v>
      </c>
      <c r="Y594" s="14">
        <v>0.42495083215681601</v>
      </c>
      <c r="Z594" s="14">
        <v>0.58879330001099595</v>
      </c>
      <c r="AA594" s="14">
        <v>0.30316889666528501</v>
      </c>
      <c r="AB594" s="14"/>
      <c r="AC594" s="14">
        <v>0.38430864730098402</v>
      </c>
      <c r="AD594" s="14">
        <v>0.52920663129463397</v>
      </c>
      <c r="AE594" s="14">
        <v>0.55255417143141905</v>
      </c>
      <c r="AF594" s="14">
        <v>0.46648971208238899</v>
      </c>
      <c r="AG594" s="14">
        <v>0.33155454857769801</v>
      </c>
      <c r="AH594" s="14"/>
      <c r="AI594" s="14">
        <v>0.58068896266555803</v>
      </c>
      <c r="AJ594" s="14">
        <v>0.35417934923634098</v>
      </c>
      <c r="AK594" s="14">
        <v>0.60778104125273602</v>
      </c>
      <c r="AL594" s="14">
        <v>0.60957692373969097</v>
      </c>
      <c r="AM594" s="14">
        <v>0.47064693998738999</v>
      </c>
      <c r="AN594" s="14">
        <v>0.305421328359685</v>
      </c>
      <c r="AO594" s="14"/>
      <c r="AP594" s="14">
        <v>0.57765671554703402</v>
      </c>
      <c r="AQ594" s="14">
        <v>0.425726431746906</v>
      </c>
      <c r="AR594" s="14"/>
      <c r="AS594" s="14">
        <v>0.50176188482508</v>
      </c>
      <c r="AT594" s="14" t="s">
        <v>88</v>
      </c>
      <c r="AU594" s="14" t="s">
        <v>88</v>
      </c>
      <c r="AV594" s="14"/>
      <c r="AW594" s="14">
        <v>0.50208991965268901</v>
      </c>
      <c r="AX594" s="14">
        <v>0.52992163417643501</v>
      </c>
      <c r="AY594" s="14"/>
      <c r="AZ594" s="14">
        <v>0.55873126909237103</v>
      </c>
      <c r="BA594" s="14">
        <v>0.178947822488839</v>
      </c>
    </row>
    <row r="595" spans="2:53" x14ac:dyDescent="0.35">
      <c r="B595" t="s">
        <v>221</v>
      </c>
      <c r="C595" s="14">
        <v>0.34511422099323602</v>
      </c>
      <c r="D595" s="14">
        <v>0.26537073467063499</v>
      </c>
      <c r="E595" s="14">
        <v>0.43759914246599602</v>
      </c>
      <c r="F595" s="14"/>
      <c r="G595" s="14">
        <v>0</v>
      </c>
      <c r="H595" s="14">
        <v>0.42399861776692499</v>
      </c>
      <c r="I595" s="14">
        <v>0.37649046467251901</v>
      </c>
      <c r="J595" s="14">
        <v>0.103425746508387</v>
      </c>
      <c r="K595" s="14">
        <v>0.28113468356662802</v>
      </c>
      <c r="L595" s="14" t="s">
        <v>88</v>
      </c>
      <c r="M595" s="14"/>
      <c r="N595" s="14">
        <v>0.39177505340871099</v>
      </c>
      <c r="O595" s="14">
        <v>0.39767897956123499</v>
      </c>
      <c r="P595" s="14">
        <v>0.25322091898867599</v>
      </c>
      <c r="Q595" s="14">
        <v>0.29867448834111598</v>
      </c>
      <c r="R595" s="14"/>
      <c r="S595" s="14">
        <v>0.27000340450499599</v>
      </c>
      <c r="T595" s="14">
        <v>0.33171664068732698</v>
      </c>
      <c r="U595" s="14">
        <v>0.37429501419348898</v>
      </c>
      <c r="V595" s="14">
        <v>0.25726501020699699</v>
      </c>
      <c r="W595" s="14">
        <v>0.27723337081135202</v>
      </c>
      <c r="X595" s="14">
        <v>0.56925449321926003</v>
      </c>
      <c r="Y595" s="14">
        <v>0.31933822945945001</v>
      </c>
      <c r="Z595" s="14">
        <v>0.23926820009875299</v>
      </c>
      <c r="AA595" s="14">
        <v>0.56995729177141596</v>
      </c>
      <c r="AB595" s="14"/>
      <c r="AC595" s="14">
        <v>0.34168099664062401</v>
      </c>
      <c r="AD595" s="14">
        <v>0.20978915641925899</v>
      </c>
      <c r="AE595" s="14">
        <v>0.34810328782049199</v>
      </c>
      <c r="AF595" s="14">
        <v>0.43234485361157199</v>
      </c>
      <c r="AG595" s="14">
        <v>0.53552902673243596</v>
      </c>
      <c r="AH595" s="14"/>
      <c r="AI595" s="14">
        <v>0.318124262271682</v>
      </c>
      <c r="AJ595" s="14">
        <v>0.45571471401376201</v>
      </c>
      <c r="AK595" s="14">
        <v>0.28590675676940902</v>
      </c>
      <c r="AL595" s="14">
        <v>0.15182091082927501</v>
      </c>
      <c r="AM595" s="14">
        <v>0.41309796768462997</v>
      </c>
      <c r="AN595" s="14">
        <v>0.489289960004131</v>
      </c>
      <c r="AO595" s="14"/>
      <c r="AP595" s="14">
        <v>0.31115596541826102</v>
      </c>
      <c r="AQ595" s="14">
        <v>0.37913539639906901</v>
      </c>
      <c r="AR595" s="14"/>
      <c r="AS595" s="14">
        <v>0.34511422099323602</v>
      </c>
      <c r="AT595" s="14" t="s">
        <v>88</v>
      </c>
      <c r="AU595" s="14" t="s">
        <v>88</v>
      </c>
      <c r="AV595" s="14"/>
      <c r="AW595" s="14">
        <v>0.33393187551221898</v>
      </c>
      <c r="AX595" s="14">
        <v>0.32722844760863901</v>
      </c>
      <c r="AY595" s="14"/>
      <c r="AZ595" s="14">
        <v>0.31171026973238902</v>
      </c>
      <c r="BA595" s="14">
        <v>0.53439597896348801</v>
      </c>
    </row>
    <row r="596" spans="2:53" x14ac:dyDescent="0.35">
      <c r="B596" t="s">
        <v>222</v>
      </c>
      <c r="C596" s="14">
        <v>8.3047083918277503E-2</v>
      </c>
      <c r="D596" s="14">
        <v>6.7435029207533997E-2</v>
      </c>
      <c r="E596" s="14">
        <v>0.10115363682355601</v>
      </c>
      <c r="F596" s="14"/>
      <c r="G596" s="14">
        <v>0</v>
      </c>
      <c r="H596" s="14">
        <v>0.11091840523279101</v>
      </c>
      <c r="I596" s="14">
        <v>6.3166510396370196E-2</v>
      </c>
      <c r="J596" s="14">
        <v>0.15620609258930701</v>
      </c>
      <c r="K596" s="14">
        <v>0</v>
      </c>
      <c r="L596" s="14" t="s">
        <v>88</v>
      </c>
      <c r="M596" s="14"/>
      <c r="N596" s="14">
        <v>5.1436041262659597E-2</v>
      </c>
      <c r="O596" s="14">
        <v>7.6689734567583295E-2</v>
      </c>
      <c r="P596" s="14">
        <v>0.145998414552276</v>
      </c>
      <c r="Q596" s="14">
        <v>8.8201512985561101E-2</v>
      </c>
      <c r="R596" s="14"/>
      <c r="S596" s="14">
        <v>5.0957421742666403E-2</v>
      </c>
      <c r="T596" s="14">
        <v>0.122577071688681</v>
      </c>
      <c r="U596" s="14">
        <v>7.4072579175749304E-2</v>
      </c>
      <c r="V596" s="14">
        <v>0.192617672422118</v>
      </c>
      <c r="W596" s="14">
        <v>9.6056879572937695E-2</v>
      </c>
      <c r="X596" s="14">
        <v>0</v>
      </c>
      <c r="Y596" s="14">
        <v>0.18852037863449</v>
      </c>
      <c r="Z596" s="14">
        <v>0</v>
      </c>
      <c r="AA596" s="14">
        <v>0</v>
      </c>
      <c r="AB596" s="14"/>
      <c r="AC596" s="14">
        <v>0.19976956207725699</v>
      </c>
      <c r="AD596" s="14">
        <v>0.124277388799247</v>
      </c>
      <c r="AE596" s="14">
        <v>5.8693634698233903E-2</v>
      </c>
      <c r="AF596" s="14">
        <v>6.1856028124505101E-2</v>
      </c>
      <c r="AG596" s="14">
        <v>0</v>
      </c>
      <c r="AH596" s="14"/>
      <c r="AI596" s="14">
        <v>4.8770644297160201E-2</v>
      </c>
      <c r="AJ596" s="14">
        <v>0.131461903170421</v>
      </c>
      <c r="AK596" s="14">
        <v>4.27213910153817E-2</v>
      </c>
      <c r="AL596" s="14">
        <v>3.3551151039107302E-2</v>
      </c>
      <c r="AM596" s="14">
        <v>0.11625509232797999</v>
      </c>
      <c r="AN596" s="14">
        <v>8.977724782674E-2</v>
      </c>
      <c r="AO596" s="14"/>
      <c r="AP596" s="14">
        <v>4.2138255784302997E-2</v>
      </c>
      <c r="AQ596" s="14">
        <v>0.124031710308177</v>
      </c>
      <c r="AR596" s="14"/>
      <c r="AS596" s="14">
        <v>8.3047083918277503E-2</v>
      </c>
      <c r="AT596" s="14" t="s">
        <v>88</v>
      </c>
      <c r="AU596" s="14" t="s">
        <v>88</v>
      </c>
      <c r="AV596" s="14"/>
      <c r="AW596" s="14">
        <v>9.6433431291085697E-2</v>
      </c>
      <c r="AX596" s="14">
        <v>5.8588042593579401E-2</v>
      </c>
      <c r="AY596" s="14"/>
      <c r="AZ596" s="14">
        <v>7.0566368122127798E-2</v>
      </c>
      <c r="BA596" s="14">
        <v>0.15376841290642401</v>
      </c>
    </row>
    <row r="597" spans="2:53" x14ac:dyDescent="0.35">
      <c r="B597" t="s">
        <v>223</v>
      </c>
      <c r="C597" s="14">
        <v>5.6357047060065796E-3</v>
      </c>
      <c r="D597" s="14">
        <v>0</v>
      </c>
      <c r="E597" s="14">
        <v>1.2171883787394E-2</v>
      </c>
      <c r="F597" s="14"/>
      <c r="G597" s="14">
        <v>0</v>
      </c>
      <c r="H597" s="14">
        <v>0</v>
      </c>
      <c r="I597" s="14">
        <v>9.6064889793822297E-3</v>
      </c>
      <c r="J597" s="14">
        <v>0</v>
      </c>
      <c r="K597" s="14">
        <v>0</v>
      </c>
      <c r="L597" s="14" t="s">
        <v>88</v>
      </c>
      <c r="M597" s="14"/>
      <c r="N597" s="14">
        <v>0</v>
      </c>
      <c r="O597" s="14">
        <v>0</v>
      </c>
      <c r="P597" s="14">
        <v>3.3605165089068703E-2</v>
      </c>
      <c r="Q597" s="14">
        <v>0</v>
      </c>
      <c r="R597" s="14"/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>
        <v>0</v>
      </c>
      <c r="Y597" s="14">
        <v>0</v>
      </c>
      <c r="Z597" s="14">
        <v>0.100765224855124</v>
      </c>
      <c r="AA597" s="14">
        <v>0</v>
      </c>
      <c r="AB597" s="14"/>
      <c r="AC597" s="14">
        <v>0</v>
      </c>
      <c r="AD597" s="14">
        <v>2.99293636769098E-2</v>
      </c>
      <c r="AE597" s="14">
        <v>0</v>
      </c>
      <c r="AF597" s="14">
        <v>0</v>
      </c>
      <c r="AG597" s="14">
        <v>0</v>
      </c>
      <c r="AH597" s="14"/>
      <c r="AI597" s="14">
        <v>0</v>
      </c>
      <c r="AJ597" s="14">
        <v>0</v>
      </c>
      <c r="AK597" s="14">
        <v>0</v>
      </c>
      <c r="AL597" s="14">
        <v>4.9106515321166201E-2</v>
      </c>
      <c r="AM597" s="14">
        <v>0</v>
      </c>
      <c r="AN597" s="14">
        <v>0</v>
      </c>
      <c r="AO597" s="14"/>
      <c r="AP597" s="14">
        <v>0</v>
      </c>
      <c r="AQ597" s="14">
        <v>1.12818515734514E-2</v>
      </c>
      <c r="AR597" s="14"/>
      <c r="AS597" s="14">
        <v>5.6357047060065796E-3</v>
      </c>
      <c r="AT597" s="14" t="s">
        <v>88</v>
      </c>
      <c r="AU597" s="14" t="s">
        <v>88</v>
      </c>
      <c r="AV597" s="14"/>
      <c r="AW597" s="14">
        <v>8.1228358986953492E-3</v>
      </c>
      <c r="AX597" s="14">
        <v>0</v>
      </c>
      <c r="AY597" s="14"/>
      <c r="AZ597" s="14">
        <v>0</v>
      </c>
      <c r="BA597" s="14">
        <v>3.7570133235858498E-2</v>
      </c>
    </row>
    <row r="598" spans="2:53" x14ac:dyDescent="0.35">
      <c r="B598" t="s">
        <v>116</v>
      </c>
      <c r="C598" s="14">
        <v>1.4298116507977901E-2</v>
      </c>
      <c r="D598" s="14">
        <v>0</v>
      </c>
      <c r="E598" s="14">
        <v>3.0880789819991501E-2</v>
      </c>
      <c r="F598" s="14"/>
      <c r="G598" s="14">
        <v>0</v>
      </c>
      <c r="H598" s="14">
        <v>2.37504218432899E-2</v>
      </c>
      <c r="I598" s="14">
        <v>1.4672597014272501E-2</v>
      </c>
      <c r="J598" s="14">
        <v>0</v>
      </c>
      <c r="K598" s="14">
        <v>0</v>
      </c>
      <c r="L598" s="14" t="s">
        <v>88</v>
      </c>
      <c r="M598" s="14"/>
      <c r="N598" s="14">
        <v>0</v>
      </c>
      <c r="O598" s="14">
        <v>3.6518312131918702E-2</v>
      </c>
      <c r="P598" s="14">
        <v>0</v>
      </c>
      <c r="Q598" s="14">
        <v>2.13477354483716E-2</v>
      </c>
      <c r="R598" s="14"/>
      <c r="S598" s="14">
        <v>0</v>
      </c>
      <c r="T598" s="14">
        <v>3.58855996511451E-2</v>
      </c>
      <c r="U598" s="14">
        <v>0</v>
      </c>
      <c r="V598" s="14">
        <v>0</v>
      </c>
      <c r="W598" s="14">
        <v>0</v>
      </c>
      <c r="X598" s="14">
        <v>6.7527666743954995E-2</v>
      </c>
      <c r="Y598" s="14">
        <v>0</v>
      </c>
      <c r="Z598" s="14">
        <v>7.1173275035126299E-2</v>
      </c>
      <c r="AA598" s="14">
        <v>0</v>
      </c>
      <c r="AB598" s="14"/>
      <c r="AC598" s="14">
        <v>7.4240793981135797E-2</v>
      </c>
      <c r="AD598" s="14">
        <v>0</v>
      </c>
      <c r="AE598" s="14">
        <v>1.31963496667565E-2</v>
      </c>
      <c r="AF598" s="14">
        <v>0</v>
      </c>
      <c r="AG598" s="14">
        <v>0</v>
      </c>
      <c r="AH598" s="14"/>
      <c r="AI598" s="14">
        <v>2.2466051565893E-2</v>
      </c>
      <c r="AJ598" s="14">
        <v>0</v>
      </c>
      <c r="AK598" s="14">
        <v>0</v>
      </c>
      <c r="AL598" s="14">
        <v>0</v>
      </c>
      <c r="AM598" s="14">
        <v>0</v>
      </c>
      <c r="AN598" s="14">
        <v>7.7983261391312703E-2</v>
      </c>
      <c r="AO598" s="14"/>
      <c r="AP598" s="14">
        <v>1.7199615611002E-2</v>
      </c>
      <c r="AQ598" s="14">
        <v>1.13912413386715E-2</v>
      </c>
      <c r="AR598" s="14"/>
      <c r="AS598" s="14">
        <v>1.4298116507977901E-2</v>
      </c>
      <c r="AT598" s="14" t="s">
        <v>88</v>
      </c>
      <c r="AU598" s="14" t="s">
        <v>88</v>
      </c>
      <c r="AV598" s="14"/>
      <c r="AW598" s="14">
        <v>2.0608115597495199E-2</v>
      </c>
      <c r="AX598" s="14">
        <v>0</v>
      </c>
      <c r="AY598" s="14"/>
      <c r="AZ598" s="14">
        <v>0</v>
      </c>
      <c r="BA598" s="14">
        <v>9.5317652405390405E-2</v>
      </c>
    </row>
    <row r="599" spans="2:53" x14ac:dyDescent="0.35">
      <c r="B599" t="s">
        <v>224</v>
      </c>
      <c r="C599" s="14">
        <v>0.84687610581831596</v>
      </c>
      <c r="D599" s="14">
        <v>0.89699396956312105</v>
      </c>
      <c r="E599" s="14">
        <v>0.78875039666547797</v>
      </c>
      <c r="F599" s="14"/>
      <c r="G599" s="14">
        <v>0.38006236960749301</v>
      </c>
      <c r="H599" s="14">
        <v>0.85146799804017703</v>
      </c>
      <c r="I599" s="14">
        <v>0.87278135161797199</v>
      </c>
      <c r="J599" s="14">
        <v>0.83090491154033397</v>
      </c>
      <c r="K599" s="14">
        <v>0.63177209436672199</v>
      </c>
      <c r="L599" s="14" t="s">
        <v>88</v>
      </c>
      <c r="M599" s="14"/>
      <c r="N599" s="14">
        <v>0.88211873431648902</v>
      </c>
      <c r="O599" s="14">
        <v>0.81910956640316601</v>
      </c>
      <c r="P599" s="14">
        <v>0.82039642035865501</v>
      </c>
      <c r="Q599" s="14">
        <v>0.84445438942619999</v>
      </c>
      <c r="R599" s="14"/>
      <c r="S599" s="14">
        <v>0.90655466407352103</v>
      </c>
      <c r="T599" s="14">
        <v>0.78284090682600804</v>
      </c>
      <c r="U599" s="14">
        <v>0.86080183602258298</v>
      </c>
      <c r="V599" s="14">
        <v>0.80738232757788198</v>
      </c>
      <c r="W599" s="14">
        <v>0.90394312042706204</v>
      </c>
      <c r="X599" s="14">
        <v>0.85753215627124302</v>
      </c>
      <c r="Y599" s="14">
        <v>0.74428906161626596</v>
      </c>
      <c r="Z599" s="14">
        <v>0.82806150010974999</v>
      </c>
      <c r="AA599" s="14">
        <v>0.87312618843670098</v>
      </c>
      <c r="AB599" s="14"/>
      <c r="AC599" s="14">
        <v>0.72598964394160803</v>
      </c>
      <c r="AD599" s="14">
        <v>0.73899578771389296</v>
      </c>
      <c r="AE599" s="14">
        <v>0.90065745925191099</v>
      </c>
      <c r="AF599" s="14">
        <v>0.89883456569396203</v>
      </c>
      <c r="AG599" s="14">
        <v>0.86708357531013303</v>
      </c>
      <c r="AH599" s="14"/>
      <c r="AI599" s="14">
        <v>0.89881322493724003</v>
      </c>
      <c r="AJ599" s="14">
        <v>0.80989406325010305</v>
      </c>
      <c r="AK599" s="14">
        <v>0.89368779802214504</v>
      </c>
      <c r="AL599" s="14">
        <v>0.76139783456896604</v>
      </c>
      <c r="AM599" s="14">
        <v>0.88374490767201996</v>
      </c>
      <c r="AN599" s="14">
        <v>0.79471128836381599</v>
      </c>
      <c r="AO599" s="14"/>
      <c r="AP599" s="14">
        <v>0.88881268096529498</v>
      </c>
      <c r="AQ599" s="14">
        <v>0.80486182814597496</v>
      </c>
      <c r="AR599" s="14"/>
      <c r="AS599" s="14">
        <v>0.84687610581831596</v>
      </c>
      <c r="AT599" s="14" t="s">
        <v>88</v>
      </c>
      <c r="AU599" s="14" t="s">
        <v>88</v>
      </c>
      <c r="AV599" s="14"/>
      <c r="AW599" s="14">
        <v>0.83602179516490704</v>
      </c>
      <c r="AX599" s="14">
        <v>0.85715008178507401</v>
      </c>
      <c r="AY599" s="14"/>
      <c r="AZ599" s="14">
        <v>0.87044153882476005</v>
      </c>
      <c r="BA599" s="14">
        <v>0.71334380145232701</v>
      </c>
    </row>
    <row r="600" spans="2:53" x14ac:dyDescent="0.35"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</row>
    <row r="601" spans="2:53" x14ac:dyDescent="0.35">
      <c r="B601" s="6" t="s">
        <v>248</v>
      </c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</row>
    <row r="602" spans="2:53" x14ac:dyDescent="0.35">
      <c r="B602" s="24" t="s">
        <v>213</v>
      </c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</row>
    <row r="603" spans="2:53" x14ac:dyDescent="0.35">
      <c r="B603" t="s">
        <v>154</v>
      </c>
      <c r="C603" s="14">
        <v>0.50321192841937501</v>
      </c>
      <c r="D603" s="14">
        <v>0.47389335531670801</v>
      </c>
      <c r="E603" s="14">
        <v>0.540618085013855</v>
      </c>
      <c r="F603" s="14"/>
      <c r="G603" s="14">
        <v>0.52985277243292705</v>
      </c>
      <c r="H603" s="14">
        <v>0.53679899470154302</v>
      </c>
      <c r="I603" s="14">
        <v>0.482286225294972</v>
      </c>
      <c r="J603" s="14">
        <v>0.44140827564510499</v>
      </c>
      <c r="K603" s="14">
        <v>0.77847440344004903</v>
      </c>
      <c r="L603" s="14" t="s">
        <v>88</v>
      </c>
      <c r="M603" s="14"/>
      <c r="N603" s="14">
        <v>0.58319473959062196</v>
      </c>
      <c r="O603" s="14">
        <v>0.52130864855586301</v>
      </c>
      <c r="P603" s="14">
        <v>0.35384661163746101</v>
      </c>
      <c r="Q603" s="14">
        <v>0.51211138438635495</v>
      </c>
      <c r="R603" s="14"/>
      <c r="S603" s="14">
        <v>0.55407339311046699</v>
      </c>
      <c r="T603" s="14">
        <v>0.436683434850133</v>
      </c>
      <c r="U603" s="14">
        <v>0.66540122023111503</v>
      </c>
      <c r="V603" s="14">
        <v>0.51804357727720496</v>
      </c>
      <c r="W603" s="14">
        <v>0.39440848602571599</v>
      </c>
      <c r="X603" s="14">
        <v>0.46756478100271798</v>
      </c>
      <c r="Y603" s="14">
        <v>0.50498274141939004</v>
      </c>
      <c r="Z603" s="14">
        <v>0.45046673691719502</v>
      </c>
      <c r="AA603" s="14">
        <v>0.41870785262557503</v>
      </c>
      <c r="AB603" s="14"/>
      <c r="AC603" s="14">
        <v>0.519363112533617</v>
      </c>
      <c r="AD603" s="14">
        <v>0.34093204272108102</v>
      </c>
      <c r="AE603" s="14">
        <v>0.53801305806325594</v>
      </c>
      <c r="AF603" s="14">
        <v>0.65239582786649997</v>
      </c>
      <c r="AG603" s="14">
        <v>0.46150647052879701</v>
      </c>
      <c r="AH603" s="14"/>
      <c r="AI603" s="14">
        <v>0.54587411655098905</v>
      </c>
      <c r="AJ603" s="14">
        <v>0.52030823629604706</v>
      </c>
      <c r="AK603" s="14">
        <v>0.56181772838419897</v>
      </c>
      <c r="AL603" s="14">
        <v>0.52650208453513403</v>
      </c>
      <c r="AM603" s="14">
        <v>0.46592541784110902</v>
      </c>
      <c r="AN603" s="14">
        <v>0.46378675709581002</v>
      </c>
      <c r="AO603" s="14"/>
      <c r="AP603" s="14">
        <v>0.52281604069401699</v>
      </c>
      <c r="AQ603" s="14">
        <v>0.485840397422101</v>
      </c>
      <c r="AR603" s="14"/>
      <c r="AS603" s="14">
        <v>0.50321192841937501</v>
      </c>
      <c r="AT603" s="14" t="s">
        <v>88</v>
      </c>
      <c r="AU603" s="14" t="s">
        <v>88</v>
      </c>
      <c r="AV603" s="14"/>
      <c r="AW603" s="14">
        <v>0.47285707715339698</v>
      </c>
      <c r="AX603" s="14">
        <v>0.64937191679440998</v>
      </c>
      <c r="AY603" s="14"/>
      <c r="AZ603" s="14">
        <v>0.52703158837464603</v>
      </c>
      <c r="BA603" s="14">
        <v>0.40550003448406202</v>
      </c>
    </row>
    <row r="604" spans="2:53" x14ac:dyDescent="0.35">
      <c r="B604" t="s">
        <v>155</v>
      </c>
      <c r="C604" s="14">
        <v>0.32057004948241502</v>
      </c>
      <c r="D604" s="14">
        <v>0.32875170844095702</v>
      </c>
      <c r="E604" s="14">
        <v>0.31013146452351797</v>
      </c>
      <c r="F604" s="14"/>
      <c r="G604" s="14">
        <v>0.470147227567073</v>
      </c>
      <c r="H604" s="14">
        <v>0.31855987811603498</v>
      </c>
      <c r="I604" s="14">
        <v>0.34798466537571798</v>
      </c>
      <c r="J604" s="14">
        <v>0.23589709387829899</v>
      </c>
      <c r="K604" s="14">
        <v>0.163222475025563</v>
      </c>
      <c r="L604" s="14" t="s">
        <v>88</v>
      </c>
      <c r="M604" s="14"/>
      <c r="N604" s="14">
        <v>0.348487050400906</v>
      </c>
      <c r="O604" s="14">
        <v>0.326986592829414</v>
      </c>
      <c r="P604" s="14">
        <v>0.46924943112971901</v>
      </c>
      <c r="Q604" s="14">
        <v>0.15422551080137301</v>
      </c>
      <c r="R604" s="14"/>
      <c r="S604" s="14">
        <v>0.24504226764867901</v>
      </c>
      <c r="T604" s="14">
        <v>0.40304747111828398</v>
      </c>
      <c r="U604" s="14">
        <v>0.11264531142579701</v>
      </c>
      <c r="V604" s="14">
        <v>0.350082226001454</v>
      </c>
      <c r="W604" s="14">
        <v>0.57364244020314803</v>
      </c>
      <c r="X604" s="14">
        <v>0.31425728967831001</v>
      </c>
      <c r="Y604" s="14">
        <v>0.267451420125561</v>
      </c>
      <c r="Z604" s="14">
        <v>0.33604016978928197</v>
      </c>
      <c r="AA604" s="14">
        <v>0.428229561713379</v>
      </c>
      <c r="AB604" s="14"/>
      <c r="AC604" s="14">
        <v>0.23460204668468901</v>
      </c>
      <c r="AD604" s="14">
        <v>0.35714677266929501</v>
      </c>
      <c r="AE604" s="14">
        <v>0.32619262226870599</v>
      </c>
      <c r="AF604" s="14">
        <v>0.232302297914255</v>
      </c>
      <c r="AG604" s="14">
        <v>0.53849352947120299</v>
      </c>
      <c r="AH604" s="14"/>
      <c r="AI604" s="14">
        <v>0.354606788890998</v>
      </c>
      <c r="AJ604" s="14">
        <v>0.36732225611214397</v>
      </c>
      <c r="AK604" s="14">
        <v>0.28309332128239001</v>
      </c>
      <c r="AL604" s="14">
        <v>0.24204701152059099</v>
      </c>
      <c r="AM604" s="14">
        <v>0.20525184897996199</v>
      </c>
      <c r="AN604" s="14">
        <v>0.34285776902315601</v>
      </c>
      <c r="AO604" s="14"/>
      <c r="AP604" s="14">
        <v>0.29277014691951397</v>
      </c>
      <c r="AQ604" s="14">
        <v>0.345204007007609</v>
      </c>
      <c r="AR604" s="14"/>
      <c r="AS604" s="14">
        <v>0.32057004948241502</v>
      </c>
      <c r="AT604" s="14" t="s">
        <v>88</v>
      </c>
      <c r="AU604" s="14" t="s">
        <v>88</v>
      </c>
      <c r="AV604" s="14"/>
      <c r="AW604" s="14">
        <v>0.33129207356734103</v>
      </c>
      <c r="AX604" s="14">
        <v>0.29877098148494302</v>
      </c>
      <c r="AY604" s="14"/>
      <c r="AZ604" s="14">
        <v>0.307445350253996</v>
      </c>
      <c r="BA604" s="14">
        <v>0.38699808084791398</v>
      </c>
    </row>
    <row r="605" spans="2:53" x14ac:dyDescent="0.35">
      <c r="B605" t="s">
        <v>116</v>
      </c>
      <c r="C605" s="14">
        <v>0.176218022098209</v>
      </c>
      <c r="D605" s="14">
        <v>0.19735493624233599</v>
      </c>
      <c r="E605" s="14">
        <v>0.149250450462627</v>
      </c>
      <c r="F605" s="14"/>
      <c r="G605" s="14">
        <v>0</v>
      </c>
      <c r="H605" s="14">
        <v>0.144641127182423</v>
      </c>
      <c r="I605" s="14">
        <v>0.16972910932931001</v>
      </c>
      <c r="J605" s="14">
        <v>0.32269463047659602</v>
      </c>
      <c r="K605" s="14">
        <v>5.8303121534387797E-2</v>
      </c>
      <c r="L605" s="14" t="s">
        <v>88</v>
      </c>
      <c r="M605" s="14"/>
      <c r="N605" s="14">
        <v>6.8318210008471797E-2</v>
      </c>
      <c r="O605" s="14">
        <v>0.15170475861472399</v>
      </c>
      <c r="P605" s="14">
        <v>0.17690395723282001</v>
      </c>
      <c r="Q605" s="14">
        <v>0.33366310481227202</v>
      </c>
      <c r="R605" s="14"/>
      <c r="S605" s="14">
        <v>0.200884339240854</v>
      </c>
      <c r="T605" s="14">
        <v>0.16026909403158199</v>
      </c>
      <c r="U605" s="14">
        <v>0.22195346834308799</v>
      </c>
      <c r="V605" s="14">
        <v>0.13187419672134101</v>
      </c>
      <c r="W605" s="14">
        <v>3.1949073771135802E-2</v>
      </c>
      <c r="X605" s="14">
        <v>0.21817792931897201</v>
      </c>
      <c r="Y605" s="14">
        <v>0.22756583845504899</v>
      </c>
      <c r="Z605" s="14">
        <v>0.21349309329352201</v>
      </c>
      <c r="AA605" s="14">
        <v>0.153062585661046</v>
      </c>
      <c r="AB605" s="14"/>
      <c r="AC605" s="14">
        <v>0.24603484078169399</v>
      </c>
      <c r="AD605" s="14">
        <v>0.30192118460962403</v>
      </c>
      <c r="AE605" s="14">
        <v>0.13579431966803801</v>
      </c>
      <c r="AF605" s="14">
        <v>0.115301874219245</v>
      </c>
      <c r="AG605" s="14">
        <v>0</v>
      </c>
      <c r="AH605" s="14"/>
      <c r="AI605" s="14">
        <v>9.9519094558013096E-2</v>
      </c>
      <c r="AJ605" s="14">
        <v>0.112369507591809</v>
      </c>
      <c r="AK605" s="14">
        <v>0.155088950333411</v>
      </c>
      <c r="AL605" s="14">
        <v>0.231450903944275</v>
      </c>
      <c r="AM605" s="14">
        <v>0.32882273317892902</v>
      </c>
      <c r="AN605" s="14">
        <v>0.193355473881034</v>
      </c>
      <c r="AO605" s="14"/>
      <c r="AP605" s="14">
        <v>0.18441381238646901</v>
      </c>
      <c r="AQ605" s="14">
        <v>0.168955595570291</v>
      </c>
      <c r="AR605" s="14"/>
      <c r="AS605" s="14">
        <v>0.176218022098209</v>
      </c>
      <c r="AT605" s="14" t="s">
        <v>88</v>
      </c>
      <c r="AU605" s="14" t="s">
        <v>88</v>
      </c>
      <c r="AV605" s="14"/>
      <c r="AW605" s="14">
        <v>0.195850849279262</v>
      </c>
      <c r="AX605" s="14">
        <v>5.1857101720647301E-2</v>
      </c>
      <c r="AY605" s="14"/>
      <c r="AZ605" s="14">
        <v>0.165523061371359</v>
      </c>
      <c r="BA605" s="14">
        <v>0.20750188466802399</v>
      </c>
    </row>
    <row r="606" spans="2:53" x14ac:dyDescent="0.35"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</row>
    <row r="607" spans="2:53" x14ac:dyDescent="0.35">
      <c r="B607" s="6" t="s">
        <v>249</v>
      </c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</row>
    <row r="608" spans="2:53" x14ac:dyDescent="0.35">
      <c r="B608" s="29" t="s">
        <v>219</v>
      </c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</row>
    <row r="609" spans="2:53" x14ac:dyDescent="0.35">
      <c r="B609" t="s">
        <v>214</v>
      </c>
      <c r="C609" s="14">
        <v>0.19088293928379099</v>
      </c>
      <c r="D609" s="14">
        <v>0.21720095433888501</v>
      </c>
      <c r="E609" s="14">
        <v>0.16144933558157101</v>
      </c>
      <c r="F609" s="14"/>
      <c r="G609" s="14">
        <v>0</v>
      </c>
      <c r="H609" s="14">
        <v>0.124864335477665</v>
      </c>
      <c r="I609" s="14">
        <v>0.23429015775905199</v>
      </c>
      <c r="J609" s="14">
        <v>0.15399653459805701</v>
      </c>
      <c r="K609" s="14">
        <v>0.27837716453256101</v>
      </c>
      <c r="L609" s="14" t="s">
        <v>88</v>
      </c>
      <c r="M609" s="14"/>
      <c r="N609" s="14">
        <v>0.15559561440884201</v>
      </c>
      <c r="O609" s="14">
        <v>8.9424849111729404E-2</v>
      </c>
      <c r="P609" s="14">
        <v>0.16327670573908801</v>
      </c>
      <c r="Q609" s="14">
        <v>0.37063391173319998</v>
      </c>
      <c r="R609" s="14"/>
      <c r="S609" s="14">
        <v>0.2135295661362</v>
      </c>
      <c r="T609" s="14">
        <v>0.21906485460925401</v>
      </c>
      <c r="U609" s="14">
        <v>0.14302268695026699</v>
      </c>
      <c r="V609" s="14">
        <v>0.168654326682836</v>
      </c>
      <c r="W609" s="14">
        <v>0.191254645655446</v>
      </c>
      <c r="X609" s="14">
        <v>0.33232898040331599</v>
      </c>
      <c r="Y609" s="14">
        <v>0.18913798721178701</v>
      </c>
      <c r="Z609" s="14">
        <v>0.20736870606077901</v>
      </c>
      <c r="AA609" s="14">
        <v>0.11122834384036</v>
      </c>
      <c r="AB609" s="14"/>
      <c r="AC609" s="14">
        <v>0.24294755327370099</v>
      </c>
      <c r="AD609" s="14">
        <v>0.10896637330436899</v>
      </c>
      <c r="AE609" s="14">
        <v>0.222677600235689</v>
      </c>
      <c r="AF609" s="14">
        <v>0.202538043692856</v>
      </c>
      <c r="AG609" s="14">
        <v>0.24119129783646301</v>
      </c>
      <c r="AH609" s="14"/>
      <c r="AI609" s="14">
        <v>0.17601250437653801</v>
      </c>
      <c r="AJ609" s="14">
        <v>0.206935177460083</v>
      </c>
      <c r="AK609" s="14">
        <v>3.1441746105246401E-2</v>
      </c>
      <c r="AL609" s="14">
        <v>0.195680517687216</v>
      </c>
      <c r="AM609" s="14">
        <v>3.6405658495633E-2</v>
      </c>
      <c r="AN609" s="14">
        <v>0.43717523559259802</v>
      </c>
      <c r="AO609" s="14"/>
      <c r="AP609" s="14">
        <v>0.25151909024920799</v>
      </c>
      <c r="AQ609" s="14">
        <v>0.13306297480340101</v>
      </c>
      <c r="AR609" s="14"/>
      <c r="AS609" s="14">
        <v>0.19088293928379099</v>
      </c>
      <c r="AT609" s="14" t="s">
        <v>88</v>
      </c>
      <c r="AU609" s="14" t="s">
        <v>88</v>
      </c>
      <c r="AV609" s="14"/>
      <c r="AW609" s="14">
        <v>0.13481633302344601</v>
      </c>
      <c r="AX609" s="14">
        <v>0.28178294620956901</v>
      </c>
      <c r="AY609" s="14"/>
      <c r="AZ609" s="14">
        <v>0.19779271053466199</v>
      </c>
      <c r="BA609" s="14">
        <v>0.15004783148511799</v>
      </c>
    </row>
    <row r="610" spans="2:53" x14ac:dyDescent="0.35">
      <c r="B610" t="s">
        <v>215</v>
      </c>
      <c r="C610" s="14">
        <v>0.56739059425432303</v>
      </c>
      <c r="D610" s="14">
        <v>0.55529179479200097</v>
      </c>
      <c r="E610" s="14">
        <v>0.58092167811080497</v>
      </c>
      <c r="F610" s="14"/>
      <c r="G610" s="14">
        <v>0.56846163778720804</v>
      </c>
      <c r="H610" s="14">
        <v>0.623076155949988</v>
      </c>
      <c r="I610" s="14">
        <v>0.53406468748792302</v>
      </c>
      <c r="J610" s="14">
        <v>0.61945379100495701</v>
      </c>
      <c r="K610" s="14">
        <v>0.47187439727994801</v>
      </c>
      <c r="L610" s="14" t="s">
        <v>88</v>
      </c>
      <c r="M610" s="14"/>
      <c r="N610" s="14">
        <v>0.63791258852619204</v>
      </c>
      <c r="O610" s="14">
        <v>0.58112045143062097</v>
      </c>
      <c r="P610" s="14">
        <v>0.48151780950560003</v>
      </c>
      <c r="Q610" s="14">
        <v>0.504559453970713</v>
      </c>
      <c r="R610" s="14"/>
      <c r="S610" s="14">
        <v>0.61323504768585901</v>
      </c>
      <c r="T610" s="14">
        <v>0.601112091570288</v>
      </c>
      <c r="U610" s="14">
        <v>0.488073040776764</v>
      </c>
      <c r="V610" s="14">
        <v>0.56344272666288697</v>
      </c>
      <c r="W610" s="14">
        <v>0.727740312982608</v>
      </c>
      <c r="X610" s="14">
        <v>0.46647054527232301</v>
      </c>
      <c r="Y610" s="14">
        <v>0.49230502930888198</v>
      </c>
      <c r="Z610" s="14">
        <v>0.66984458756482002</v>
      </c>
      <c r="AA610" s="14">
        <v>0.55463411872867796</v>
      </c>
      <c r="AB610" s="14"/>
      <c r="AC610" s="14">
        <v>0.53080885525871202</v>
      </c>
      <c r="AD610" s="14">
        <v>0.48435072804027901</v>
      </c>
      <c r="AE610" s="14">
        <v>0.57604149328592003</v>
      </c>
      <c r="AF610" s="14">
        <v>0.61799691672927703</v>
      </c>
      <c r="AG610" s="14">
        <v>0.53698915155295901</v>
      </c>
      <c r="AH610" s="14"/>
      <c r="AI610" s="14">
        <v>0.64374746746867595</v>
      </c>
      <c r="AJ610" s="14">
        <v>0.635596012444827</v>
      </c>
      <c r="AK610" s="14">
        <v>0.53153877297280805</v>
      </c>
      <c r="AL610" s="14">
        <v>0.46701702702883402</v>
      </c>
      <c r="AM610" s="14">
        <v>0.76320445488039601</v>
      </c>
      <c r="AN610" s="14">
        <v>0.30656619044008099</v>
      </c>
      <c r="AO610" s="14"/>
      <c r="AP610" s="14">
        <v>0.53485987166584104</v>
      </c>
      <c r="AQ610" s="14">
        <v>0.59841045937835102</v>
      </c>
      <c r="AR610" s="14"/>
      <c r="AS610" s="14">
        <v>0.56739059425432303</v>
      </c>
      <c r="AT610" s="14" t="s">
        <v>88</v>
      </c>
      <c r="AU610" s="14" t="s">
        <v>88</v>
      </c>
      <c r="AV610" s="14"/>
      <c r="AW610" s="14">
        <v>0.56779341755039903</v>
      </c>
      <c r="AX610" s="14">
        <v>0.59902892340615199</v>
      </c>
      <c r="AY610" s="14"/>
      <c r="AZ610" s="14">
        <v>0.55572364619222603</v>
      </c>
      <c r="BA610" s="14">
        <v>0.63633948771258297</v>
      </c>
    </row>
    <row r="611" spans="2:53" x14ac:dyDescent="0.35">
      <c r="B611" t="s">
        <v>216</v>
      </c>
      <c r="C611" s="14">
        <v>0.10425774635226601</v>
      </c>
      <c r="D611" s="14">
        <v>0.12785454293036499</v>
      </c>
      <c r="E611" s="14">
        <v>7.7867505383572205E-2</v>
      </c>
      <c r="F611" s="14"/>
      <c r="G611" s="14">
        <v>0</v>
      </c>
      <c r="H611" s="14">
        <v>0.10253943672812101</v>
      </c>
      <c r="I611" s="14">
        <v>0.110522795353848</v>
      </c>
      <c r="J611" s="14">
        <v>0.14642110858735999</v>
      </c>
      <c r="K611" s="14">
        <v>0</v>
      </c>
      <c r="L611" s="14" t="s">
        <v>88</v>
      </c>
      <c r="M611" s="14"/>
      <c r="N611" s="14">
        <v>7.4273108609285293E-2</v>
      </c>
      <c r="O611" s="14">
        <v>0.18163666033495299</v>
      </c>
      <c r="P611" s="14">
        <v>7.4369745189135805E-2</v>
      </c>
      <c r="Q611" s="14">
        <v>7.5356450852652898E-2</v>
      </c>
      <c r="R611" s="14"/>
      <c r="S611" s="14">
        <v>0.115297694415538</v>
      </c>
      <c r="T611" s="14">
        <v>2.46855620847314E-2</v>
      </c>
      <c r="U611" s="14">
        <v>0.13259238897748901</v>
      </c>
      <c r="V611" s="14">
        <v>0.18436088489959701</v>
      </c>
      <c r="W611" s="14">
        <v>8.10050413619465E-2</v>
      </c>
      <c r="X611" s="14">
        <v>2.43073165852403E-2</v>
      </c>
      <c r="Y611" s="14">
        <v>9.5538153785259206E-2</v>
      </c>
      <c r="Z611" s="14">
        <v>0</v>
      </c>
      <c r="AA611" s="14">
        <v>0.16472589179236299</v>
      </c>
      <c r="AB611" s="14"/>
      <c r="AC611" s="14">
        <v>0.17180590778673899</v>
      </c>
      <c r="AD611" s="14">
        <v>0.117310883427043</v>
      </c>
      <c r="AE611" s="14">
        <v>8.1122515427782899E-2</v>
      </c>
      <c r="AF611" s="14">
        <v>7.7879080788115507E-2</v>
      </c>
      <c r="AG611" s="14">
        <v>0</v>
      </c>
      <c r="AH611" s="14"/>
      <c r="AI611" s="14">
        <v>7.1231238952600195E-2</v>
      </c>
      <c r="AJ611" s="14">
        <v>5.96904233419654E-2</v>
      </c>
      <c r="AK611" s="14">
        <v>0.18612943422336101</v>
      </c>
      <c r="AL611" s="14">
        <v>0.10095933991610601</v>
      </c>
      <c r="AM611" s="14">
        <v>2.9402330229938899E-2</v>
      </c>
      <c r="AN611" s="14">
        <v>0.21619975106887501</v>
      </c>
      <c r="AO611" s="14"/>
      <c r="AP611" s="14">
        <v>0.13292413821024299</v>
      </c>
      <c r="AQ611" s="14">
        <v>7.6922736912856199E-2</v>
      </c>
      <c r="AR611" s="14"/>
      <c r="AS611" s="14">
        <v>0.10425774635226601</v>
      </c>
      <c r="AT611" s="14" t="s">
        <v>88</v>
      </c>
      <c r="AU611" s="14" t="s">
        <v>88</v>
      </c>
      <c r="AV611" s="14"/>
      <c r="AW611" s="14">
        <v>0.13622649387001101</v>
      </c>
      <c r="AX611" s="14">
        <v>3.0469807312565302E-2</v>
      </c>
      <c r="AY611" s="14"/>
      <c r="AZ611" s="14">
        <v>0.10274107706404099</v>
      </c>
      <c r="BA611" s="14">
        <v>0.113220901807201</v>
      </c>
    </row>
    <row r="612" spans="2:53" x14ac:dyDescent="0.35">
      <c r="B612" t="s">
        <v>217</v>
      </c>
      <c r="C612" s="14">
        <v>3.5568524324867498E-2</v>
      </c>
      <c r="D612" s="14">
        <v>4.6888426024661201E-2</v>
      </c>
      <c r="E612" s="14">
        <v>2.2908545983707802E-2</v>
      </c>
      <c r="F612" s="14"/>
      <c r="G612" s="14">
        <v>0.272867117577695</v>
      </c>
      <c r="H612" s="14">
        <v>4.3407788075376298E-2</v>
      </c>
      <c r="I612" s="14">
        <v>3.4448694408934097E-2</v>
      </c>
      <c r="J612" s="14">
        <v>0</v>
      </c>
      <c r="K612" s="14">
        <v>0</v>
      </c>
      <c r="L612" s="14" t="s">
        <v>88</v>
      </c>
      <c r="M612" s="14"/>
      <c r="N612" s="14">
        <v>3.4556673896246198E-2</v>
      </c>
      <c r="O612" s="14">
        <v>8.64748646450334E-2</v>
      </c>
      <c r="P612" s="14">
        <v>0</v>
      </c>
      <c r="Q612" s="14">
        <v>0</v>
      </c>
      <c r="R612" s="14"/>
      <c r="S612" s="14">
        <v>1.3547282497448901E-2</v>
      </c>
      <c r="T612" s="14">
        <v>7.8685627623428803E-2</v>
      </c>
      <c r="U612" s="14">
        <v>9.5858471309202595E-2</v>
      </c>
      <c r="V612" s="14">
        <v>0</v>
      </c>
      <c r="W612" s="14">
        <v>0</v>
      </c>
      <c r="X612" s="14">
        <v>0</v>
      </c>
      <c r="Y612" s="14">
        <v>5.9114103244928398E-2</v>
      </c>
      <c r="Z612" s="14">
        <v>0</v>
      </c>
      <c r="AA612" s="14">
        <v>0</v>
      </c>
      <c r="AB612" s="14"/>
      <c r="AC612" s="14">
        <v>0</v>
      </c>
      <c r="AD612" s="14">
        <v>4.08627405106173E-2</v>
      </c>
      <c r="AE612" s="14">
        <v>2.8305321214185102E-2</v>
      </c>
      <c r="AF612" s="14">
        <v>8.8730515161099893E-2</v>
      </c>
      <c r="AG612" s="14">
        <v>0</v>
      </c>
      <c r="AH612" s="14"/>
      <c r="AI612" s="14">
        <v>1.5646632757173502E-2</v>
      </c>
      <c r="AJ612" s="14">
        <v>5.5812114995493899E-2</v>
      </c>
      <c r="AK612" s="14">
        <v>5.1518684338154E-2</v>
      </c>
      <c r="AL612" s="14">
        <v>7.0470254677982305E-2</v>
      </c>
      <c r="AM612" s="14">
        <v>0</v>
      </c>
      <c r="AN612" s="14">
        <v>0</v>
      </c>
      <c r="AO612" s="14"/>
      <c r="AP612" s="14">
        <v>3.2717560483285897E-2</v>
      </c>
      <c r="AQ612" s="14">
        <v>3.8287077950560897E-2</v>
      </c>
      <c r="AR612" s="14"/>
      <c r="AS612" s="14">
        <v>3.5568524324867498E-2</v>
      </c>
      <c r="AT612" s="14" t="s">
        <v>88</v>
      </c>
      <c r="AU612" s="14" t="s">
        <v>88</v>
      </c>
      <c r="AV612" s="14"/>
      <c r="AW612" s="14">
        <v>4.0729984476591298E-2</v>
      </c>
      <c r="AX612" s="14">
        <v>2.55043313940173E-2</v>
      </c>
      <c r="AY612" s="14"/>
      <c r="AZ612" s="14">
        <v>4.1587128904720598E-2</v>
      </c>
      <c r="BA612" s="14">
        <v>0</v>
      </c>
    </row>
    <row r="613" spans="2:53" x14ac:dyDescent="0.35">
      <c r="B613" t="s">
        <v>116</v>
      </c>
      <c r="C613" s="14">
        <v>6.6487264347405303E-2</v>
      </c>
      <c r="D613" s="14">
        <v>3.5596557520087301E-2</v>
      </c>
      <c r="E613" s="14">
        <v>0.101034885850522</v>
      </c>
      <c r="F613" s="14"/>
      <c r="G613" s="14">
        <v>0</v>
      </c>
      <c r="H613" s="14">
        <v>8.9916205198744201E-2</v>
      </c>
      <c r="I613" s="14">
        <v>4.7206834610179001E-2</v>
      </c>
      <c r="J613" s="14">
        <v>8.0128565809626795E-2</v>
      </c>
      <c r="K613" s="14">
        <v>0.115783846874248</v>
      </c>
      <c r="L613" s="14" t="s">
        <v>88</v>
      </c>
      <c r="M613" s="14"/>
      <c r="N613" s="14">
        <v>5.3031218882359801E-2</v>
      </c>
      <c r="O613" s="14">
        <v>1.48573783374924E-2</v>
      </c>
      <c r="P613" s="14">
        <v>0.22800980222008599</v>
      </c>
      <c r="Q613" s="14">
        <v>4.9450183443434402E-2</v>
      </c>
      <c r="R613" s="14"/>
      <c r="S613" s="14">
        <v>1.6792370547456199E-2</v>
      </c>
      <c r="T613" s="14">
        <v>7.6451864112297499E-2</v>
      </c>
      <c r="U613" s="14">
        <v>9.5972487277487195E-2</v>
      </c>
      <c r="V613" s="14">
        <v>2.88728331967435E-2</v>
      </c>
      <c r="W613" s="14">
        <v>0</v>
      </c>
      <c r="X613" s="14">
        <v>4.85505134333531E-2</v>
      </c>
      <c r="Y613" s="14">
        <v>0.115569986398739</v>
      </c>
      <c r="Z613" s="14">
        <v>0.122786706374402</v>
      </c>
      <c r="AA613" s="14">
        <v>0.139443143979778</v>
      </c>
      <c r="AB613" s="14"/>
      <c r="AC613" s="14">
        <v>5.4437683680848198E-2</v>
      </c>
      <c r="AD613" s="14">
        <v>0.20070002311842899</v>
      </c>
      <c r="AE613" s="14">
        <v>4.13940009831631E-2</v>
      </c>
      <c r="AF613" s="14">
        <v>0</v>
      </c>
      <c r="AG613" s="14">
        <v>0.174333545032577</v>
      </c>
      <c r="AH613" s="14"/>
      <c r="AI613" s="14">
        <v>8.0565765360988695E-2</v>
      </c>
      <c r="AJ613" s="14">
        <v>2.0423134119458501E-2</v>
      </c>
      <c r="AK613" s="14">
        <v>6.3008124828806397E-2</v>
      </c>
      <c r="AL613" s="14">
        <v>8.9466817446165803E-2</v>
      </c>
      <c r="AM613" s="14">
        <v>0.17098755639403199</v>
      </c>
      <c r="AN613" s="14">
        <v>4.0058822898445701E-2</v>
      </c>
      <c r="AO613" s="14"/>
      <c r="AP613" s="14">
        <v>1.44115309731994E-2</v>
      </c>
      <c r="AQ613" s="14">
        <v>0.116144391425015</v>
      </c>
      <c r="AR613" s="14"/>
      <c r="AS613" s="14">
        <v>6.6487264347405303E-2</v>
      </c>
      <c r="AT613" s="14" t="s">
        <v>88</v>
      </c>
      <c r="AU613" s="14" t="s">
        <v>88</v>
      </c>
      <c r="AV613" s="14"/>
      <c r="AW613" s="14">
        <v>9.4262690127379506E-2</v>
      </c>
      <c r="AX613" s="14">
        <v>0</v>
      </c>
      <c r="AY613" s="14"/>
      <c r="AZ613" s="14">
        <v>6.0750229398400198E-2</v>
      </c>
      <c r="BA613" s="14">
        <v>0.100391778995098</v>
      </c>
    </row>
    <row r="614" spans="2:53" x14ac:dyDescent="0.35"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</row>
    <row r="615" spans="2:53" x14ac:dyDescent="0.35">
      <c r="B615" s="6" t="s">
        <v>250</v>
      </c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</row>
    <row r="616" spans="2:53" x14ac:dyDescent="0.35">
      <c r="B616" s="29" t="s">
        <v>219</v>
      </c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</row>
    <row r="617" spans="2:53" x14ac:dyDescent="0.35">
      <c r="B617" t="s">
        <v>220</v>
      </c>
      <c r="C617" s="14">
        <v>0.23939826993558</v>
      </c>
      <c r="D617" s="14">
        <v>0.224890983789477</v>
      </c>
      <c r="E617" s="14">
        <v>0.25562296280566199</v>
      </c>
      <c r="F617" s="14"/>
      <c r="G617" s="14">
        <v>0.272867117577695</v>
      </c>
      <c r="H617" s="14">
        <v>0.24297195483980799</v>
      </c>
      <c r="I617" s="14">
        <v>0.234676875961807</v>
      </c>
      <c r="J617" s="14">
        <v>0.18526686240068599</v>
      </c>
      <c r="K617" s="14">
        <v>0.36837686007892001</v>
      </c>
      <c r="L617" s="14" t="s">
        <v>88</v>
      </c>
      <c r="M617" s="14"/>
      <c r="N617" s="14">
        <v>0.22845547946821601</v>
      </c>
      <c r="O617" s="14">
        <v>0.185709428031676</v>
      </c>
      <c r="P617" s="14">
        <v>0.11509662223131201</v>
      </c>
      <c r="Q617" s="14">
        <v>0.38776514913711202</v>
      </c>
      <c r="R617" s="14"/>
      <c r="S617" s="14">
        <v>0.31549427991085299</v>
      </c>
      <c r="T617" s="14">
        <v>0.27306491388311699</v>
      </c>
      <c r="U617" s="14">
        <v>0.24803950959184601</v>
      </c>
      <c r="V617" s="14">
        <v>0.182882557563318</v>
      </c>
      <c r="W617" s="14">
        <v>0.21604962764055399</v>
      </c>
      <c r="X617" s="14">
        <v>0.235044843248784</v>
      </c>
      <c r="Y617" s="14">
        <v>0.25637326356096402</v>
      </c>
      <c r="Z617" s="14">
        <v>6.4848205507859594E-2</v>
      </c>
      <c r="AA617" s="14">
        <v>0.16697351906206401</v>
      </c>
      <c r="AB617" s="14"/>
      <c r="AC617" s="14">
        <v>0.19319466042623401</v>
      </c>
      <c r="AD617" s="14">
        <v>0.11384046972695</v>
      </c>
      <c r="AE617" s="14">
        <v>0.24633994023618599</v>
      </c>
      <c r="AF617" s="14">
        <v>0.22724093215633401</v>
      </c>
      <c r="AG617" s="14">
        <v>0.61421817475200702</v>
      </c>
      <c r="AH617" s="14"/>
      <c r="AI617" s="14">
        <v>0.24216062245432701</v>
      </c>
      <c r="AJ617" s="14">
        <v>0.21832215892609799</v>
      </c>
      <c r="AK617" s="14">
        <v>0.127907891450736</v>
      </c>
      <c r="AL617" s="14">
        <v>0.28616195764376001</v>
      </c>
      <c r="AM617" s="14">
        <v>0.38616898646339498</v>
      </c>
      <c r="AN617" s="14">
        <v>0.161278149331958</v>
      </c>
      <c r="AO617" s="14"/>
      <c r="AP617" s="14">
        <v>0.29298672761515399</v>
      </c>
      <c r="AQ617" s="14">
        <v>0.18829867554742399</v>
      </c>
      <c r="AR617" s="14"/>
      <c r="AS617" s="14">
        <v>0.23939826993558</v>
      </c>
      <c r="AT617" s="14" t="s">
        <v>88</v>
      </c>
      <c r="AU617" s="14" t="s">
        <v>88</v>
      </c>
      <c r="AV617" s="14"/>
      <c r="AW617" s="14">
        <v>0.16882342030752101</v>
      </c>
      <c r="AX617" s="14">
        <v>0.39166283613620401</v>
      </c>
      <c r="AY617" s="14"/>
      <c r="AZ617" s="14">
        <v>0.24802376325018499</v>
      </c>
      <c r="BA617" s="14">
        <v>0.18842365203137501</v>
      </c>
    </row>
    <row r="618" spans="2:53" x14ac:dyDescent="0.35">
      <c r="B618" t="s">
        <v>221</v>
      </c>
      <c r="C618" s="14">
        <v>0.55877975115080103</v>
      </c>
      <c r="D618" s="14">
        <v>0.61131762698129399</v>
      </c>
      <c r="E618" s="14">
        <v>0.50002231776101203</v>
      </c>
      <c r="F618" s="14"/>
      <c r="G618" s="14">
        <v>0.56846163778720804</v>
      </c>
      <c r="H618" s="14">
        <v>0.60518273195052896</v>
      </c>
      <c r="I618" s="14">
        <v>0.55507705571853705</v>
      </c>
      <c r="J618" s="14">
        <v>0.59568348787561698</v>
      </c>
      <c r="K618" s="14">
        <v>0.26360198137164897</v>
      </c>
      <c r="L618" s="14" t="s">
        <v>88</v>
      </c>
      <c r="M618" s="14"/>
      <c r="N618" s="14">
        <v>0.58941259539215995</v>
      </c>
      <c r="O618" s="14">
        <v>0.54443636138749896</v>
      </c>
      <c r="P618" s="14">
        <v>0.55916409662455802</v>
      </c>
      <c r="Q618" s="14">
        <v>0.53254294194071605</v>
      </c>
      <c r="R618" s="14"/>
      <c r="S618" s="14">
        <v>0.50657516232297894</v>
      </c>
      <c r="T618" s="14">
        <v>0.56123505854504996</v>
      </c>
      <c r="U618" s="14">
        <v>0.560129539929343</v>
      </c>
      <c r="V618" s="14">
        <v>0.54321554860214305</v>
      </c>
      <c r="W618" s="14">
        <v>0.70294533099750001</v>
      </c>
      <c r="X618" s="14">
        <v>0.53675798846648204</v>
      </c>
      <c r="Y618" s="14">
        <v>0.53251859750203201</v>
      </c>
      <c r="Z618" s="14">
        <v>0.61956821795253403</v>
      </c>
      <c r="AA618" s="14">
        <v>0.632532575031582</v>
      </c>
      <c r="AB618" s="14"/>
      <c r="AC618" s="14">
        <v>0.75236765589291799</v>
      </c>
      <c r="AD618" s="14">
        <v>0.50975959766412104</v>
      </c>
      <c r="AE618" s="14">
        <v>0.55707237513135499</v>
      </c>
      <c r="AF618" s="14">
        <v>0.57474308101406402</v>
      </c>
      <c r="AG618" s="14">
        <v>0.338295819669991</v>
      </c>
      <c r="AH618" s="14"/>
      <c r="AI618" s="14">
        <v>0.633117514410522</v>
      </c>
      <c r="AJ618" s="14">
        <v>0.51132980790536597</v>
      </c>
      <c r="AK618" s="14">
        <v>0.54001755685540598</v>
      </c>
      <c r="AL618" s="14">
        <v>0.481450720641379</v>
      </c>
      <c r="AM618" s="14">
        <v>0.41344112691263402</v>
      </c>
      <c r="AN618" s="14">
        <v>0.61330323428815803</v>
      </c>
      <c r="AO618" s="14"/>
      <c r="AP618" s="14">
        <v>0.53714282089548504</v>
      </c>
      <c r="AQ618" s="14">
        <v>0.57941177542853906</v>
      </c>
      <c r="AR618" s="14"/>
      <c r="AS618" s="14">
        <v>0.55877975115080103</v>
      </c>
      <c r="AT618" s="14" t="s">
        <v>88</v>
      </c>
      <c r="AU618" s="14" t="s">
        <v>88</v>
      </c>
      <c r="AV618" s="14"/>
      <c r="AW618" s="14">
        <v>0.61250531429758703</v>
      </c>
      <c r="AX618" s="14">
        <v>0.430910005796456</v>
      </c>
      <c r="AY618" s="14"/>
      <c r="AZ618" s="14">
        <v>0.55738436622090304</v>
      </c>
      <c r="BA618" s="14">
        <v>0.56702614483942604</v>
      </c>
    </row>
    <row r="619" spans="2:53" x14ac:dyDescent="0.35">
      <c r="B619" t="s">
        <v>222</v>
      </c>
      <c r="C619" s="14">
        <v>0.100053196612008</v>
      </c>
      <c r="D619" s="14">
        <v>8.6125125633659094E-2</v>
      </c>
      <c r="E619" s="14">
        <v>0.115630105457713</v>
      </c>
      <c r="F619" s="14"/>
      <c r="G619" s="14">
        <v>0</v>
      </c>
      <c r="H619" s="14">
        <v>4.5450781057203002E-2</v>
      </c>
      <c r="I619" s="14">
        <v>0.134054363491492</v>
      </c>
      <c r="J619" s="14">
        <v>9.4322225245354802E-2</v>
      </c>
      <c r="K619" s="14">
        <v>0.118272720361939</v>
      </c>
      <c r="L619" s="14" t="s">
        <v>88</v>
      </c>
      <c r="M619" s="14"/>
      <c r="N619" s="14">
        <v>0.11361181913818499</v>
      </c>
      <c r="O619" s="14">
        <v>0.196590865629797</v>
      </c>
      <c r="P619" s="14">
        <v>0</v>
      </c>
      <c r="Q619" s="14">
        <v>3.0241725478737599E-2</v>
      </c>
      <c r="R619" s="14"/>
      <c r="S619" s="14">
        <v>0.15599817964454299</v>
      </c>
      <c r="T619" s="14">
        <v>5.7699911875881998E-2</v>
      </c>
      <c r="U619" s="14">
        <v>9.58584784591682E-2</v>
      </c>
      <c r="V619" s="14">
        <v>0.12981271407394299</v>
      </c>
      <c r="W619" s="14">
        <v>8.10050413619465E-2</v>
      </c>
      <c r="X619" s="14">
        <v>7.2857830018593403E-2</v>
      </c>
      <c r="Y619" s="14">
        <v>8.4475700074646706E-2</v>
      </c>
      <c r="Z619" s="14">
        <v>8.6727658634288995E-2</v>
      </c>
      <c r="AA619" s="14">
        <v>4.9680338214320503E-2</v>
      </c>
      <c r="AB619" s="14"/>
      <c r="AC619" s="14">
        <v>0</v>
      </c>
      <c r="AD619" s="14">
        <v>0.122097339663813</v>
      </c>
      <c r="AE619" s="14">
        <v>0.112049905603929</v>
      </c>
      <c r="AF619" s="14">
        <v>0.12681502959079299</v>
      </c>
      <c r="AG619" s="14">
        <v>0</v>
      </c>
      <c r="AH619" s="14"/>
      <c r="AI619" s="14">
        <v>7.5453527721627306E-2</v>
      </c>
      <c r="AJ619" s="14">
        <v>3.6626347101023797E-2</v>
      </c>
      <c r="AK619" s="14">
        <v>0.195711314162234</v>
      </c>
      <c r="AL619" s="14">
        <v>0.11346248165417799</v>
      </c>
      <c r="AM619" s="14">
        <v>2.9402330229938899E-2</v>
      </c>
      <c r="AN619" s="14">
        <v>0.225418616379885</v>
      </c>
      <c r="AO619" s="14"/>
      <c r="AP619" s="14">
        <v>0.128465731770012</v>
      </c>
      <c r="AQ619" s="14">
        <v>7.29602537474352E-2</v>
      </c>
      <c r="AR619" s="14"/>
      <c r="AS619" s="14">
        <v>0.100053196612008</v>
      </c>
      <c r="AT619" s="14" t="s">
        <v>88</v>
      </c>
      <c r="AU619" s="14" t="s">
        <v>88</v>
      </c>
      <c r="AV619" s="14"/>
      <c r="AW619" s="14">
        <v>0.118018079820136</v>
      </c>
      <c r="AX619" s="14">
        <v>6.2680360460113799E-2</v>
      </c>
      <c r="AY619" s="14"/>
      <c r="AZ619" s="14">
        <v>9.9062410593084599E-2</v>
      </c>
      <c r="BA619" s="14">
        <v>0.105908506783535</v>
      </c>
    </row>
    <row r="620" spans="2:53" x14ac:dyDescent="0.35">
      <c r="B620" t="s">
        <v>223</v>
      </c>
      <c r="C620" s="14">
        <v>2.5907886090402999E-2</v>
      </c>
      <c r="D620" s="14">
        <v>3.8588072300531101E-2</v>
      </c>
      <c r="E620" s="14">
        <v>1.1726589552729001E-2</v>
      </c>
      <c r="F620" s="14"/>
      <c r="G620" s="14">
        <v>0</v>
      </c>
      <c r="H620" s="14">
        <v>4.1833870658646397E-2</v>
      </c>
      <c r="I620" s="14">
        <v>2.6371221921144598E-2</v>
      </c>
      <c r="J620" s="14">
        <v>0</v>
      </c>
      <c r="K620" s="14">
        <v>0</v>
      </c>
      <c r="L620" s="14" t="s">
        <v>88</v>
      </c>
      <c r="M620" s="14"/>
      <c r="N620" s="14">
        <v>0</v>
      </c>
      <c r="O620" s="14">
        <v>2.9202987657528701E-2</v>
      </c>
      <c r="P620" s="14">
        <v>0.12531668344568</v>
      </c>
      <c r="Q620" s="14">
        <v>0</v>
      </c>
      <c r="R620" s="14"/>
      <c r="S620" s="14">
        <v>0</v>
      </c>
      <c r="T620" s="14">
        <v>5.4000065538697399E-2</v>
      </c>
      <c r="U620" s="14">
        <v>0</v>
      </c>
      <c r="V620" s="14">
        <v>8.94199512026604E-2</v>
      </c>
      <c r="W620" s="14">
        <v>0</v>
      </c>
      <c r="X620" s="14">
        <v>9.1927908039331999E-2</v>
      </c>
      <c r="Y620" s="14">
        <v>0</v>
      </c>
      <c r="Z620" s="14">
        <v>0</v>
      </c>
      <c r="AA620" s="14">
        <v>0</v>
      </c>
      <c r="AB620" s="14"/>
      <c r="AC620" s="14">
        <v>0</v>
      </c>
      <c r="AD620" s="14">
        <v>8.3542438600812605E-2</v>
      </c>
      <c r="AE620" s="14">
        <v>0</v>
      </c>
      <c r="AF620" s="14">
        <v>3.7690232957227801E-2</v>
      </c>
      <c r="AG620" s="14">
        <v>0</v>
      </c>
      <c r="AH620" s="14"/>
      <c r="AI620" s="14">
        <v>0</v>
      </c>
      <c r="AJ620" s="14">
        <v>0.14616836522669299</v>
      </c>
      <c r="AK620" s="14">
        <v>0</v>
      </c>
      <c r="AL620" s="14">
        <v>0</v>
      </c>
      <c r="AM620" s="14">
        <v>0</v>
      </c>
      <c r="AN620" s="14">
        <v>0</v>
      </c>
      <c r="AO620" s="14"/>
      <c r="AP620" s="14">
        <v>1.13408874366895E-2</v>
      </c>
      <c r="AQ620" s="14">
        <v>3.9798334796884598E-2</v>
      </c>
      <c r="AR620" s="14"/>
      <c r="AS620" s="14">
        <v>2.5907886090402999E-2</v>
      </c>
      <c r="AT620" s="14" t="s">
        <v>88</v>
      </c>
      <c r="AU620" s="14" t="s">
        <v>88</v>
      </c>
      <c r="AV620" s="14"/>
      <c r="AW620" s="14">
        <v>1.93038741855526E-2</v>
      </c>
      <c r="AX620" s="14">
        <v>4.5833354510671602E-2</v>
      </c>
      <c r="AY620" s="14"/>
      <c r="AZ620" s="14">
        <v>2.3819472042391099E-2</v>
      </c>
      <c r="BA620" s="14">
        <v>3.8249917350566098E-2</v>
      </c>
    </row>
    <row r="621" spans="2:53" x14ac:dyDescent="0.35">
      <c r="B621" t="s">
        <v>116</v>
      </c>
      <c r="C621" s="14">
        <v>3.5533236967058998E-2</v>
      </c>
      <c r="D621" s="14">
        <v>9.8450702200763903E-3</v>
      </c>
      <c r="E621" s="14">
        <v>6.4262429434059604E-2</v>
      </c>
      <c r="F621" s="14"/>
      <c r="G621" s="14">
        <v>0</v>
      </c>
      <c r="H621" s="14">
        <v>5.0983338263109503E-2</v>
      </c>
      <c r="I621" s="14">
        <v>1.16534341083074E-2</v>
      </c>
      <c r="J621" s="14">
        <v>0.12472742447834199</v>
      </c>
      <c r="K621" s="14">
        <v>0</v>
      </c>
      <c r="L621" s="14" t="s">
        <v>88</v>
      </c>
      <c r="M621" s="14"/>
      <c r="N621" s="14">
        <v>2.6173348767257999E-2</v>
      </c>
      <c r="O621" s="14">
        <v>0</v>
      </c>
      <c r="P621" s="14">
        <v>0.14759666035235899</v>
      </c>
      <c r="Q621" s="14">
        <v>2.34207788831809E-2</v>
      </c>
      <c r="R621" s="14"/>
      <c r="S621" s="14">
        <v>1.6792370547456199E-2</v>
      </c>
      <c r="T621" s="14">
        <v>0</v>
      </c>
      <c r="U621" s="14">
        <v>5.1491547310852898E-2</v>
      </c>
      <c r="V621" s="14">
        <v>0</v>
      </c>
      <c r="W621" s="14">
        <v>0</v>
      </c>
      <c r="X621" s="14">
        <v>0</v>
      </c>
      <c r="Y621" s="14">
        <v>6.7235245101339797E-2</v>
      </c>
      <c r="Z621" s="14">
        <v>0.22885591790531801</v>
      </c>
      <c r="AA621" s="14">
        <v>7.0336122590283295E-2</v>
      </c>
      <c r="AB621" s="14"/>
      <c r="AC621" s="14">
        <v>5.4437683680848198E-2</v>
      </c>
      <c r="AD621" s="14">
        <v>7.9757533375943906E-2</v>
      </c>
      <c r="AE621" s="14">
        <v>2.2873001026909201E-2</v>
      </c>
      <c r="AF621" s="14">
        <v>2.4244509539947501E-2</v>
      </c>
      <c r="AG621" s="14">
        <v>0</v>
      </c>
      <c r="AH621" s="14"/>
      <c r="AI621" s="14">
        <v>2.78368430878011E-2</v>
      </c>
      <c r="AJ621" s="14">
        <v>2.0423134119458501E-2</v>
      </c>
      <c r="AK621" s="14">
        <v>0</v>
      </c>
      <c r="AL621" s="14">
        <v>8.9466817446165803E-2</v>
      </c>
      <c r="AM621" s="14">
        <v>0.17098755639403199</v>
      </c>
      <c r="AN621" s="14">
        <v>0</v>
      </c>
      <c r="AO621" s="14"/>
      <c r="AP621" s="14">
        <v>0</v>
      </c>
      <c r="AQ621" s="14">
        <v>6.9416167637912293E-2</v>
      </c>
      <c r="AR621" s="14"/>
      <c r="AS621" s="14">
        <v>3.5533236967058998E-2</v>
      </c>
      <c r="AT621" s="14" t="s">
        <v>88</v>
      </c>
      <c r="AU621" s="14" t="s">
        <v>88</v>
      </c>
      <c r="AV621" s="14"/>
      <c r="AW621" s="14">
        <v>5.03774450389061E-2</v>
      </c>
      <c r="AX621" s="14">
        <v>0</v>
      </c>
      <c r="AY621" s="14"/>
      <c r="AZ621" s="14">
        <v>2.4558423546991601E-2</v>
      </c>
      <c r="BA621" s="14">
        <v>0.100391778995098</v>
      </c>
    </row>
    <row r="622" spans="2:53" x14ac:dyDescent="0.35">
      <c r="B622" t="s">
        <v>224</v>
      </c>
      <c r="C622" s="14">
        <v>0.79817802108638103</v>
      </c>
      <c r="D622" s="14">
        <v>0.83620861077077102</v>
      </c>
      <c r="E622" s="14">
        <v>0.75564528056667501</v>
      </c>
      <c r="F622" s="14"/>
      <c r="G622" s="14">
        <v>0.84132875536490304</v>
      </c>
      <c r="H622" s="14">
        <v>0.84815468679033701</v>
      </c>
      <c r="I622" s="14">
        <v>0.78975393168034402</v>
      </c>
      <c r="J622" s="14">
        <v>0.780950350276303</v>
      </c>
      <c r="K622" s="14">
        <v>0.63197884145056904</v>
      </c>
      <c r="L622" s="14" t="s">
        <v>88</v>
      </c>
      <c r="M622" s="14"/>
      <c r="N622" s="14">
        <v>0.81786807486037605</v>
      </c>
      <c r="O622" s="14">
        <v>0.73014578941917496</v>
      </c>
      <c r="P622" s="14">
        <v>0.67426071885587002</v>
      </c>
      <c r="Q622" s="14">
        <v>0.92030809107782796</v>
      </c>
      <c r="R622" s="14"/>
      <c r="S622" s="14">
        <v>0.82206944223383105</v>
      </c>
      <c r="T622" s="14">
        <v>0.834299972428167</v>
      </c>
      <c r="U622" s="14">
        <v>0.80816904952118895</v>
      </c>
      <c r="V622" s="14">
        <v>0.726098106165461</v>
      </c>
      <c r="W622" s="14">
        <v>0.91899495863805303</v>
      </c>
      <c r="X622" s="14">
        <v>0.77180283171526598</v>
      </c>
      <c r="Y622" s="14">
        <v>0.78889186106299602</v>
      </c>
      <c r="Z622" s="14">
        <v>0.684416423460393</v>
      </c>
      <c r="AA622" s="14">
        <v>0.79950609409364604</v>
      </c>
      <c r="AB622" s="14"/>
      <c r="AC622" s="14">
        <v>0.945562316319152</v>
      </c>
      <c r="AD622" s="14">
        <v>0.62360006739107099</v>
      </c>
      <c r="AE622" s="14">
        <v>0.80341231536754198</v>
      </c>
      <c r="AF622" s="14">
        <v>0.80198401317039902</v>
      </c>
      <c r="AG622" s="14">
        <v>0.95251399442199802</v>
      </c>
      <c r="AH622" s="14"/>
      <c r="AI622" s="14">
        <v>0.87527813686484901</v>
      </c>
      <c r="AJ622" s="14">
        <v>0.72965196683146405</v>
      </c>
      <c r="AK622" s="14">
        <v>0.66792544830614198</v>
      </c>
      <c r="AL622" s="14">
        <v>0.76761267828513902</v>
      </c>
      <c r="AM622" s="14">
        <v>0.79961011337602905</v>
      </c>
      <c r="AN622" s="14">
        <v>0.77458138362011497</v>
      </c>
      <c r="AO622" s="14"/>
      <c r="AP622" s="14">
        <v>0.83012954851063803</v>
      </c>
      <c r="AQ622" s="14">
        <v>0.76771045097596302</v>
      </c>
      <c r="AR622" s="14"/>
      <c r="AS622" s="14">
        <v>0.79817802108638103</v>
      </c>
      <c r="AT622" s="14" t="s">
        <v>88</v>
      </c>
      <c r="AU622" s="14" t="s">
        <v>88</v>
      </c>
      <c r="AV622" s="14"/>
      <c r="AW622" s="14">
        <v>0.78132873460510799</v>
      </c>
      <c r="AX622" s="14">
        <v>0.822572841932659</v>
      </c>
      <c r="AY622" s="14"/>
      <c r="AZ622" s="14">
        <v>0.80540812947108797</v>
      </c>
      <c r="BA622" s="14">
        <v>0.75544979687080105</v>
      </c>
    </row>
    <row r="623" spans="2:53" x14ac:dyDescent="0.35"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</row>
    <row r="624" spans="2:53" x14ac:dyDescent="0.35">
      <c r="B624" s="6" t="s">
        <v>251</v>
      </c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</row>
    <row r="625" spans="2:53" x14ac:dyDescent="0.35">
      <c r="B625" s="29" t="s">
        <v>219</v>
      </c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</row>
    <row r="626" spans="2:53" x14ac:dyDescent="0.35">
      <c r="B626" t="s">
        <v>226</v>
      </c>
      <c r="C626" s="14">
        <v>0.228878729408098</v>
      </c>
      <c r="D626" s="14">
        <v>0.227603969038702</v>
      </c>
      <c r="E626" s="14">
        <v>0.23030439891431001</v>
      </c>
      <c r="F626" s="14"/>
      <c r="G626" s="14">
        <v>0</v>
      </c>
      <c r="H626" s="14">
        <v>0.25105157339864997</v>
      </c>
      <c r="I626" s="14">
        <v>0.21797415416072</v>
      </c>
      <c r="J626" s="14">
        <v>0.234158713895673</v>
      </c>
      <c r="K626" s="14">
        <v>0.27837716453256101</v>
      </c>
      <c r="L626" s="14" t="s">
        <v>88</v>
      </c>
      <c r="M626" s="14"/>
      <c r="N626" s="14">
        <v>0.169713995590831</v>
      </c>
      <c r="O626" s="14">
        <v>0.197217808695307</v>
      </c>
      <c r="P626" s="14">
        <v>0.26621640636322202</v>
      </c>
      <c r="Q626" s="14">
        <v>0.32463873759224998</v>
      </c>
      <c r="R626" s="14"/>
      <c r="S626" s="14">
        <v>0.253024028783572</v>
      </c>
      <c r="T626" s="14">
        <v>0.15803256441222199</v>
      </c>
      <c r="U626" s="14">
        <v>0.15663793587223401</v>
      </c>
      <c r="V626" s="14">
        <v>0.308154815865401</v>
      </c>
      <c r="W626" s="14">
        <v>0.43380540309746601</v>
      </c>
      <c r="X626" s="14">
        <v>0.14472334495137401</v>
      </c>
      <c r="Y626" s="14">
        <v>0.20832161402664801</v>
      </c>
      <c r="Z626" s="14">
        <v>0.31343791759169498</v>
      </c>
      <c r="AA626" s="14">
        <v>0.22593921977689299</v>
      </c>
      <c r="AB626" s="14"/>
      <c r="AC626" s="14">
        <v>0.24294755327370099</v>
      </c>
      <c r="AD626" s="14">
        <v>0.11384046972695</v>
      </c>
      <c r="AE626" s="14">
        <v>0.25433402618884299</v>
      </c>
      <c r="AF626" s="14">
        <v>0.20742697031775201</v>
      </c>
      <c r="AG626" s="14">
        <v>0.42265004962141001</v>
      </c>
      <c r="AH626" s="14"/>
      <c r="AI626" s="14">
        <v>0.23301839260849999</v>
      </c>
      <c r="AJ626" s="14">
        <v>0.26312802783820299</v>
      </c>
      <c r="AK626" s="14">
        <v>0.18060367389286799</v>
      </c>
      <c r="AL626" s="14">
        <v>0.178350873303848</v>
      </c>
      <c r="AM626" s="14">
        <v>0.155342687593791</v>
      </c>
      <c r="AN626" s="14">
        <v>0.15577760235124799</v>
      </c>
      <c r="AO626" s="14"/>
      <c r="AP626" s="14">
        <v>0.243178154147345</v>
      </c>
      <c r="AQ626" s="14">
        <v>0.215243427408391</v>
      </c>
      <c r="AR626" s="14"/>
      <c r="AS626" s="14">
        <v>0.228878729408098</v>
      </c>
      <c r="AT626" s="14" t="s">
        <v>88</v>
      </c>
      <c r="AU626" s="14" t="s">
        <v>88</v>
      </c>
      <c r="AV626" s="14"/>
      <c r="AW626" s="14">
        <v>0.19753900673650199</v>
      </c>
      <c r="AX626" s="14">
        <v>0.27691695857798798</v>
      </c>
      <c r="AY626" s="14"/>
      <c r="AZ626" s="14">
        <v>0.23723411393760499</v>
      </c>
      <c r="BA626" s="14">
        <v>0.179500390303347</v>
      </c>
    </row>
    <row r="627" spans="2:53" x14ac:dyDescent="0.35">
      <c r="B627" t="s">
        <v>227</v>
      </c>
      <c r="C627" s="14">
        <v>0.49023785041140799</v>
      </c>
      <c r="D627" s="14">
        <v>0.49474963533412097</v>
      </c>
      <c r="E627" s="14">
        <v>0.485191949756408</v>
      </c>
      <c r="F627" s="14"/>
      <c r="G627" s="14">
        <v>0.56846163778720804</v>
      </c>
      <c r="H627" s="14">
        <v>0.43066374152460102</v>
      </c>
      <c r="I627" s="14">
        <v>0.56681564992601197</v>
      </c>
      <c r="J627" s="14">
        <v>0.33984779749397098</v>
      </c>
      <c r="K627" s="14">
        <v>0.38187470173358901</v>
      </c>
      <c r="L627" s="14" t="s">
        <v>88</v>
      </c>
      <c r="M627" s="14"/>
      <c r="N627" s="14">
        <v>0.63431752496319205</v>
      </c>
      <c r="O627" s="14">
        <v>0.543693284184532</v>
      </c>
      <c r="P627" s="14">
        <v>0.14552283160245999</v>
      </c>
      <c r="Q627" s="14">
        <v>0.43171002040027101</v>
      </c>
      <c r="R627" s="14"/>
      <c r="S627" s="14">
        <v>0.58176229557873205</v>
      </c>
      <c r="T627" s="14">
        <v>0.52642416212771004</v>
      </c>
      <c r="U627" s="14">
        <v>0.51818879315706701</v>
      </c>
      <c r="V627" s="14">
        <v>0.41362801752751899</v>
      </c>
      <c r="W627" s="14">
        <v>0.43369837833437203</v>
      </c>
      <c r="X627" s="14">
        <v>0.61221856737334701</v>
      </c>
      <c r="Y627" s="14">
        <v>0.45673001682795</v>
      </c>
      <c r="Z627" s="14">
        <v>0.250337458442209</v>
      </c>
      <c r="AA627" s="14">
        <v>0.38818517812083903</v>
      </c>
      <c r="AB627" s="14"/>
      <c r="AC627" s="14">
        <v>0.53345590098437601</v>
      </c>
      <c r="AD627" s="14">
        <v>0.33365490403794501</v>
      </c>
      <c r="AE627" s="14">
        <v>0.51771284182964805</v>
      </c>
      <c r="AF627" s="14">
        <v>0.606113351211646</v>
      </c>
      <c r="AG627" s="14">
        <v>0.48689572777350199</v>
      </c>
      <c r="AH627" s="14"/>
      <c r="AI627" s="14">
        <v>0.49434830802236801</v>
      </c>
      <c r="AJ627" s="14">
        <v>0.39914836423975197</v>
      </c>
      <c r="AK627" s="14">
        <v>0.51083841449005796</v>
      </c>
      <c r="AL627" s="14">
        <v>0.50265533939623197</v>
      </c>
      <c r="AM627" s="14">
        <v>0.37703546841700097</v>
      </c>
      <c r="AN627" s="14">
        <v>0.80416357475030598</v>
      </c>
      <c r="AO627" s="14"/>
      <c r="AP627" s="14">
        <v>0.52300788647079399</v>
      </c>
      <c r="AQ627" s="14">
        <v>0.458989786495618</v>
      </c>
      <c r="AR627" s="14"/>
      <c r="AS627" s="14">
        <v>0.49023785041140799</v>
      </c>
      <c r="AT627" s="14" t="s">
        <v>88</v>
      </c>
      <c r="AU627" s="14" t="s">
        <v>88</v>
      </c>
      <c r="AV627" s="14"/>
      <c r="AW627" s="14">
        <v>0.47941062578105198</v>
      </c>
      <c r="AX627" s="14">
        <v>0.54379658981562995</v>
      </c>
      <c r="AY627" s="14"/>
      <c r="AZ627" s="14">
        <v>0.47832767548500099</v>
      </c>
      <c r="BA627" s="14">
        <v>0.56062415689869205</v>
      </c>
    </row>
    <row r="628" spans="2:53" x14ac:dyDescent="0.35">
      <c r="B628" t="s">
        <v>228</v>
      </c>
      <c r="C628" s="14">
        <v>0.15498207283396001</v>
      </c>
      <c r="D628" s="14">
        <v>0.18782873322590499</v>
      </c>
      <c r="E628" s="14">
        <v>0.118246947373547</v>
      </c>
      <c r="F628" s="14"/>
      <c r="G628" s="14">
        <v>0</v>
      </c>
      <c r="H628" s="14">
        <v>0.24435504084441401</v>
      </c>
      <c r="I628" s="14">
        <v>9.6815542977024494E-2</v>
      </c>
      <c r="J628" s="14">
        <v>0.24245304511726201</v>
      </c>
      <c r="K628" s="14">
        <v>8.9999695546358893E-2</v>
      </c>
      <c r="L628" s="14" t="s">
        <v>88</v>
      </c>
      <c r="M628" s="14"/>
      <c r="N628" s="14">
        <v>9.5675048289952894E-2</v>
      </c>
      <c r="O628" s="14">
        <v>0.14659872742813601</v>
      </c>
      <c r="P628" s="14">
        <v>0.39248401817418299</v>
      </c>
      <c r="Q628" s="14">
        <v>0.107931535830971</v>
      </c>
      <c r="R628" s="14"/>
      <c r="S628" s="14">
        <v>8.9027775544896603E-2</v>
      </c>
      <c r="T628" s="14">
        <v>0.182857595679386</v>
      </c>
      <c r="U628" s="14">
        <v>0.110080308965899</v>
      </c>
      <c r="V628" s="14">
        <v>0.224503265297679</v>
      </c>
      <c r="W628" s="14">
        <v>0.13249621856816199</v>
      </c>
      <c r="X628" s="14">
        <v>0.13109614401511799</v>
      </c>
      <c r="Y628" s="14">
        <v>0.16026428074872801</v>
      </c>
      <c r="Z628" s="14">
        <v>0.20736870606077901</v>
      </c>
      <c r="AA628" s="14">
        <v>0.23506203441023499</v>
      </c>
      <c r="AB628" s="14"/>
      <c r="AC628" s="14">
        <v>0.169158862061075</v>
      </c>
      <c r="AD628" s="14">
        <v>0.29069840828732502</v>
      </c>
      <c r="AE628" s="14">
        <v>0.13231786958479999</v>
      </c>
      <c r="AF628" s="14">
        <v>8.7675911390102307E-2</v>
      </c>
      <c r="AG628" s="14">
        <v>4.29682170270861E-2</v>
      </c>
      <c r="AH628" s="14"/>
      <c r="AI628" s="14">
        <v>0.186044994266265</v>
      </c>
      <c r="AJ628" s="14">
        <v>0.204583225012964</v>
      </c>
      <c r="AK628" s="14">
        <v>6.7853278503882106E-2</v>
      </c>
      <c r="AL628" s="14">
        <v>0.16537696139285701</v>
      </c>
      <c r="AM628" s="14">
        <v>0.29663428759517502</v>
      </c>
      <c r="AN628" s="14">
        <v>0</v>
      </c>
      <c r="AO628" s="14"/>
      <c r="AP628" s="14">
        <v>0.16078883257396101</v>
      </c>
      <c r="AQ628" s="14">
        <v>0.149445002347667</v>
      </c>
      <c r="AR628" s="14"/>
      <c r="AS628" s="14">
        <v>0.15498207283396001</v>
      </c>
      <c r="AT628" s="14" t="s">
        <v>88</v>
      </c>
      <c r="AU628" s="14" t="s">
        <v>88</v>
      </c>
      <c r="AV628" s="14"/>
      <c r="AW628" s="14">
        <v>0.18474769378495401</v>
      </c>
      <c r="AX628" s="14">
        <v>7.3574757253706102E-2</v>
      </c>
      <c r="AY628" s="14"/>
      <c r="AZ628" s="14">
        <v>0.16285353426285401</v>
      </c>
      <c r="BA628" s="14">
        <v>0.108463604376487</v>
      </c>
    </row>
    <row r="629" spans="2:53" x14ac:dyDescent="0.35">
      <c r="B629" t="s">
        <v>229</v>
      </c>
      <c r="C629" s="14">
        <v>3.2067149697671403E-2</v>
      </c>
      <c r="D629" s="14">
        <v>4.1216316347099102E-2</v>
      </c>
      <c r="E629" s="14">
        <v>2.1834883138013302E-2</v>
      </c>
      <c r="F629" s="14"/>
      <c r="G629" s="14">
        <v>0</v>
      </c>
      <c r="H629" s="14">
        <v>0</v>
      </c>
      <c r="I629" s="14">
        <v>6.21079936623068E-2</v>
      </c>
      <c r="J629" s="14">
        <v>0</v>
      </c>
      <c r="K629" s="14">
        <v>0</v>
      </c>
      <c r="L629" s="14" t="s">
        <v>88</v>
      </c>
      <c r="M629" s="14"/>
      <c r="N629" s="14">
        <v>8.6781011297584892E-3</v>
      </c>
      <c r="O629" s="14">
        <v>2.9202987657528701E-2</v>
      </c>
      <c r="P629" s="14">
        <v>0</v>
      </c>
      <c r="Q629" s="14">
        <v>8.6269522733073603E-2</v>
      </c>
      <c r="R629" s="14"/>
      <c r="S629" s="14">
        <v>0</v>
      </c>
      <c r="T629" s="14">
        <v>5.4000065538697399E-2</v>
      </c>
      <c r="U629" s="14">
        <v>8.2750585128732596E-2</v>
      </c>
      <c r="V629" s="14">
        <v>5.3713901309401298E-2</v>
      </c>
      <c r="W629" s="14">
        <v>0</v>
      </c>
      <c r="X629" s="14">
        <v>4.85505134333531E-2</v>
      </c>
      <c r="Y629" s="14">
        <v>0</v>
      </c>
      <c r="Z629" s="14">
        <v>0</v>
      </c>
      <c r="AA629" s="14">
        <v>0</v>
      </c>
      <c r="AB629" s="14"/>
      <c r="AC629" s="14">
        <v>0</v>
      </c>
      <c r="AD629" s="14">
        <v>5.0183323092858702E-2</v>
      </c>
      <c r="AE629" s="14">
        <v>7.8559227519350606E-3</v>
      </c>
      <c r="AF629" s="14">
        <v>3.7690232957227801E-2</v>
      </c>
      <c r="AG629" s="14">
        <v>0</v>
      </c>
      <c r="AH629" s="14"/>
      <c r="AI629" s="14">
        <v>0</v>
      </c>
      <c r="AJ629" s="14">
        <v>4.5587062068262303E-2</v>
      </c>
      <c r="AK629" s="14">
        <v>0.117217828610614</v>
      </c>
      <c r="AL629" s="14">
        <v>0</v>
      </c>
      <c r="AM629" s="14">
        <v>0</v>
      </c>
      <c r="AN629" s="14">
        <v>4.0058822898445701E-2</v>
      </c>
      <c r="AO629" s="14"/>
      <c r="AP629" s="14">
        <v>3.4015117470197503E-2</v>
      </c>
      <c r="AQ629" s="14">
        <v>3.0209653375376198E-2</v>
      </c>
      <c r="AR629" s="14"/>
      <c r="AS629" s="14">
        <v>3.2067149697671403E-2</v>
      </c>
      <c r="AT629" s="14" t="s">
        <v>88</v>
      </c>
      <c r="AU629" s="14" t="s">
        <v>88</v>
      </c>
      <c r="AV629" s="14"/>
      <c r="AW629" s="14">
        <v>4.5463380466756402E-2</v>
      </c>
      <c r="AX629" s="14">
        <v>0</v>
      </c>
      <c r="AY629" s="14"/>
      <c r="AZ629" s="14">
        <v>2.8860097067686E-2</v>
      </c>
      <c r="BA629" s="14">
        <v>5.10200694263757E-2</v>
      </c>
    </row>
    <row r="630" spans="2:53" x14ac:dyDescent="0.35">
      <c r="B630" t="s">
        <v>116</v>
      </c>
      <c r="C630" s="14">
        <v>5.2093537344667602E-2</v>
      </c>
      <c r="D630" s="14">
        <v>9.8450702200763903E-3</v>
      </c>
      <c r="E630" s="14">
        <v>9.9343477576416594E-2</v>
      </c>
      <c r="F630" s="14"/>
      <c r="G630" s="14">
        <v>0</v>
      </c>
      <c r="H630" s="14">
        <v>6.3554381690703404E-2</v>
      </c>
      <c r="I630" s="14">
        <v>2.3298263553398799E-2</v>
      </c>
      <c r="J630" s="14">
        <v>0.18354044349309501</v>
      </c>
      <c r="K630" s="14">
        <v>0</v>
      </c>
      <c r="L630" s="14" t="s">
        <v>88</v>
      </c>
      <c r="M630" s="14"/>
      <c r="N630" s="14">
        <v>3.7137621001436902E-2</v>
      </c>
      <c r="O630" s="14">
        <v>2.1729667587390599E-2</v>
      </c>
      <c r="P630" s="14">
        <v>0.19577674386013499</v>
      </c>
      <c r="Q630" s="14">
        <v>2.34207788831809E-2</v>
      </c>
      <c r="R630" s="14"/>
      <c r="S630" s="14">
        <v>4.85878613753013E-2</v>
      </c>
      <c r="T630" s="14">
        <v>2.46855620847314E-2</v>
      </c>
      <c r="U630" s="14">
        <v>8.7861452167277407E-2</v>
      </c>
      <c r="V630" s="14">
        <v>0</v>
      </c>
      <c r="W630" s="14">
        <v>0</v>
      </c>
      <c r="X630" s="14">
        <v>0</v>
      </c>
      <c r="Y630" s="14">
        <v>6.7235245101339797E-2</v>
      </c>
      <c r="Z630" s="14">
        <v>0.22885591790531801</v>
      </c>
      <c r="AA630" s="14">
        <v>7.0336122590283295E-2</v>
      </c>
      <c r="AB630" s="14"/>
      <c r="AC630" s="14">
        <v>5.4437683680848198E-2</v>
      </c>
      <c r="AD630" s="14">
        <v>0.12062027388656101</v>
      </c>
      <c r="AE630" s="14">
        <v>3.2798499060981201E-2</v>
      </c>
      <c r="AF630" s="14">
        <v>5.6216018299128097E-2</v>
      </c>
      <c r="AG630" s="14">
        <v>0</v>
      </c>
      <c r="AH630" s="14"/>
      <c r="AI630" s="14">
        <v>5.4735066392966103E-2</v>
      </c>
      <c r="AJ630" s="14">
        <v>2.0423134119458501E-2</v>
      </c>
      <c r="AK630" s="14">
        <v>5.1518684338154E-2</v>
      </c>
      <c r="AL630" s="14">
        <v>8.9466817446165803E-2</v>
      </c>
      <c r="AM630" s="14">
        <v>0.17098755639403199</v>
      </c>
      <c r="AN630" s="14">
        <v>0</v>
      </c>
      <c r="AO630" s="14"/>
      <c r="AP630" s="14">
        <v>1.40421681488287E-2</v>
      </c>
      <c r="AQ630" s="14">
        <v>8.8377648065818298E-2</v>
      </c>
      <c r="AR630" s="14"/>
      <c r="AS630" s="14">
        <v>5.2093537344667602E-2</v>
      </c>
      <c r="AT630" s="14" t="s">
        <v>88</v>
      </c>
      <c r="AU630" s="14" t="s">
        <v>88</v>
      </c>
      <c r="AV630" s="14"/>
      <c r="AW630" s="14">
        <v>7.3855903330622003E-2</v>
      </c>
      <c r="AX630" s="14">
        <v>0</v>
      </c>
      <c r="AY630" s="14"/>
      <c r="AZ630" s="14">
        <v>4.3920917762783597E-2</v>
      </c>
      <c r="BA630" s="14">
        <v>0.100391778995098</v>
      </c>
    </row>
    <row r="631" spans="2:53" x14ac:dyDescent="0.35"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</row>
    <row r="632" spans="2:53" x14ac:dyDescent="0.35">
      <c r="B632" s="6" t="s">
        <v>252</v>
      </c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</row>
    <row r="633" spans="2:53" x14ac:dyDescent="0.35">
      <c r="B633" s="29" t="s">
        <v>219</v>
      </c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</row>
    <row r="634" spans="2:53" x14ac:dyDescent="0.35">
      <c r="B634" t="s">
        <v>231</v>
      </c>
      <c r="C634" s="14">
        <v>0.147647036714948</v>
      </c>
      <c r="D634" s="14">
        <v>0.19314434158058699</v>
      </c>
      <c r="E634" s="14">
        <v>9.6763653673677799E-2</v>
      </c>
      <c r="F634" s="14"/>
      <c r="G634" s="14">
        <v>0.272867117577695</v>
      </c>
      <c r="H634" s="14">
        <v>0.20209213290917999</v>
      </c>
      <c r="I634" s="14">
        <v>0.16121707777869901</v>
      </c>
      <c r="J634" s="14">
        <v>0</v>
      </c>
      <c r="K634" s="14">
        <v>0</v>
      </c>
      <c r="L634" s="14" t="s">
        <v>88</v>
      </c>
      <c r="M634" s="14"/>
      <c r="N634" s="14">
        <v>0.14454459884971499</v>
      </c>
      <c r="O634" s="14">
        <v>0.111445343550563</v>
      </c>
      <c r="P634" s="14">
        <v>0.101006034292073</v>
      </c>
      <c r="Q634" s="14">
        <v>0.22012884275904099</v>
      </c>
      <c r="R634" s="14"/>
      <c r="S634" s="14">
        <v>0.19807387040353</v>
      </c>
      <c r="T634" s="14">
        <v>0.14837715465557</v>
      </c>
      <c r="U634" s="14">
        <v>5.9488566452778002E-2</v>
      </c>
      <c r="V634" s="14">
        <v>0.29707254084958001</v>
      </c>
      <c r="W634" s="14">
        <v>4.0556009108588503E-2</v>
      </c>
      <c r="X634" s="14">
        <v>0.31746806360986002</v>
      </c>
      <c r="Y634" s="14">
        <v>0.118228205394633</v>
      </c>
      <c r="Z634" s="14">
        <v>0</v>
      </c>
      <c r="AA634" s="14">
        <v>1.13704218754547E-2</v>
      </c>
      <c r="AB634" s="14"/>
      <c r="AC634" s="14">
        <v>8.2764697894472994E-2</v>
      </c>
      <c r="AD634" s="14">
        <v>0</v>
      </c>
      <c r="AE634" s="14">
        <v>0.19375616252077699</v>
      </c>
      <c r="AF634" s="14">
        <v>0.25436396423987101</v>
      </c>
      <c r="AG634" s="14">
        <v>0.26494937902371102</v>
      </c>
      <c r="AH634" s="14"/>
      <c r="AI634" s="14">
        <v>0.164692930689012</v>
      </c>
      <c r="AJ634" s="14">
        <v>0.28311569444981899</v>
      </c>
      <c r="AK634" s="14">
        <v>6.54511794093494E-2</v>
      </c>
      <c r="AL634" s="14">
        <v>7.49304774402197E-3</v>
      </c>
      <c r="AM634" s="14">
        <v>3.6405658495633E-2</v>
      </c>
      <c r="AN634" s="14">
        <v>0.30673704384807698</v>
      </c>
      <c r="AO634" s="14"/>
      <c r="AP634" s="14">
        <v>0.163014282276226</v>
      </c>
      <c r="AQ634" s="14">
        <v>0.13299350778265701</v>
      </c>
      <c r="AR634" s="14"/>
      <c r="AS634" s="14">
        <v>0.147647036714948</v>
      </c>
      <c r="AT634" s="14" t="s">
        <v>88</v>
      </c>
      <c r="AU634" s="14" t="s">
        <v>88</v>
      </c>
      <c r="AV634" s="14"/>
      <c r="AW634" s="14">
        <v>9.5442859911650399E-2</v>
      </c>
      <c r="AX634" s="14">
        <v>0.29951559554669699</v>
      </c>
      <c r="AY634" s="14"/>
      <c r="AZ634" s="14">
        <v>0.17140802205029301</v>
      </c>
      <c r="BA634" s="14">
        <v>7.2252539462125502E-3</v>
      </c>
    </row>
    <row r="635" spans="2:53" x14ac:dyDescent="0.35">
      <c r="B635" t="s">
        <v>232</v>
      </c>
      <c r="C635" s="14">
        <v>0.68653815249110495</v>
      </c>
      <c r="D635" s="14">
        <v>0.65321422827032805</v>
      </c>
      <c r="E635" s="14">
        <v>0.72380704139719698</v>
      </c>
      <c r="F635" s="14"/>
      <c r="G635" s="14">
        <v>0.727132882422305</v>
      </c>
      <c r="H635" s="14">
        <v>0.58621244323592103</v>
      </c>
      <c r="I635" s="14">
        <v>0.68699688528704705</v>
      </c>
      <c r="J635" s="14">
        <v>0.78339868678289504</v>
      </c>
      <c r="K635" s="14">
        <v>1</v>
      </c>
      <c r="L635" s="14" t="s">
        <v>88</v>
      </c>
      <c r="M635" s="14"/>
      <c r="N635" s="14">
        <v>0.70631437062207003</v>
      </c>
      <c r="O635" s="14">
        <v>0.706541026979152</v>
      </c>
      <c r="P635" s="14">
        <v>0.52931723730000602</v>
      </c>
      <c r="Q635" s="14">
        <v>0.72818920738167103</v>
      </c>
      <c r="R635" s="14"/>
      <c r="S635" s="14">
        <v>0.67581569343813097</v>
      </c>
      <c r="T635" s="14">
        <v>0.64504578540826696</v>
      </c>
      <c r="U635" s="14">
        <v>0.80017202227138495</v>
      </c>
      <c r="V635" s="14">
        <v>0.61350750794775899</v>
      </c>
      <c r="W635" s="14">
        <v>0.727740312982608</v>
      </c>
      <c r="X635" s="14">
        <v>0.63398142295678706</v>
      </c>
      <c r="Y635" s="14">
        <v>0.59487507374728799</v>
      </c>
      <c r="Z635" s="14">
        <v>0.77114408209468199</v>
      </c>
      <c r="AA635" s="14">
        <v>0.73767293214296803</v>
      </c>
      <c r="AB635" s="14"/>
      <c r="AC635" s="14">
        <v>0.86279761842467895</v>
      </c>
      <c r="AD635" s="14">
        <v>0.63624774712524701</v>
      </c>
      <c r="AE635" s="14">
        <v>0.68672023311652097</v>
      </c>
      <c r="AF635" s="14">
        <v>0.58839532913715398</v>
      </c>
      <c r="AG635" s="14">
        <v>0.42034021448796999</v>
      </c>
      <c r="AH635" s="14"/>
      <c r="AI635" s="14">
        <v>0.71477071325568198</v>
      </c>
      <c r="AJ635" s="14">
        <v>0.54397297853767701</v>
      </c>
      <c r="AK635" s="14">
        <v>0.82002201142369002</v>
      </c>
      <c r="AL635" s="14">
        <v>0.72184469598404899</v>
      </c>
      <c r="AM635" s="14">
        <v>0.76208017414036799</v>
      </c>
      <c r="AN635" s="14">
        <v>0.47215396625400302</v>
      </c>
      <c r="AO635" s="14"/>
      <c r="AP635" s="14">
        <v>0.70591075687585902</v>
      </c>
      <c r="AQ635" s="14">
        <v>0.668065289692509</v>
      </c>
      <c r="AR635" s="14"/>
      <c r="AS635" s="14">
        <v>0.68653815249110495</v>
      </c>
      <c r="AT635" s="14" t="s">
        <v>88</v>
      </c>
      <c r="AU635" s="14" t="s">
        <v>88</v>
      </c>
      <c r="AV635" s="14"/>
      <c r="AW635" s="14">
        <v>0.72390384311692202</v>
      </c>
      <c r="AX635" s="14">
        <v>0.557329727273699</v>
      </c>
      <c r="AY635" s="14"/>
      <c r="AZ635" s="14">
        <v>0.66527136953795796</v>
      </c>
      <c r="BA635" s="14">
        <v>0.81221979127375199</v>
      </c>
    </row>
    <row r="636" spans="2:53" x14ac:dyDescent="0.35">
      <c r="B636" t="s">
        <v>233</v>
      </c>
      <c r="C636" s="14">
        <v>9.08884963220285E-2</v>
      </c>
      <c r="D636" s="14">
        <v>0.10819980240892201</v>
      </c>
      <c r="E636" s="14">
        <v>7.15278370222001E-2</v>
      </c>
      <c r="F636" s="14"/>
      <c r="G636" s="14">
        <v>0</v>
      </c>
      <c r="H636" s="14">
        <v>0.12120923510123</v>
      </c>
      <c r="I636" s="14">
        <v>9.2580633999523404E-2</v>
      </c>
      <c r="J636" s="14">
        <v>6.4122192653657206E-2</v>
      </c>
      <c r="K636" s="14">
        <v>0</v>
      </c>
      <c r="L636" s="14" t="s">
        <v>88</v>
      </c>
      <c r="M636" s="14"/>
      <c r="N636" s="14">
        <v>9.2243713568123095E-2</v>
      </c>
      <c r="O636" s="14">
        <v>0.11240217458417701</v>
      </c>
      <c r="P636" s="14">
        <v>0.15332150081919499</v>
      </c>
      <c r="Q636" s="14">
        <v>2.8261170976106399E-2</v>
      </c>
      <c r="R636" s="14"/>
      <c r="S636" s="14">
        <v>9.4314945330493602E-2</v>
      </c>
      <c r="T636" s="14">
        <v>0.10543963373913399</v>
      </c>
      <c r="U636" s="14">
        <v>5.9488566452778002E-2</v>
      </c>
      <c r="V636" s="14">
        <v>8.94199512026604E-2</v>
      </c>
      <c r="W636" s="14">
        <v>0.231703677908804</v>
      </c>
      <c r="X636" s="14">
        <v>0</v>
      </c>
      <c r="Y636" s="14">
        <v>0.17132673445934099</v>
      </c>
      <c r="Z636" s="14">
        <v>0</v>
      </c>
      <c r="AA636" s="14">
        <v>8.1259844018338495E-2</v>
      </c>
      <c r="AB636" s="14"/>
      <c r="AC636" s="14">
        <v>0</v>
      </c>
      <c r="AD636" s="14">
        <v>0.13433158255446701</v>
      </c>
      <c r="AE636" s="14">
        <v>7.8419149914637096E-2</v>
      </c>
      <c r="AF636" s="14">
        <v>0.10102468832384701</v>
      </c>
      <c r="AG636" s="14">
        <v>0.14037686145574199</v>
      </c>
      <c r="AH636" s="14"/>
      <c r="AI636" s="14">
        <v>2.3914538642093901E-2</v>
      </c>
      <c r="AJ636" s="14">
        <v>0.172911327012504</v>
      </c>
      <c r="AK636" s="14">
        <v>0</v>
      </c>
      <c r="AL636" s="14">
        <v>0.14845635734589799</v>
      </c>
      <c r="AM636" s="14">
        <v>0.20151416736399899</v>
      </c>
      <c r="AN636" s="14">
        <v>0.18105016699947499</v>
      </c>
      <c r="AO636" s="14"/>
      <c r="AP636" s="14">
        <v>0.10168321424922799</v>
      </c>
      <c r="AQ636" s="14">
        <v>8.0595128468213803E-2</v>
      </c>
      <c r="AR636" s="14"/>
      <c r="AS636" s="14">
        <v>9.08884963220285E-2</v>
      </c>
      <c r="AT636" s="14" t="s">
        <v>88</v>
      </c>
      <c r="AU636" s="14" t="s">
        <v>88</v>
      </c>
      <c r="AV636" s="14"/>
      <c r="AW636" s="14">
        <v>8.0903475968943594E-2</v>
      </c>
      <c r="AX636" s="14">
        <v>0.12611921290703501</v>
      </c>
      <c r="AY636" s="14"/>
      <c r="AZ636" s="14">
        <v>8.2750828830692402E-2</v>
      </c>
      <c r="BA636" s="14">
        <v>0.13898017941451399</v>
      </c>
    </row>
    <row r="637" spans="2:53" x14ac:dyDescent="0.35">
      <c r="B637" t="s">
        <v>116</v>
      </c>
      <c r="C637" s="14">
        <v>7.4926314471918304E-2</v>
      </c>
      <c r="D637" s="14">
        <v>4.5441627740163699E-2</v>
      </c>
      <c r="E637" s="14">
        <v>0.10790146790692499</v>
      </c>
      <c r="F637" s="14"/>
      <c r="G637" s="14">
        <v>0</v>
      </c>
      <c r="H637" s="14">
        <v>9.0486188753668206E-2</v>
      </c>
      <c r="I637" s="14">
        <v>5.9205402934730401E-2</v>
      </c>
      <c r="J637" s="14">
        <v>0.15247912056344801</v>
      </c>
      <c r="K637" s="14">
        <v>0</v>
      </c>
      <c r="L637" s="14" t="s">
        <v>88</v>
      </c>
      <c r="M637" s="14"/>
      <c r="N637" s="14">
        <v>5.6897316960091697E-2</v>
      </c>
      <c r="O637" s="14">
        <v>6.9611454886108606E-2</v>
      </c>
      <c r="P637" s="14">
        <v>0.216355227588726</v>
      </c>
      <c r="Q637" s="14">
        <v>2.34207788831809E-2</v>
      </c>
      <c r="R637" s="14"/>
      <c r="S637" s="14">
        <v>3.1795490827845101E-2</v>
      </c>
      <c r="T637" s="14">
        <v>0.10113742619702901</v>
      </c>
      <c r="U637" s="14">
        <v>8.0850844823058807E-2</v>
      </c>
      <c r="V637" s="14">
        <v>0</v>
      </c>
      <c r="W637" s="14">
        <v>0</v>
      </c>
      <c r="X637" s="14">
        <v>4.85505134333531E-2</v>
      </c>
      <c r="Y637" s="14">
        <v>0.115569986398739</v>
      </c>
      <c r="Z637" s="14">
        <v>0.22885591790531801</v>
      </c>
      <c r="AA637" s="14">
        <v>0.169696801963239</v>
      </c>
      <c r="AB637" s="14"/>
      <c r="AC637" s="14">
        <v>5.4437683680848198E-2</v>
      </c>
      <c r="AD637" s="14">
        <v>0.22942067032028701</v>
      </c>
      <c r="AE637" s="14">
        <v>4.1104454448065403E-2</v>
      </c>
      <c r="AF637" s="14">
        <v>5.6216018299128097E-2</v>
      </c>
      <c r="AG637" s="14">
        <v>0.174333545032577</v>
      </c>
      <c r="AH637" s="14"/>
      <c r="AI637" s="14">
        <v>9.6621817413212602E-2</v>
      </c>
      <c r="AJ637" s="14">
        <v>0</v>
      </c>
      <c r="AK637" s="14">
        <v>0.11452680916695999</v>
      </c>
      <c r="AL637" s="14">
        <v>0.122205898926031</v>
      </c>
      <c r="AM637" s="14">
        <v>0</v>
      </c>
      <c r="AN637" s="14">
        <v>4.0058822898445701E-2</v>
      </c>
      <c r="AO637" s="14"/>
      <c r="AP637" s="14">
        <v>2.9391746598686701E-2</v>
      </c>
      <c r="AQ637" s="14">
        <v>0.118346074056621</v>
      </c>
      <c r="AR637" s="14"/>
      <c r="AS637" s="14">
        <v>7.4926314471918304E-2</v>
      </c>
      <c r="AT637" s="14" t="s">
        <v>88</v>
      </c>
      <c r="AU637" s="14" t="s">
        <v>88</v>
      </c>
      <c r="AV637" s="14"/>
      <c r="AW637" s="14">
        <v>9.9749821002484002E-2</v>
      </c>
      <c r="AX637" s="14">
        <v>1.7035464272568801E-2</v>
      </c>
      <c r="AY637" s="14"/>
      <c r="AZ637" s="14">
        <v>8.0569779581056003E-2</v>
      </c>
      <c r="BA637" s="14">
        <v>4.1574775365522003E-2</v>
      </c>
    </row>
    <row r="638" spans="2:53" x14ac:dyDescent="0.35"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</row>
    <row r="639" spans="2:53" x14ac:dyDescent="0.35">
      <c r="B639" s="6" t="s">
        <v>253</v>
      </c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</row>
    <row r="640" spans="2:53" x14ac:dyDescent="0.35">
      <c r="B640" s="29" t="s">
        <v>219</v>
      </c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</row>
    <row r="641" spans="2:53" x14ac:dyDescent="0.35">
      <c r="B641" t="s">
        <v>235</v>
      </c>
      <c r="C641" s="14">
        <v>0.42262110875430298</v>
      </c>
      <c r="D641" s="14">
        <v>0.41391667310427399</v>
      </c>
      <c r="E641" s="14">
        <v>0.43235599601073499</v>
      </c>
      <c r="F641" s="14"/>
      <c r="G641" s="14">
        <v>0.15867124463509699</v>
      </c>
      <c r="H641" s="14">
        <v>0.47050816025487102</v>
      </c>
      <c r="I641" s="14">
        <v>0.39599452050843198</v>
      </c>
      <c r="J641" s="14">
        <v>0.37806324087467402</v>
      </c>
      <c r="K641" s="14">
        <v>0.59994459663198096</v>
      </c>
      <c r="L641" s="14" t="s">
        <v>88</v>
      </c>
      <c r="M641" s="14"/>
      <c r="N641" s="14">
        <v>0.399134423520555</v>
      </c>
      <c r="O641" s="14">
        <v>0.34482850982560598</v>
      </c>
      <c r="P641" s="14">
        <v>0.38229560534308299</v>
      </c>
      <c r="Q641" s="14">
        <v>0.56668185387493097</v>
      </c>
      <c r="R641" s="14"/>
      <c r="S641" s="14">
        <v>0.44736219603545502</v>
      </c>
      <c r="T641" s="14">
        <v>0.484733036227737</v>
      </c>
      <c r="U641" s="14">
        <v>0.36552503030871802</v>
      </c>
      <c r="V641" s="14">
        <v>0.30967034716842801</v>
      </c>
      <c r="W641" s="14">
        <v>0.130701987636828</v>
      </c>
      <c r="X641" s="14">
        <v>0.44619100322948302</v>
      </c>
      <c r="Y641" s="14">
        <v>0.48491711356107697</v>
      </c>
      <c r="Z641" s="14">
        <v>0.44313432860741397</v>
      </c>
      <c r="AA641" s="14">
        <v>0.59640398085345403</v>
      </c>
      <c r="AB641" s="14"/>
      <c r="AC641" s="14">
        <v>0.38192654660232001</v>
      </c>
      <c r="AD641" s="14">
        <v>0.37556208416808901</v>
      </c>
      <c r="AE641" s="14">
        <v>0.453015780635876</v>
      </c>
      <c r="AF641" s="14">
        <v>0.469075427311265</v>
      </c>
      <c r="AG641" s="14">
        <v>0.550776967615483</v>
      </c>
      <c r="AH641" s="14"/>
      <c r="AI641" s="14">
        <v>0.44622574985364799</v>
      </c>
      <c r="AJ641" s="14">
        <v>0.43041474936927998</v>
      </c>
      <c r="AK641" s="14">
        <v>0.30708122092621998</v>
      </c>
      <c r="AL641" s="14">
        <v>0.476754488669901</v>
      </c>
      <c r="AM641" s="14">
        <v>0.27358415930087798</v>
      </c>
      <c r="AN641" s="14">
        <v>0.52174868060699997</v>
      </c>
      <c r="AO641" s="14"/>
      <c r="AP641" s="14">
        <v>0.387066877337644</v>
      </c>
      <c r="AQ641" s="14">
        <v>0.45652405880816199</v>
      </c>
      <c r="AR641" s="14"/>
      <c r="AS641" s="14">
        <v>0.42262110875430298</v>
      </c>
      <c r="AT641" s="14" t="s">
        <v>88</v>
      </c>
      <c r="AU641" s="14" t="s">
        <v>88</v>
      </c>
      <c r="AV641" s="14"/>
      <c r="AW641" s="14">
        <v>0.36852116705267701</v>
      </c>
      <c r="AX641" s="14">
        <v>0.54963983718939202</v>
      </c>
      <c r="AY641" s="14"/>
      <c r="AZ641" s="14">
        <v>0.44542501394711898</v>
      </c>
      <c r="BA641" s="14">
        <v>0.287855442428959</v>
      </c>
    </row>
    <row r="642" spans="2:53" x14ac:dyDescent="0.35">
      <c r="B642" t="s">
        <v>236</v>
      </c>
      <c r="C642" s="14">
        <v>0.49279203304186903</v>
      </c>
      <c r="D642" s="14">
        <v>0.50523927809444902</v>
      </c>
      <c r="E642" s="14">
        <v>0.47887125378495599</v>
      </c>
      <c r="F642" s="14"/>
      <c r="G642" s="14">
        <v>0.84132875536490304</v>
      </c>
      <c r="H642" s="14">
        <v>0.44069147216038601</v>
      </c>
      <c r="I642" s="14">
        <v>0.51506323024907896</v>
      </c>
      <c r="J642" s="14">
        <v>0.51405649723059299</v>
      </c>
      <c r="K642" s="14">
        <v>0.40005540336801898</v>
      </c>
      <c r="L642" s="14" t="s">
        <v>88</v>
      </c>
      <c r="M642" s="14"/>
      <c r="N642" s="14">
        <v>0.55696493776020795</v>
      </c>
      <c r="O642" s="14">
        <v>0.53947106206302997</v>
      </c>
      <c r="P642" s="14">
        <v>0.44420762770346101</v>
      </c>
      <c r="Q642" s="14">
        <v>0.37965564176315097</v>
      </c>
      <c r="R642" s="14"/>
      <c r="S642" s="14">
        <v>0.448103433157505</v>
      </c>
      <c r="T642" s="14">
        <v>0.47488992481264403</v>
      </c>
      <c r="U642" s="14">
        <v>0.57498640323850403</v>
      </c>
      <c r="V642" s="14">
        <v>0.50858141901379905</v>
      </c>
      <c r="W642" s="14">
        <v>0.86929801236317195</v>
      </c>
      <c r="X642" s="14">
        <v>0.38246925317262498</v>
      </c>
      <c r="Y642" s="14">
        <v>0.39951290004018403</v>
      </c>
      <c r="Z642" s="14">
        <v>0.55686567139258603</v>
      </c>
      <c r="AA642" s="14">
        <v>0.39222559543429097</v>
      </c>
      <c r="AB642" s="14"/>
      <c r="AC642" s="14">
        <v>0.57340014605115897</v>
      </c>
      <c r="AD642" s="14">
        <v>0.45184755580017799</v>
      </c>
      <c r="AE642" s="14">
        <v>0.51285642150483202</v>
      </c>
      <c r="AF642" s="14">
        <v>0.40639963234266402</v>
      </c>
      <c r="AG642" s="14">
        <v>0.449223032384517</v>
      </c>
      <c r="AH642" s="14"/>
      <c r="AI642" s="14">
        <v>0.49158820688584298</v>
      </c>
      <c r="AJ642" s="14">
        <v>0.43491749659815598</v>
      </c>
      <c r="AK642" s="14">
        <v>0.61610548362124495</v>
      </c>
      <c r="AL642" s="14">
        <v>0.380046046891369</v>
      </c>
      <c r="AM642" s="14">
        <v>0.72641584069912202</v>
      </c>
      <c r="AN642" s="14">
        <v>0.47825131939299997</v>
      </c>
      <c r="AO642" s="14"/>
      <c r="AP642" s="14">
        <v>0.52225477332210901</v>
      </c>
      <c r="AQ642" s="14">
        <v>0.46469766080062902</v>
      </c>
      <c r="AR642" s="14"/>
      <c r="AS642" s="14">
        <v>0.49279203304186903</v>
      </c>
      <c r="AT642" s="14" t="s">
        <v>88</v>
      </c>
      <c r="AU642" s="14" t="s">
        <v>88</v>
      </c>
      <c r="AV642" s="14"/>
      <c r="AW642" s="14">
        <v>0.53989824781063001</v>
      </c>
      <c r="AX642" s="14">
        <v>0.37581851431182001</v>
      </c>
      <c r="AY642" s="14"/>
      <c r="AZ642" s="14">
        <v>0.47078056722103101</v>
      </c>
      <c r="BA642" s="14">
        <v>0.62287457079409903</v>
      </c>
    </row>
    <row r="643" spans="2:53" x14ac:dyDescent="0.35">
      <c r="B643" t="s">
        <v>237</v>
      </c>
      <c r="C643" s="14">
        <v>4.6802830685166899E-2</v>
      </c>
      <c r="D643" s="14">
        <v>5.7561008325107597E-2</v>
      </c>
      <c r="E643" s="14">
        <v>3.4771074621906997E-2</v>
      </c>
      <c r="F643" s="14"/>
      <c r="G643" s="14">
        <v>0</v>
      </c>
      <c r="H643" s="14">
        <v>4.6966496926096502E-2</v>
      </c>
      <c r="I643" s="14">
        <v>6.3919819184639501E-2</v>
      </c>
      <c r="J643" s="14">
        <v>0</v>
      </c>
      <c r="K643" s="14">
        <v>0</v>
      </c>
      <c r="L643" s="14" t="s">
        <v>88</v>
      </c>
      <c r="M643" s="14"/>
      <c r="N643" s="14">
        <v>4.39006387192373E-2</v>
      </c>
      <c r="O643" s="14">
        <v>0.115700428111364</v>
      </c>
      <c r="P643" s="14">
        <v>0</v>
      </c>
      <c r="Q643" s="14">
        <v>0</v>
      </c>
      <c r="R643" s="14"/>
      <c r="S643" s="14">
        <v>7.2738879979194995E-2</v>
      </c>
      <c r="T643" s="14">
        <v>4.0377038959618701E-2</v>
      </c>
      <c r="U643" s="14">
        <v>5.9488566452778002E-2</v>
      </c>
      <c r="V643" s="14">
        <v>3.8614381305711099E-2</v>
      </c>
      <c r="W643" s="14">
        <v>0</v>
      </c>
      <c r="X643" s="14">
        <v>7.9411835558559907E-2</v>
      </c>
      <c r="Y643" s="14">
        <v>4.8334741297399099E-2</v>
      </c>
      <c r="Z643" s="14">
        <v>0</v>
      </c>
      <c r="AA643" s="14">
        <v>1.1370423712255599E-2</v>
      </c>
      <c r="AB643" s="14"/>
      <c r="AC643" s="14">
        <v>4.4673307346521203E-2</v>
      </c>
      <c r="AD643" s="14">
        <v>0</v>
      </c>
      <c r="AE643" s="14">
        <v>3.4127797859291903E-2</v>
      </c>
      <c r="AF643" s="14">
        <v>9.2553431586890195E-2</v>
      </c>
      <c r="AG643" s="14">
        <v>0</v>
      </c>
      <c r="AH643" s="14"/>
      <c r="AI643" s="14">
        <v>3.01248613282886E-2</v>
      </c>
      <c r="AJ643" s="14">
        <v>3.4086450874133201E-2</v>
      </c>
      <c r="AK643" s="14">
        <v>7.6813295452535596E-2</v>
      </c>
      <c r="AL643" s="14">
        <v>0.14319946443873099</v>
      </c>
      <c r="AM643" s="14">
        <v>0</v>
      </c>
      <c r="AN643" s="14">
        <v>0</v>
      </c>
      <c r="AO643" s="14"/>
      <c r="AP643" s="14">
        <v>6.5295293754728603E-2</v>
      </c>
      <c r="AQ643" s="14">
        <v>2.9169231902704599E-2</v>
      </c>
      <c r="AR643" s="14"/>
      <c r="AS643" s="14">
        <v>4.6802830685166899E-2</v>
      </c>
      <c r="AT643" s="14" t="s">
        <v>88</v>
      </c>
      <c r="AU643" s="14" t="s">
        <v>88</v>
      </c>
      <c r="AV643" s="14"/>
      <c r="AW643" s="14">
        <v>5.5439245154510902E-2</v>
      </c>
      <c r="AX643" s="14">
        <v>2.8708293988116099E-2</v>
      </c>
      <c r="AY643" s="14"/>
      <c r="AZ643" s="14">
        <v>5.4722409482955002E-2</v>
      </c>
      <c r="BA643" s="14">
        <v>0</v>
      </c>
    </row>
    <row r="644" spans="2:53" x14ac:dyDescent="0.35">
      <c r="B644" t="s">
        <v>238</v>
      </c>
      <c r="C644" s="14">
        <v>2.5211487639239499E-2</v>
      </c>
      <c r="D644" s="14">
        <v>2.3283040476169099E-2</v>
      </c>
      <c r="E644" s="14">
        <v>2.73682289223364E-2</v>
      </c>
      <c r="F644" s="14"/>
      <c r="G644" s="14">
        <v>0</v>
      </c>
      <c r="H644" s="14">
        <v>4.1833870658646397E-2</v>
      </c>
      <c r="I644" s="14">
        <v>2.5022430057849099E-2</v>
      </c>
      <c r="J644" s="14">
        <v>0</v>
      </c>
      <c r="K644" s="14">
        <v>0</v>
      </c>
      <c r="L644" s="14" t="s">
        <v>88</v>
      </c>
      <c r="M644" s="14"/>
      <c r="N644" s="14">
        <v>0</v>
      </c>
      <c r="O644" s="14">
        <v>0</v>
      </c>
      <c r="P644" s="14">
        <v>0.12531668344568</v>
      </c>
      <c r="Q644" s="14">
        <v>3.0241725478737599E-2</v>
      </c>
      <c r="R644" s="14"/>
      <c r="S644" s="14">
        <v>0</v>
      </c>
      <c r="T644" s="14">
        <v>0</v>
      </c>
      <c r="U644" s="14">
        <v>0</v>
      </c>
      <c r="V644" s="14">
        <v>0.14313385251206201</v>
      </c>
      <c r="W644" s="14">
        <v>0</v>
      </c>
      <c r="X644" s="14">
        <v>9.1927908039331999E-2</v>
      </c>
      <c r="Y644" s="14">
        <v>0</v>
      </c>
      <c r="Z644" s="14">
        <v>0</v>
      </c>
      <c r="AA644" s="14">
        <v>0</v>
      </c>
      <c r="AB644" s="14"/>
      <c r="AC644" s="14">
        <v>0</v>
      </c>
      <c r="AD644" s="14">
        <v>0.13372576169367101</v>
      </c>
      <c r="AE644" s="14">
        <v>0</v>
      </c>
      <c r="AF644" s="14">
        <v>0</v>
      </c>
      <c r="AG644" s="14">
        <v>0</v>
      </c>
      <c r="AH644" s="14"/>
      <c r="AI644" s="14">
        <v>0</v>
      </c>
      <c r="AJ644" s="14">
        <v>0.100581303158431</v>
      </c>
      <c r="AK644" s="14">
        <v>0</v>
      </c>
      <c r="AL644" s="14">
        <v>0</v>
      </c>
      <c r="AM644" s="14">
        <v>0</v>
      </c>
      <c r="AN644" s="14">
        <v>0</v>
      </c>
      <c r="AO644" s="14"/>
      <c r="AP644" s="14">
        <v>1.13408874366895E-2</v>
      </c>
      <c r="AQ644" s="14">
        <v>3.8437881436737299E-2</v>
      </c>
      <c r="AR644" s="14"/>
      <c r="AS644" s="14">
        <v>2.5211487639239499E-2</v>
      </c>
      <c r="AT644" s="14" t="s">
        <v>88</v>
      </c>
      <c r="AU644" s="14" t="s">
        <v>88</v>
      </c>
      <c r="AV644" s="14"/>
      <c r="AW644" s="14">
        <v>1.83165513944657E-2</v>
      </c>
      <c r="AX644" s="14">
        <v>4.5833354510671602E-2</v>
      </c>
      <c r="AY644" s="14"/>
      <c r="AZ644" s="14">
        <v>1.4372050704288101E-2</v>
      </c>
      <c r="BA644" s="14">
        <v>8.9269986776941798E-2</v>
      </c>
    </row>
    <row r="645" spans="2:53" x14ac:dyDescent="0.35">
      <c r="B645" t="s">
        <v>116</v>
      </c>
      <c r="C645" s="14">
        <v>1.25725398794218E-2</v>
      </c>
      <c r="D645" s="14">
        <v>0</v>
      </c>
      <c r="E645" s="14">
        <v>2.6633446660065199E-2</v>
      </c>
      <c r="F645" s="14"/>
      <c r="G645" s="14">
        <v>0</v>
      </c>
      <c r="H645" s="14">
        <v>0</v>
      </c>
      <c r="I645" s="14">
        <v>0</v>
      </c>
      <c r="J645" s="14">
        <v>0.107880261894733</v>
      </c>
      <c r="K645" s="14">
        <v>0</v>
      </c>
      <c r="L645" s="14" t="s">
        <v>88</v>
      </c>
      <c r="M645" s="14"/>
      <c r="N645" s="14">
        <v>0</v>
      </c>
      <c r="O645" s="14">
        <v>0</v>
      </c>
      <c r="P645" s="14">
        <v>4.81800835077753E-2</v>
      </c>
      <c r="Q645" s="14">
        <v>2.34207788831809E-2</v>
      </c>
      <c r="R645" s="14"/>
      <c r="S645" s="14">
        <v>3.1795490827845101E-2</v>
      </c>
      <c r="T645" s="14">
        <v>0</v>
      </c>
      <c r="U645" s="14">
        <v>0</v>
      </c>
      <c r="V645" s="14">
        <v>0</v>
      </c>
      <c r="W645" s="14">
        <v>0</v>
      </c>
      <c r="X645" s="14">
        <v>0</v>
      </c>
      <c r="Y645" s="14">
        <v>6.7235245101339797E-2</v>
      </c>
      <c r="Z645" s="14">
        <v>0</v>
      </c>
      <c r="AA645" s="14">
        <v>0</v>
      </c>
      <c r="AB645" s="14"/>
      <c r="AC645" s="14">
        <v>0</v>
      </c>
      <c r="AD645" s="14">
        <v>3.8864598338061801E-2</v>
      </c>
      <c r="AE645" s="14">
        <v>0</v>
      </c>
      <c r="AF645" s="14">
        <v>3.1971508759180603E-2</v>
      </c>
      <c r="AG645" s="14">
        <v>0</v>
      </c>
      <c r="AH645" s="14"/>
      <c r="AI645" s="14">
        <v>3.2061181932220503E-2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/>
      <c r="AP645" s="14">
        <v>1.40421681488287E-2</v>
      </c>
      <c r="AQ645" s="14">
        <v>1.11711670517674E-2</v>
      </c>
      <c r="AR645" s="14"/>
      <c r="AS645" s="14">
        <v>1.25725398794218E-2</v>
      </c>
      <c r="AT645" s="14" t="s">
        <v>88</v>
      </c>
      <c r="AU645" s="14" t="s">
        <v>88</v>
      </c>
      <c r="AV645" s="14"/>
      <c r="AW645" s="14">
        <v>1.7824788587715499E-2</v>
      </c>
      <c r="AX645" s="14">
        <v>0</v>
      </c>
      <c r="AY645" s="14"/>
      <c r="AZ645" s="14">
        <v>1.4699958644607001E-2</v>
      </c>
      <c r="BA645" s="14">
        <v>0</v>
      </c>
    </row>
    <row r="646" spans="2:53" x14ac:dyDescent="0.35"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</row>
    <row r="647" spans="2:53" x14ac:dyDescent="0.35">
      <c r="B647" s="6" t="s">
        <v>254</v>
      </c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</row>
    <row r="648" spans="2:53" x14ac:dyDescent="0.35">
      <c r="B648" s="29" t="s">
        <v>219</v>
      </c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</row>
    <row r="649" spans="2:53" x14ac:dyDescent="0.35">
      <c r="B649" t="s">
        <v>220</v>
      </c>
      <c r="C649" s="14">
        <v>0.46104265373300701</v>
      </c>
      <c r="D649" s="14">
        <v>0.57013165193090798</v>
      </c>
      <c r="E649" s="14">
        <v>0.33903944283326798</v>
      </c>
      <c r="F649" s="14"/>
      <c r="G649" s="14">
        <v>0.56846163778720804</v>
      </c>
      <c r="H649" s="14">
        <v>0.45738138954256002</v>
      </c>
      <c r="I649" s="14">
        <v>0.44380399701550699</v>
      </c>
      <c r="J649" s="14">
        <v>0.50368689899810304</v>
      </c>
      <c r="K649" s="14">
        <v>0.51619495177175601</v>
      </c>
      <c r="L649" s="14" t="s">
        <v>88</v>
      </c>
      <c r="M649" s="14"/>
      <c r="N649" s="14">
        <v>0.47968099752709298</v>
      </c>
      <c r="O649" s="14">
        <v>0.36289560384650199</v>
      </c>
      <c r="P649" s="14">
        <v>0.40523695986536401</v>
      </c>
      <c r="Q649" s="14">
        <v>0.57906522242673197</v>
      </c>
      <c r="R649" s="14"/>
      <c r="S649" s="14">
        <v>0.44149799007797103</v>
      </c>
      <c r="T649" s="14">
        <v>0.62302171565930797</v>
      </c>
      <c r="U649" s="14">
        <v>0.470886914292306</v>
      </c>
      <c r="V649" s="14">
        <v>0.44064638380813498</v>
      </c>
      <c r="W649" s="14">
        <v>0.56630157590865404</v>
      </c>
      <c r="X649" s="14">
        <v>0.58077147749849001</v>
      </c>
      <c r="Y649" s="14">
        <v>0.34940226796051499</v>
      </c>
      <c r="Z649" s="14">
        <v>0.27221691156863798</v>
      </c>
      <c r="AA649" s="14">
        <v>0.32915171822972</v>
      </c>
      <c r="AB649" s="14"/>
      <c r="AC649" s="14">
        <v>0.59830326740447903</v>
      </c>
      <c r="AD649" s="14">
        <v>0.32245188291950999</v>
      </c>
      <c r="AE649" s="14">
        <v>0.49820818972389702</v>
      </c>
      <c r="AF649" s="14">
        <v>0.44664809719700199</v>
      </c>
      <c r="AG649" s="14">
        <v>0.53802578680766999</v>
      </c>
      <c r="AH649" s="14"/>
      <c r="AI649" s="14">
        <v>0.51977172004538996</v>
      </c>
      <c r="AJ649" s="14">
        <v>0.42004161076838997</v>
      </c>
      <c r="AK649" s="14">
        <v>0.32695282597439601</v>
      </c>
      <c r="AL649" s="14">
        <v>0.48794763074250302</v>
      </c>
      <c r="AM649" s="14">
        <v>0.22469191554951501</v>
      </c>
      <c r="AN649" s="14">
        <v>0.69546016213997797</v>
      </c>
      <c r="AO649" s="14"/>
      <c r="AP649" s="14">
        <v>0.53971512915266495</v>
      </c>
      <c r="AQ649" s="14">
        <v>0.38602404417542902</v>
      </c>
      <c r="AR649" s="14"/>
      <c r="AS649" s="14">
        <v>0.46104265373300701</v>
      </c>
      <c r="AT649" s="14" t="s">
        <v>88</v>
      </c>
      <c r="AU649" s="14" t="s">
        <v>88</v>
      </c>
      <c r="AV649" s="14"/>
      <c r="AW649" s="14">
        <v>0.440866618903476</v>
      </c>
      <c r="AX649" s="14">
        <v>0.50263372640347304</v>
      </c>
      <c r="AY649" s="14"/>
      <c r="AZ649" s="14">
        <v>0.47364593737721999</v>
      </c>
      <c r="BA649" s="14">
        <v>0.38656023925889199</v>
      </c>
    </row>
    <row r="650" spans="2:53" x14ac:dyDescent="0.35">
      <c r="B650" t="s">
        <v>221</v>
      </c>
      <c r="C650" s="14">
        <v>0.39478819796623599</v>
      </c>
      <c r="D650" s="14">
        <v>0.346157394109191</v>
      </c>
      <c r="E650" s="14">
        <v>0.44917603099437903</v>
      </c>
      <c r="F650" s="14"/>
      <c r="G650" s="14">
        <v>0</v>
      </c>
      <c r="H650" s="14">
        <v>0.44552356863623699</v>
      </c>
      <c r="I650" s="14">
        <v>0.43442403023182202</v>
      </c>
      <c r="J650" s="14">
        <v>0.22939183298399901</v>
      </c>
      <c r="K650" s="14">
        <v>0.23405661004075301</v>
      </c>
      <c r="L650" s="14" t="s">
        <v>88</v>
      </c>
      <c r="M650" s="14"/>
      <c r="N650" s="14">
        <v>0.440624915072586</v>
      </c>
      <c r="O650" s="14">
        <v>0.45228519757285901</v>
      </c>
      <c r="P650" s="14">
        <v>0.266311573649544</v>
      </c>
      <c r="Q650" s="14">
        <v>0.34124286865109599</v>
      </c>
      <c r="R650" s="14"/>
      <c r="S650" s="14">
        <v>0.448827634235969</v>
      </c>
      <c r="T650" s="14">
        <v>0.32297823418343802</v>
      </c>
      <c r="U650" s="14">
        <v>0.39677070883162702</v>
      </c>
      <c r="V650" s="14">
        <v>0.24570739120473301</v>
      </c>
      <c r="W650" s="14">
        <v>0.43369842409134601</v>
      </c>
      <c r="X650" s="14">
        <v>0.215338668204926</v>
      </c>
      <c r="Y650" s="14">
        <v>0.46485118993219898</v>
      </c>
      <c r="Z650" s="14">
        <v>0.51826872342267105</v>
      </c>
      <c r="AA650" s="14">
        <v>0.57177275872196398</v>
      </c>
      <c r="AB650" s="14"/>
      <c r="AC650" s="14">
        <v>0.35702342524899999</v>
      </c>
      <c r="AD650" s="14">
        <v>0.260046891984202</v>
      </c>
      <c r="AE650" s="14">
        <v>0.37220540913058803</v>
      </c>
      <c r="AF650" s="14">
        <v>0.49051397205637398</v>
      </c>
      <c r="AG650" s="14">
        <v>0.43570446513950101</v>
      </c>
      <c r="AH650" s="14"/>
      <c r="AI650" s="14">
        <v>0.39562977326383197</v>
      </c>
      <c r="AJ650" s="14">
        <v>0.41729568589969601</v>
      </c>
      <c r="AK650" s="14">
        <v>0.48516525215582601</v>
      </c>
      <c r="AL650" s="14">
        <v>0.297749338646352</v>
      </c>
      <c r="AM650" s="14">
        <v>0.60432052805645298</v>
      </c>
      <c r="AN650" s="14">
        <v>0.25221933334638302</v>
      </c>
      <c r="AO650" s="14"/>
      <c r="AP650" s="14">
        <v>0.334215334894298</v>
      </c>
      <c r="AQ650" s="14">
        <v>0.452547813897208</v>
      </c>
      <c r="AR650" s="14"/>
      <c r="AS650" s="14">
        <v>0.39478819796623599</v>
      </c>
      <c r="AT650" s="14" t="s">
        <v>88</v>
      </c>
      <c r="AU650" s="14" t="s">
        <v>88</v>
      </c>
      <c r="AV650" s="14"/>
      <c r="AW650" s="14">
        <v>0.41608420337330398</v>
      </c>
      <c r="AX650" s="14">
        <v>0.33602293037252601</v>
      </c>
      <c r="AY650" s="14"/>
      <c r="AZ650" s="14">
        <v>0.40831068140686999</v>
      </c>
      <c r="BA650" s="14">
        <v>0.31487353090190101</v>
      </c>
    </row>
    <row r="651" spans="2:53" x14ac:dyDescent="0.35">
      <c r="B651" t="s">
        <v>222</v>
      </c>
      <c r="C651" s="14">
        <v>5.68567195854379E-2</v>
      </c>
      <c r="D651" s="14">
        <v>1.84320068657409E-2</v>
      </c>
      <c r="E651" s="14">
        <v>9.9830240354219599E-2</v>
      </c>
      <c r="F651" s="14"/>
      <c r="G651" s="14">
        <v>0</v>
      </c>
      <c r="H651" s="14">
        <v>9.9390198130743894E-3</v>
      </c>
      <c r="I651" s="14">
        <v>6.8565866661972702E-2</v>
      </c>
      <c r="J651" s="14">
        <v>0.15904100612316499</v>
      </c>
      <c r="K651" s="14">
        <v>0</v>
      </c>
      <c r="L651" s="14" t="s">
        <v>88</v>
      </c>
      <c r="M651" s="14"/>
      <c r="N651" s="14">
        <v>1.1324957954594201E-2</v>
      </c>
      <c r="O651" s="14">
        <v>0.12326167413353301</v>
      </c>
      <c r="P651" s="14">
        <v>8.1205823231139604E-2</v>
      </c>
      <c r="Q651" s="14">
        <v>3.0241725478737599E-2</v>
      </c>
      <c r="R651" s="14"/>
      <c r="S651" s="14">
        <v>5.0280846140717199E-2</v>
      </c>
      <c r="T651" s="14">
        <v>0</v>
      </c>
      <c r="U651" s="14">
        <v>3.6369904856424502E-2</v>
      </c>
      <c r="V651" s="14">
        <v>0.169557045226535</v>
      </c>
      <c r="W651" s="14">
        <v>0</v>
      </c>
      <c r="X651" s="14">
        <v>0.106788827429878</v>
      </c>
      <c r="Y651" s="14">
        <v>0</v>
      </c>
      <c r="Z651" s="14">
        <v>0.209514365008691</v>
      </c>
      <c r="AA651" s="14">
        <v>0</v>
      </c>
      <c r="AB651" s="14"/>
      <c r="AC651" s="14">
        <v>4.4673307346521203E-2</v>
      </c>
      <c r="AD651" s="14">
        <v>0.204091567189053</v>
      </c>
      <c r="AE651" s="14">
        <v>2.3682860186796599E-2</v>
      </c>
      <c r="AF651" s="14">
        <v>1.36222794413027E-2</v>
      </c>
      <c r="AG651" s="14">
        <v>0</v>
      </c>
      <c r="AH651" s="14"/>
      <c r="AI651" s="14">
        <v>1.8284790955230602E-2</v>
      </c>
      <c r="AJ651" s="14">
        <v>3.1231208137035602E-2</v>
      </c>
      <c r="AK651" s="14">
        <v>5.1518684338154E-2</v>
      </c>
      <c r="AL651" s="14">
        <v>0.13789698736744899</v>
      </c>
      <c r="AM651" s="14">
        <v>0</v>
      </c>
      <c r="AN651" s="14">
        <v>1.22616816151934E-2</v>
      </c>
      <c r="AO651" s="14"/>
      <c r="AP651" s="14">
        <v>6.4003149470454601E-2</v>
      </c>
      <c r="AQ651" s="14">
        <v>5.00421986184173E-2</v>
      </c>
      <c r="AR651" s="14"/>
      <c r="AS651" s="14">
        <v>5.68567195854379E-2</v>
      </c>
      <c r="AT651" s="14" t="s">
        <v>88</v>
      </c>
      <c r="AU651" s="14" t="s">
        <v>88</v>
      </c>
      <c r="AV651" s="14"/>
      <c r="AW651" s="14">
        <v>7.8039449893778007E-2</v>
      </c>
      <c r="AX651" s="14">
        <v>6.7577193017486301E-3</v>
      </c>
      <c r="AY651" s="14"/>
      <c r="AZ651" s="14">
        <v>2.59091978964489E-2</v>
      </c>
      <c r="BA651" s="14">
        <v>0.23974922620963099</v>
      </c>
    </row>
    <row r="652" spans="2:53" x14ac:dyDescent="0.35">
      <c r="B652" t="s">
        <v>223</v>
      </c>
      <c r="C652" s="14">
        <v>1.8951328049389898E-2</v>
      </c>
      <c r="D652" s="14">
        <v>2.3283040476169099E-2</v>
      </c>
      <c r="E652" s="14">
        <v>1.4106817296778399E-2</v>
      </c>
      <c r="F652" s="14"/>
      <c r="G652" s="14">
        <v>0</v>
      </c>
      <c r="H652" s="14">
        <v>4.5035931347718203E-2</v>
      </c>
      <c r="I652" s="14">
        <v>0</v>
      </c>
      <c r="J652" s="14">
        <v>4.9067242879980003E-2</v>
      </c>
      <c r="K652" s="14">
        <v>0</v>
      </c>
      <c r="L652" s="14" t="s">
        <v>88</v>
      </c>
      <c r="M652" s="14"/>
      <c r="N652" s="14">
        <v>2.7927884672073102E-3</v>
      </c>
      <c r="O652" s="14">
        <v>0</v>
      </c>
      <c r="P652" s="14">
        <v>8.6404964260950498E-2</v>
      </c>
      <c r="Q652" s="14">
        <v>2.34207788831809E-2</v>
      </c>
      <c r="R652" s="14"/>
      <c r="S652" s="14">
        <v>0</v>
      </c>
      <c r="T652" s="14">
        <v>0</v>
      </c>
      <c r="U652" s="14">
        <v>0</v>
      </c>
      <c r="V652" s="14">
        <v>8.94199512026604E-2</v>
      </c>
      <c r="W652" s="14">
        <v>0</v>
      </c>
      <c r="X652" s="14">
        <v>0</v>
      </c>
      <c r="Y652" s="14">
        <v>7.8297698811952296E-2</v>
      </c>
      <c r="Z652" s="14">
        <v>0</v>
      </c>
      <c r="AA652" s="14">
        <v>0</v>
      </c>
      <c r="AB652" s="14"/>
      <c r="AC652" s="14">
        <v>0</v>
      </c>
      <c r="AD652" s="14">
        <v>0.122407036938874</v>
      </c>
      <c r="AE652" s="14">
        <v>0</v>
      </c>
      <c r="AF652" s="14">
        <v>4.3886989174895998E-3</v>
      </c>
      <c r="AG652" s="14">
        <v>0</v>
      </c>
      <c r="AH652" s="14"/>
      <c r="AI652" s="14">
        <v>1.69817013024742E-2</v>
      </c>
      <c r="AJ652" s="14">
        <v>6.9350095021395303E-2</v>
      </c>
      <c r="AK652" s="14">
        <v>0</v>
      </c>
      <c r="AL652" s="14">
        <v>0</v>
      </c>
      <c r="AM652" s="14">
        <v>0</v>
      </c>
      <c r="AN652" s="14">
        <v>0</v>
      </c>
      <c r="AO652" s="14"/>
      <c r="AP652" s="14">
        <v>0</v>
      </c>
      <c r="AQ652" s="14">
        <v>3.7022480278311801E-2</v>
      </c>
      <c r="AR652" s="14"/>
      <c r="AS652" s="14">
        <v>1.8951328049389898E-2</v>
      </c>
      <c r="AT652" s="14" t="s">
        <v>88</v>
      </c>
      <c r="AU652" s="14" t="s">
        <v>88</v>
      </c>
      <c r="AV652" s="14"/>
      <c r="AW652" s="14">
        <v>9.4411751948588005E-3</v>
      </c>
      <c r="AX652" s="14">
        <v>4.5833354510671602E-2</v>
      </c>
      <c r="AY652" s="14"/>
      <c r="AZ652" s="14">
        <v>2.21581113488762E-2</v>
      </c>
      <c r="BA652" s="14">
        <v>0</v>
      </c>
    </row>
    <row r="653" spans="2:53" x14ac:dyDescent="0.35">
      <c r="B653" t="s">
        <v>116</v>
      </c>
      <c r="C653" s="14">
        <v>6.8541641817081297E-3</v>
      </c>
      <c r="D653" s="14">
        <v>0</v>
      </c>
      <c r="E653" s="14">
        <v>1.4519740472777799E-2</v>
      </c>
      <c r="F653" s="14"/>
      <c r="G653" s="14">
        <v>0</v>
      </c>
      <c r="H653" s="14">
        <v>0</v>
      </c>
      <c r="I653" s="14">
        <v>0</v>
      </c>
      <c r="J653" s="14">
        <v>5.8813019014752901E-2</v>
      </c>
      <c r="K653" s="14">
        <v>0</v>
      </c>
      <c r="L653" s="14" t="s">
        <v>88</v>
      </c>
      <c r="M653" s="14"/>
      <c r="N653" s="14">
        <v>0</v>
      </c>
      <c r="O653" s="14">
        <v>0</v>
      </c>
      <c r="P653" s="14">
        <v>4.81800835077753E-2</v>
      </c>
      <c r="Q653" s="14">
        <v>0</v>
      </c>
      <c r="R653" s="14"/>
      <c r="S653" s="14">
        <v>3.1795490827845101E-2</v>
      </c>
      <c r="T653" s="14">
        <v>0</v>
      </c>
      <c r="U653" s="14">
        <v>0</v>
      </c>
      <c r="V653" s="14">
        <v>0</v>
      </c>
      <c r="W653" s="14">
        <v>0</v>
      </c>
      <c r="X653" s="14">
        <v>0</v>
      </c>
      <c r="Y653" s="14">
        <v>0</v>
      </c>
      <c r="Z653" s="14">
        <v>0</v>
      </c>
      <c r="AA653" s="14">
        <v>0</v>
      </c>
      <c r="AB653" s="14"/>
      <c r="AC653" s="14">
        <v>0</v>
      </c>
      <c r="AD653" s="14">
        <v>0</v>
      </c>
      <c r="AE653" s="14">
        <v>0</v>
      </c>
      <c r="AF653" s="14">
        <v>3.1971508759180603E-2</v>
      </c>
      <c r="AG653" s="14">
        <v>0</v>
      </c>
      <c r="AH653" s="14"/>
      <c r="AI653" s="14">
        <v>1.7478775723172399E-2</v>
      </c>
      <c r="AJ653" s="14">
        <v>0</v>
      </c>
      <c r="AK653" s="14">
        <v>0</v>
      </c>
      <c r="AL653" s="14">
        <v>0</v>
      </c>
      <c r="AM653" s="14">
        <v>0</v>
      </c>
      <c r="AN653" s="14">
        <v>0</v>
      </c>
      <c r="AO653" s="14"/>
      <c r="AP653" s="14">
        <v>1.40421681488287E-2</v>
      </c>
      <c r="AQ653" s="14">
        <v>0</v>
      </c>
      <c r="AR653" s="14"/>
      <c r="AS653" s="14">
        <v>6.8541641817081297E-3</v>
      </c>
      <c r="AT653" s="14" t="s">
        <v>88</v>
      </c>
      <c r="AU653" s="14" t="s">
        <v>88</v>
      </c>
      <c r="AV653" s="14"/>
      <c r="AW653" s="14">
        <v>9.7175295251526097E-3</v>
      </c>
      <c r="AX653" s="14">
        <v>0</v>
      </c>
      <c r="AY653" s="14"/>
      <c r="AZ653" s="14">
        <v>8.0139678204059501E-3</v>
      </c>
      <c r="BA653" s="14">
        <v>0</v>
      </c>
    </row>
    <row r="654" spans="2:53" x14ac:dyDescent="0.35">
      <c r="B654" t="s">
        <v>224</v>
      </c>
      <c r="C654" s="14">
        <v>0.855830851699243</v>
      </c>
      <c r="D654" s="14">
        <v>0.91628904604009798</v>
      </c>
      <c r="E654" s="14">
        <v>0.78821547382764701</v>
      </c>
      <c r="F654" s="14"/>
      <c r="G654" s="14">
        <v>0.56846163778720804</v>
      </c>
      <c r="H654" s="14">
        <v>0.90290495817879701</v>
      </c>
      <c r="I654" s="14">
        <v>0.87822802724732896</v>
      </c>
      <c r="J654" s="14">
        <v>0.73307873198210205</v>
      </c>
      <c r="K654" s="14">
        <v>0.75025156181250896</v>
      </c>
      <c r="L654" s="14" t="s">
        <v>88</v>
      </c>
      <c r="M654" s="14"/>
      <c r="N654" s="14">
        <v>0.92030591259967898</v>
      </c>
      <c r="O654" s="14">
        <v>0.815180801419361</v>
      </c>
      <c r="P654" s="14">
        <v>0.67154853351490895</v>
      </c>
      <c r="Q654" s="14">
        <v>0.92030809107782796</v>
      </c>
      <c r="R654" s="14"/>
      <c r="S654" s="14">
        <v>0.89032562431394002</v>
      </c>
      <c r="T654" s="14">
        <v>0.94599994984274605</v>
      </c>
      <c r="U654" s="14">
        <v>0.86765762312393202</v>
      </c>
      <c r="V654" s="14">
        <v>0.68635377501286898</v>
      </c>
      <c r="W654" s="14">
        <v>1</v>
      </c>
      <c r="X654" s="14">
        <v>0.79611014570341598</v>
      </c>
      <c r="Y654" s="14">
        <v>0.81425345789271397</v>
      </c>
      <c r="Z654" s="14">
        <v>0.79048563499130897</v>
      </c>
      <c r="AA654" s="14">
        <v>0.90092447695168398</v>
      </c>
      <c r="AB654" s="14"/>
      <c r="AC654" s="14">
        <v>0.95532669265347903</v>
      </c>
      <c r="AD654" s="14">
        <v>0.58249877490371305</v>
      </c>
      <c r="AE654" s="14">
        <v>0.87041359885448499</v>
      </c>
      <c r="AF654" s="14">
        <v>0.93716206925337597</v>
      </c>
      <c r="AG654" s="14">
        <v>0.973730251947171</v>
      </c>
      <c r="AH654" s="14"/>
      <c r="AI654" s="14">
        <v>0.91540149330922205</v>
      </c>
      <c r="AJ654" s="14">
        <v>0.83733729666808698</v>
      </c>
      <c r="AK654" s="14">
        <v>0.81211807813022197</v>
      </c>
      <c r="AL654" s="14">
        <v>0.78569696938885503</v>
      </c>
      <c r="AM654" s="14">
        <v>0.82901244360596804</v>
      </c>
      <c r="AN654" s="14">
        <v>0.94767949548636099</v>
      </c>
      <c r="AO654" s="14"/>
      <c r="AP654" s="14">
        <v>0.87393046404696295</v>
      </c>
      <c r="AQ654" s="14">
        <v>0.83857185807263701</v>
      </c>
      <c r="AR654" s="14"/>
      <c r="AS654" s="14">
        <v>0.855830851699243</v>
      </c>
      <c r="AT654" s="14" t="s">
        <v>88</v>
      </c>
      <c r="AU654" s="14" t="s">
        <v>88</v>
      </c>
      <c r="AV654" s="14"/>
      <c r="AW654" s="14">
        <v>0.85695082227677999</v>
      </c>
      <c r="AX654" s="14">
        <v>0.83865665677599899</v>
      </c>
      <c r="AY654" s="14"/>
      <c r="AZ654" s="14">
        <v>0.88195661878409104</v>
      </c>
      <c r="BA654" s="14">
        <v>0.701433770160793</v>
      </c>
    </row>
    <row r="655" spans="2:53" x14ac:dyDescent="0.35"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</row>
    <row r="656" spans="2:53" x14ac:dyDescent="0.35">
      <c r="B656" s="6" t="s">
        <v>255</v>
      </c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</row>
    <row r="657" spans="2:53" x14ac:dyDescent="0.35">
      <c r="B657" s="24" t="s">
        <v>213</v>
      </c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</row>
    <row r="658" spans="2:53" x14ac:dyDescent="0.35">
      <c r="B658" t="s">
        <v>154</v>
      </c>
      <c r="C658" s="14">
        <v>0.80663500506951102</v>
      </c>
      <c r="D658" s="14">
        <v>0.80204608840756897</v>
      </c>
      <c r="E658" s="14">
        <v>0.81246501856730802</v>
      </c>
      <c r="F658" s="14"/>
      <c r="G658" s="14">
        <v>0.723511855083949</v>
      </c>
      <c r="H658" s="14">
        <v>0.88262352009200795</v>
      </c>
      <c r="I658" s="14">
        <v>0.76738565379534296</v>
      </c>
      <c r="J658" s="14">
        <v>0.78344647134420797</v>
      </c>
      <c r="K658" s="14">
        <v>0.94169687846561201</v>
      </c>
      <c r="L658" s="14" t="s">
        <v>88</v>
      </c>
      <c r="M658" s="14"/>
      <c r="N658" s="14">
        <v>0.85186049483359105</v>
      </c>
      <c r="O658" s="14">
        <v>0.86090374524889202</v>
      </c>
      <c r="P658" s="14">
        <v>0.737804398946874</v>
      </c>
      <c r="Q658" s="14">
        <v>0.74911490550210003</v>
      </c>
      <c r="R658" s="14"/>
      <c r="S658" s="14">
        <v>0.808725400498431</v>
      </c>
      <c r="T658" s="14">
        <v>0.75737862257158395</v>
      </c>
      <c r="U658" s="14">
        <v>0.80684335840572996</v>
      </c>
      <c r="V658" s="14">
        <v>0.77588111341404498</v>
      </c>
      <c r="W658" s="14">
        <v>0.97502300427223898</v>
      </c>
      <c r="X658" s="14">
        <v>0.70372802429346004</v>
      </c>
      <c r="Y658" s="14">
        <v>0.710990502732329</v>
      </c>
      <c r="Z658" s="14">
        <v>0.85157509159978995</v>
      </c>
      <c r="AA658" s="14">
        <v>0.93627574232917099</v>
      </c>
      <c r="AB658" s="14"/>
      <c r="AC658" s="14">
        <v>0.82654549022050205</v>
      </c>
      <c r="AD658" s="14">
        <v>0.74943466395918001</v>
      </c>
      <c r="AE658" s="14">
        <v>0.86853919342678298</v>
      </c>
      <c r="AF658" s="14">
        <v>0.73720280595634702</v>
      </c>
      <c r="AG658" s="14">
        <v>0.89480372263830299</v>
      </c>
      <c r="AH658" s="14"/>
      <c r="AI658" s="14">
        <v>0.82324911539477197</v>
      </c>
      <c r="AJ658" s="14">
        <v>0.82642028407754198</v>
      </c>
      <c r="AK658" s="14">
        <v>0.96118444222052402</v>
      </c>
      <c r="AL658" s="14">
        <v>0.75836795213512198</v>
      </c>
      <c r="AM658" s="14">
        <v>0.74625322779801295</v>
      </c>
      <c r="AN658" s="14">
        <v>0.66151403281649501</v>
      </c>
      <c r="AO658" s="14"/>
      <c r="AP658" s="14">
        <v>0.81194535269201695</v>
      </c>
      <c r="AQ658" s="14">
        <v>0.801945924556284</v>
      </c>
      <c r="AR658" s="14"/>
      <c r="AS658" s="14">
        <v>0.80627409999738098</v>
      </c>
      <c r="AT658" s="14" t="s">
        <v>88</v>
      </c>
      <c r="AU658" s="14">
        <v>1</v>
      </c>
      <c r="AV658" s="14"/>
      <c r="AW658" s="14">
        <v>0.80151150717430297</v>
      </c>
      <c r="AX658" s="14">
        <v>0.82574820929445703</v>
      </c>
      <c r="AY658" s="14"/>
      <c r="AZ658" s="14">
        <v>0.81486921117854005</v>
      </c>
      <c r="BA658" s="14">
        <v>0.78609354591379799</v>
      </c>
    </row>
    <row r="659" spans="2:53" x14ac:dyDescent="0.35">
      <c r="B659" t="s">
        <v>155</v>
      </c>
      <c r="C659" s="14">
        <v>0.13342310553972</v>
      </c>
      <c r="D659" s="14">
        <v>0.13042103733021501</v>
      </c>
      <c r="E659" s="14">
        <v>0.137237099009655</v>
      </c>
      <c r="F659" s="14"/>
      <c r="G659" s="14">
        <v>0.276488144916051</v>
      </c>
      <c r="H659" s="14">
        <v>5.8672800909262003E-2</v>
      </c>
      <c r="I659" s="14">
        <v>0.17702683230580499</v>
      </c>
      <c r="J659" s="14">
        <v>0.12845150920146101</v>
      </c>
      <c r="K659" s="14">
        <v>0</v>
      </c>
      <c r="L659" s="14" t="s">
        <v>88</v>
      </c>
      <c r="M659" s="14"/>
      <c r="N659" s="14">
        <v>0.12500262678009699</v>
      </c>
      <c r="O659" s="14">
        <v>8.7806591927793207E-2</v>
      </c>
      <c r="P659" s="14">
        <v>0.19800104512126701</v>
      </c>
      <c r="Q659" s="14">
        <v>0.140017044859266</v>
      </c>
      <c r="R659" s="14"/>
      <c r="S659" s="14">
        <v>0.101815437961238</v>
      </c>
      <c r="T659" s="14">
        <v>0.12584318550375601</v>
      </c>
      <c r="U659" s="14">
        <v>0.15555475658027401</v>
      </c>
      <c r="V659" s="14">
        <v>0.18830926701722001</v>
      </c>
      <c r="W659" s="14">
        <v>2.4976995727760801E-2</v>
      </c>
      <c r="X659" s="14">
        <v>0.227196419142666</v>
      </c>
      <c r="Y659" s="14">
        <v>0.230648649339945</v>
      </c>
      <c r="Z659" s="14">
        <v>8.4523283997444201E-2</v>
      </c>
      <c r="AA659" s="14">
        <v>6.3724257670829204E-2</v>
      </c>
      <c r="AB659" s="14"/>
      <c r="AC659" s="14">
        <v>9.3736801611441795E-2</v>
      </c>
      <c r="AD659" s="14">
        <v>0.13584152543029099</v>
      </c>
      <c r="AE659" s="14">
        <v>0.10587942166069</v>
      </c>
      <c r="AF659" s="14">
        <v>0.17316665066459899</v>
      </c>
      <c r="AG659" s="14">
        <v>0.105196277361697</v>
      </c>
      <c r="AH659" s="14"/>
      <c r="AI659" s="14">
        <v>0.134239712116522</v>
      </c>
      <c r="AJ659" s="14">
        <v>0.13247940402224601</v>
      </c>
      <c r="AK659" s="14">
        <v>2.9417202913227899E-2</v>
      </c>
      <c r="AL659" s="14">
        <v>0.19255853134106701</v>
      </c>
      <c r="AM659" s="14">
        <v>0.15065338445858001</v>
      </c>
      <c r="AN659" s="14">
        <v>0.27538595923013698</v>
      </c>
      <c r="AO659" s="14"/>
      <c r="AP659" s="14">
        <v>0.107432435276373</v>
      </c>
      <c r="AQ659" s="14">
        <v>0.15637308059240099</v>
      </c>
      <c r="AR659" s="14"/>
      <c r="AS659" s="14">
        <v>0.133672132389414</v>
      </c>
      <c r="AT659" s="14" t="s">
        <v>88</v>
      </c>
      <c r="AU659" s="14">
        <v>0</v>
      </c>
      <c r="AV659" s="14"/>
      <c r="AW659" s="14">
        <v>0.131076517411612</v>
      </c>
      <c r="AX659" s="14">
        <v>0.169774022107895</v>
      </c>
      <c r="AY659" s="14"/>
      <c r="AZ659" s="14">
        <v>0.132261411876339</v>
      </c>
      <c r="BA659" s="14">
        <v>0.14152682853639101</v>
      </c>
    </row>
    <row r="660" spans="2:53" x14ac:dyDescent="0.35">
      <c r="B660" t="s">
        <v>116</v>
      </c>
      <c r="C660" s="14">
        <v>5.9941889390768499E-2</v>
      </c>
      <c r="D660" s="14">
        <v>6.7532874262215298E-2</v>
      </c>
      <c r="E660" s="14">
        <v>5.0297882423036303E-2</v>
      </c>
      <c r="F660" s="14"/>
      <c r="G660" s="14">
        <v>0</v>
      </c>
      <c r="H660" s="14">
        <v>5.8703678998730101E-2</v>
      </c>
      <c r="I660" s="14">
        <v>5.5587513898851998E-2</v>
      </c>
      <c r="J660" s="14">
        <v>8.8102019454331298E-2</v>
      </c>
      <c r="K660" s="14">
        <v>5.8303121534387797E-2</v>
      </c>
      <c r="L660" s="14" t="s">
        <v>88</v>
      </c>
      <c r="M660" s="14"/>
      <c r="N660" s="14">
        <v>2.3136878386312801E-2</v>
      </c>
      <c r="O660" s="14">
        <v>5.1289662823314597E-2</v>
      </c>
      <c r="P660" s="14">
        <v>6.4194555931859201E-2</v>
      </c>
      <c r="Q660" s="14">
        <v>0.110868049638634</v>
      </c>
      <c r="R660" s="14"/>
      <c r="S660" s="14">
        <v>8.9459161540331594E-2</v>
      </c>
      <c r="T660" s="14">
        <v>0.11677819192466</v>
      </c>
      <c r="U660" s="14">
        <v>3.7601885013996701E-2</v>
      </c>
      <c r="V660" s="14">
        <v>3.58096195687349E-2</v>
      </c>
      <c r="W660" s="14">
        <v>0</v>
      </c>
      <c r="X660" s="14">
        <v>6.9075556563873403E-2</v>
      </c>
      <c r="Y660" s="14">
        <v>5.8360847927726403E-2</v>
      </c>
      <c r="Z660" s="14">
        <v>6.3901624402766394E-2</v>
      </c>
      <c r="AA660" s="14">
        <v>0</v>
      </c>
      <c r="AB660" s="14"/>
      <c r="AC660" s="14">
        <v>7.9717708168056595E-2</v>
      </c>
      <c r="AD660" s="14">
        <v>0.114723810610529</v>
      </c>
      <c r="AE660" s="14">
        <v>2.5581384912526501E-2</v>
      </c>
      <c r="AF660" s="14">
        <v>8.9630543379053504E-2</v>
      </c>
      <c r="AG660" s="14">
        <v>0</v>
      </c>
      <c r="AH660" s="14"/>
      <c r="AI660" s="14">
        <v>4.2511172488706103E-2</v>
      </c>
      <c r="AJ660" s="14">
        <v>4.1100311900212599E-2</v>
      </c>
      <c r="AK660" s="14">
        <v>9.3983548662478801E-3</v>
      </c>
      <c r="AL660" s="14">
        <v>4.9073516523810201E-2</v>
      </c>
      <c r="AM660" s="14">
        <v>0.103093387743407</v>
      </c>
      <c r="AN660" s="14">
        <v>6.3100007953368203E-2</v>
      </c>
      <c r="AO660" s="14"/>
      <c r="AP660" s="14">
        <v>8.0622212031610005E-2</v>
      </c>
      <c r="AQ660" s="14">
        <v>4.1680994851315101E-2</v>
      </c>
      <c r="AR660" s="14"/>
      <c r="AS660" s="14">
        <v>6.0053767613204599E-2</v>
      </c>
      <c r="AT660" s="14" t="s">
        <v>88</v>
      </c>
      <c r="AU660" s="14">
        <v>0</v>
      </c>
      <c r="AV660" s="14"/>
      <c r="AW660" s="14">
        <v>6.7411975414085001E-2</v>
      </c>
      <c r="AX660" s="14">
        <v>4.4777685976478496E-3</v>
      </c>
      <c r="AY660" s="14"/>
      <c r="AZ660" s="14">
        <v>5.2869376945120103E-2</v>
      </c>
      <c r="BA660" s="14">
        <v>7.2379625549811297E-2</v>
      </c>
    </row>
    <row r="661" spans="2:53" x14ac:dyDescent="0.35"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</row>
    <row r="662" spans="2:53" x14ac:dyDescent="0.35">
      <c r="B662" s="6" t="s">
        <v>256</v>
      </c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</row>
    <row r="663" spans="2:53" x14ac:dyDescent="0.35">
      <c r="B663" s="24" t="s">
        <v>219</v>
      </c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</row>
    <row r="664" spans="2:53" x14ac:dyDescent="0.35">
      <c r="B664" t="s">
        <v>214</v>
      </c>
      <c r="C664" s="14">
        <v>0.21796355832824199</v>
      </c>
      <c r="D664" s="14">
        <v>0.22463446052806901</v>
      </c>
      <c r="E664" s="14">
        <v>0.20959715846827401</v>
      </c>
      <c r="F664" s="14"/>
      <c r="G664" s="14">
        <v>0.116200444104035</v>
      </c>
      <c r="H664" s="14">
        <v>0.27600795373966802</v>
      </c>
      <c r="I664" s="14">
        <v>0.178484647370281</v>
      </c>
      <c r="J664" s="14">
        <v>0.247249842672146</v>
      </c>
      <c r="K664" s="14">
        <v>0.230126595984815</v>
      </c>
      <c r="L664" s="14" t="s">
        <v>88</v>
      </c>
      <c r="M664" s="14"/>
      <c r="N664" s="14">
        <v>0.23960652807789801</v>
      </c>
      <c r="O664" s="14">
        <v>0.19122201426968799</v>
      </c>
      <c r="P664" s="14">
        <v>0.11465087899290401</v>
      </c>
      <c r="Q664" s="14">
        <v>0.30796941857090399</v>
      </c>
      <c r="R664" s="14"/>
      <c r="S664" s="14">
        <v>0.25448869185572898</v>
      </c>
      <c r="T664" s="14">
        <v>0.22559600878358799</v>
      </c>
      <c r="U664" s="14">
        <v>0.208121554543097</v>
      </c>
      <c r="V664" s="14">
        <v>9.9485036443043795E-2</v>
      </c>
      <c r="W664" s="14">
        <v>0.12262009807169599</v>
      </c>
      <c r="X664" s="14">
        <v>0.27053064569920998</v>
      </c>
      <c r="Y664" s="14">
        <v>0.252542671745903</v>
      </c>
      <c r="Z664" s="14">
        <v>0.23075439956318999</v>
      </c>
      <c r="AA664" s="14">
        <v>0.28574931372219597</v>
      </c>
      <c r="AB664" s="14"/>
      <c r="AC664" s="14">
        <v>0.370246262533517</v>
      </c>
      <c r="AD664" s="14">
        <v>0.13808023021048901</v>
      </c>
      <c r="AE664" s="14">
        <v>0.18983416480371201</v>
      </c>
      <c r="AF664" s="14">
        <v>0.22192462633332799</v>
      </c>
      <c r="AG664" s="14">
        <v>0.43108190142191199</v>
      </c>
      <c r="AH664" s="14"/>
      <c r="AI664" s="14">
        <v>0.25609651955828</v>
      </c>
      <c r="AJ664" s="14">
        <v>0.25290507474555601</v>
      </c>
      <c r="AK664" s="14">
        <v>0.118059116105232</v>
      </c>
      <c r="AL664" s="14">
        <v>0.20837903995456</v>
      </c>
      <c r="AM664" s="14">
        <v>0.21994653008905801</v>
      </c>
      <c r="AN664" s="14">
        <v>0.15185767231918801</v>
      </c>
      <c r="AO664" s="14"/>
      <c r="AP664" s="14">
        <v>0.221787090067289</v>
      </c>
      <c r="AQ664" s="14">
        <v>0.21454525062568799</v>
      </c>
      <c r="AR664" s="14"/>
      <c r="AS664" s="14">
        <v>0.218468122384919</v>
      </c>
      <c r="AT664" s="14" t="s">
        <v>88</v>
      </c>
      <c r="AU664" s="14">
        <v>0</v>
      </c>
      <c r="AV664" s="14"/>
      <c r="AW664" s="14">
        <v>0.16269995469293899</v>
      </c>
      <c r="AX664" s="14">
        <v>0.397825976128859</v>
      </c>
      <c r="AY664" s="14"/>
      <c r="AZ664" s="14">
        <v>0.237642554822798</v>
      </c>
      <c r="BA664" s="14">
        <v>0.124995793686708</v>
      </c>
    </row>
    <row r="665" spans="2:53" x14ac:dyDescent="0.35">
      <c r="B665" t="s">
        <v>215</v>
      </c>
      <c r="C665" s="14">
        <v>0.49537287535313901</v>
      </c>
      <c r="D665" s="14">
        <v>0.50001671847354501</v>
      </c>
      <c r="E665" s="14">
        <v>0.48954873833711599</v>
      </c>
      <c r="F665" s="14"/>
      <c r="G665" s="14">
        <v>0.41630413197357502</v>
      </c>
      <c r="H665" s="14">
        <v>0.51071590663755995</v>
      </c>
      <c r="I665" s="14">
        <v>0.50962211659874801</v>
      </c>
      <c r="J665" s="14">
        <v>0.39216983508354403</v>
      </c>
      <c r="K665" s="14">
        <v>0.56341337332581798</v>
      </c>
      <c r="L665" s="14" t="s">
        <v>88</v>
      </c>
      <c r="M665" s="14"/>
      <c r="N665" s="14">
        <v>0.52172553853683301</v>
      </c>
      <c r="O665" s="14">
        <v>0.54222739177429402</v>
      </c>
      <c r="P665" s="14">
        <v>0.43341579036275102</v>
      </c>
      <c r="Q665" s="14">
        <v>0.45034394094533298</v>
      </c>
      <c r="R665" s="14"/>
      <c r="S665" s="14">
        <v>0.556623198889314</v>
      </c>
      <c r="T665" s="14">
        <v>0.44316438639795502</v>
      </c>
      <c r="U665" s="14">
        <v>0.50365995689140597</v>
      </c>
      <c r="V665" s="14">
        <v>0.51543776828056698</v>
      </c>
      <c r="W665" s="14">
        <v>0.54101873470022399</v>
      </c>
      <c r="X665" s="14">
        <v>0.36162305026896702</v>
      </c>
      <c r="Y665" s="14">
        <v>0.484532367278178</v>
      </c>
      <c r="Z665" s="14">
        <v>0.63809773405986503</v>
      </c>
      <c r="AA665" s="14">
        <v>0.41441449073423903</v>
      </c>
      <c r="AB665" s="14"/>
      <c r="AC665" s="14">
        <v>0.465461127151792</v>
      </c>
      <c r="AD665" s="14">
        <v>0.48449359235508599</v>
      </c>
      <c r="AE665" s="14">
        <v>0.48140902778609301</v>
      </c>
      <c r="AF665" s="14">
        <v>0.58395458188062799</v>
      </c>
      <c r="AG665" s="14">
        <v>0.39572159457578998</v>
      </c>
      <c r="AH665" s="14"/>
      <c r="AI665" s="14">
        <v>0.50089057322253205</v>
      </c>
      <c r="AJ665" s="14">
        <v>0.53826999309453405</v>
      </c>
      <c r="AK665" s="14">
        <v>0.53415329568061898</v>
      </c>
      <c r="AL665" s="14">
        <v>0.49803326398060699</v>
      </c>
      <c r="AM665" s="14">
        <v>0.47932344613195899</v>
      </c>
      <c r="AN665" s="14">
        <v>0.50593525532682204</v>
      </c>
      <c r="AO665" s="14"/>
      <c r="AP665" s="14">
        <v>0.50231491903344805</v>
      </c>
      <c r="AQ665" s="14">
        <v>0.48916656061497998</v>
      </c>
      <c r="AR665" s="14"/>
      <c r="AS665" s="14">
        <v>0.49651961451207399</v>
      </c>
      <c r="AT665" s="14" t="s">
        <v>88</v>
      </c>
      <c r="AU665" s="14">
        <v>0</v>
      </c>
      <c r="AV665" s="14"/>
      <c r="AW665" s="14">
        <v>0.53255211062548002</v>
      </c>
      <c r="AX665" s="14">
        <v>0.4037166697008</v>
      </c>
      <c r="AY665" s="14"/>
      <c r="AZ665" s="14">
        <v>0.50181456151464199</v>
      </c>
      <c r="BA665" s="14">
        <v>0.46494097995019001</v>
      </c>
    </row>
    <row r="666" spans="2:53" x14ac:dyDescent="0.35">
      <c r="B666" t="s">
        <v>216</v>
      </c>
      <c r="C666" s="14">
        <v>0.13291795697745701</v>
      </c>
      <c r="D666" s="14">
        <v>0.13376932498632599</v>
      </c>
      <c r="E666" s="14">
        <v>0.131850202575306</v>
      </c>
      <c r="F666" s="14"/>
      <c r="G666" s="14">
        <v>0.46749542392239002</v>
      </c>
      <c r="H666" s="14">
        <v>8.8731070880195495E-2</v>
      </c>
      <c r="I666" s="14">
        <v>0.16183587532006499</v>
      </c>
      <c r="J666" s="14">
        <v>0.12337643312777501</v>
      </c>
      <c r="K666" s="14">
        <v>0</v>
      </c>
      <c r="L666" s="14" t="s">
        <v>88</v>
      </c>
      <c r="M666" s="14"/>
      <c r="N666" s="14">
        <v>0.11213101780054099</v>
      </c>
      <c r="O666" s="14">
        <v>0.11246560464624</v>
      </c>
      <c r="P666" s="14">
        <v>0.18903581353979301</v>
      </c>
      <c r="Q666" s="14">
        <v>0.141300618961583</v>
      </c>
      <c r="R666" s="14"/>
      <c r="S666" s="14">
        <v>0.117208489045345</v>
      </c>
      <c r="T666" s="14">
        <v>0.14610787771436901</v>
      </c>
      <c r="U666" s="14">
        <v>1.8093262640022301E-2</v>
      </c>
      <c r="V666" s="14">
        <v>0.18175581899381099</v>
      </c>
      <c r="W666" s="14">
        <v>0.30460813938681303</v>
      </c>
      <c r="X666" s="14">
        <v>9.3335436566461497E-2</v>
      </c>
      <c r="Y666" s="14">
        <v>0.158244400556838</v>
      </c>
      <c r="Z666" s="14">
        <v>7.5039306982670598E-2</v>
      </c>
      <c r="AA666" s="14">
        <v>0.13458589221259701</v>
      </c>
      <c r="AB666" s="14"/>
      <c r="AC666" s="14">
        <v>5.5949394752694399E-2</v>
      </c>
      <c r="AD666" s="14">
        <v>0.16524748766827799</v>
      </c>
      <c r="AE666" s="14">
        <v>0.172553379590694</v>
      </c>
      <c r="AF666" s="14">
        <v>4.0633607189971097E-2</v>
      </c>
      <c r="AG666" s="14">
        <v>0.16225394768458101</v>
      </c>
      <c r="AH666" s="14"/>
      <c r="AI666" s="14">
        <v>0.116769409915015</v>
      </c>
      <c r="AJ666" s="14">
        <v>0.11599233507038199</v>
      </c>
      <c r="AK666" s="14">
        <v>0.15620565450971199</v>
      </c>
      <c r="AL666" s="14">
        <v>0.19832622556206</v>
      </c>
      <c r="AM666" s="14">
        <v>6.3055316250642895E-2</v>
      </c>
      <c r="AN666" s="14">
        <v>9.8410146606399407E-2</v>
      </c>
      <c r="AO666" s="14"/>
      <c r="AP666" s="14">
        <v>0.17006365651037</v>
      </c>
      <c r="AQ666" s="14">
        <v>9.9709018358380003E-2</v>
      </c>
      <c r="AR666" s="14"/>
      <c r="AS666" s="14">
        <v>0.13322564888748101</v>
      </c>
      <c r="AT666" s="14" t="s">
        <v>88</v>
      </c>
      <c r="AU666" s="14">
        <v>0</v>
      </c>
      <c r="AV666" s="14"/>
      <c r="AW666" s="14">
        <v>0.13320903389203301</v>
      </c>
      <c r="AX666" s="14">
        <v>0.12074837904968801</v>
      </c>
      <c r="AY666" s="14"/>
      <c r="AZ666" s="14">
        <v>0.12930353793726601</v>
      </c>
      <c r="BA666" s="14">
        <v>0.149993241214501</v>
      </c>
    </row>
    <row r="667" spans="2:53" x14ac:dyDescent="0.35">
      <c r="B667" t="s">
        <v>217</v>
      </c>
      <c r="C667" s="14">
        <v>1.5114335122555901E-2</v>
      </c>
      <c r="D667" s="14">
        <v>1.14438225615562E-2</v>
      </c>
      <c r="E667" s="14">
        <v>1.97177567972362E-2</v>
      </c>
      <c r="F667" s="14"/>
      <c r="G667" s="14">
        <v>0</v>
      </c>
      <c r="H667" s="14">
        <v>0</v>
      </c>
      <c r="I667" s="14">
        <v>2.2808088222085798E-2</v>
      </c>
      <c r="J667" s="14">
        <v>2.6391181980576502E-2</v>
      </c>
      <c r="K667" s="14">
        <v>0</v>
      </c>
      <c r="L667" s="14" t="s">
        <v>88</v>
      </c>
      <c r="M667" s="14"/>
      <c r="N667" s="14">
        <v>2.06467728419816E-2</v>
      </c>
      <c r="O667" s="14">
        <v>0</v>
      </c>
      <c r="P667" s="14">
        <v>4.7358176372148703E-2</v>
      </c>
      <c r="Q667" s="14">
        <v>0</v>
      </c>
      <c r="R667" s="14"/>
      <c r="S667" s="14">
        <v>0</v>
      </c>
      <c r="T667" s="14">
        <v>0</v>
      </c>
      <c r="U667" s="14">
        <v>4.2464919683952301E-2</v>
      </c>
      <c r="V667" s="14">
        <v>0</v>
      </c>
      <c r="W667" s="14">
        <v>0</v>
      </c>
      <c r="X667" s="14">
        <v>6.1077930909835397E-2</v>
      </c>
      <c r="Y667" s="14">
        <v>4.1985936237479198E-2</v>
      </c>
      <c r="Z667" s="14">
        <v>5.6108559394274601E-2</v>
      </c>
      <c r="AA667" s="14">
        <v>0</v>
      </c>
      <c r="AB667" s="14"/>
      <c r="AC667" s="14">
        <v>2.9273827738890701E-2</v>
      </c>
      <c r="AD667" s="14">
        <v>0</v>
      </c>
      <c r="AE667" s="14">
        <v>1.41685871204254E-2</v>
      </c>
      <c r="AF667" s="14">
        <v>0</v>
      </c>
      <c r="AG667" s="14">
        <v>0</v>
      </c>
      <c r="AH667" s="14"/>
      <c r="AI667" s="14">
        <v>8.7886569038104594E-3</v>
      </c>
      <c r="AJ667" s="14">
        <v>4.8094383451440299E-2</v>
      </c>
      <c r="AK667" s="14">
        <v>0</v>
      </c>
      <c r="AL667" s="14">
        <v>0</v>
      </c>
      <c r="AM667" s="14">
        <v>0</v>
      </c>
      <c r="AN667" s="14">
        <v>5.31778788971905E-2</v>
      </c>
      <c r="AO667" s="14"/>
      <c r="AP667" s="14">
        <v>0</v>
      </c>
      <c r="AQ667" s="14">
        <v>2.8626828726516101E-2</v>
      </c>
      <c r="AR667" s="14"/>
      <c r="AS667" s="14">
        <v>1.51493233118748E-2</v>
      </c>
      <c r="AT667" s="14" t="s">
        <v>88</v>
      </c>
      <c r="AU667" s="14">
        <v>0</v>
      </c>
      <c r="AV667" s="14"/>
      <c r="AW667" s="14">
        <v>1.31826665063317E-2</v>
      </c>
      <c r="AX667" s="14">
        <v>2.4959830145703799E-2</v>
      </c>
      <c r="AY667" s="14"/>
      <c r="AZ667" s="14">
        <v>1.1891376231893701E-2</v>
      </c>
      <c r="BA667" s="14">
        <v>3.0340278360023301E-2</v>
      </c>
    </row>
    <row r="668" spans="2:53" x14ac:dyDescent="0.35">
      <c r="B668" t="s">
        <v>116</v>
      </c>
      <c r="C668" s="14">
        <v>9.8849028634511102E-2</v>
      </c>
      <c r="D668" s="14">
        <v>9.2918057585955297E-2</v>
      </c>
      <c r="E668" s="14">
        <v>0.106287434095079</v>
      </c>
      <c r="F668" s="14"/>
      <c r="G668" s="14">
        <v>0</v>
      </c>
      <c r="H668" s="14">
        <v>0.106980121993783</v>
      </c>
      <c r="I668" s="14">
        <v>8.7639513470889302E-2</v>
      </c>
      <c r="J668" s="14">
        <v>0.136873032413701</v>
      </c>
      <c r="K668" s="14">
        <v>9.5715259532651795E-2</v>
      </c>
      <c r="L668" s="14" t="s">
        <v>88</v>
      </c>
      <c r="M668" s="14"/>
      <c r="N668" s="14">
        <v>5.3279516725661197E-2</v>
      </c>
      <c r="O668" s="14">
        <v>8.7732973596105698E-2</v>
      </c>
      <c r="P668" s="14">
        <v>0.19020433464790801</v>
      </c>
      <c r="Q668" s="14">
        <v>0.10038602152218</v>
      </c>
      <c r="R668" s="14"/>
      <c r="S668" s="14">
        <v>7.1679620209612702E-2</v>
      </c>
      <c r="T668" s="14">
        <v>0.103826719805944</v>
      </c>
      <c r="U668" s="14">
        <v>0.19097702531730301</v>
      </c>
      <c r="V668" s="14">
        <v>0.10950535173770901</v>
      </c>
      <c r="W668" s="14">
        <v>0</v>
      </c>
      <c r="X668" s="14">
        <v>0.16041815114242899</v>
      </c>
      <c r="Y668" s="14">
        <v>4.1985936237479198E-2</v>
      </c>
      <c r="Z668" s="14">
        <v>0</v>
      </c>
      <c r="AA668" s="14">
        <v>0.14032074337040301</v>
      </c>
      <c r="AB668" s="14"/>
      <c r="AC668" s="14">
        <v>3.6339454578142499E-2</v>
      </c>
      <c r="AD668" s="14">
        <v>0.15071256184350099</v>
      </c>
      <c r="AE668" s="14">
        <v>0.102555457809374</v>
      </c>
      <c r="AF668" s="14">
        <v>0.107299471641013</v>
      </c>
      <c r="AG668" s="14">
        <v>0</v>
      </c>
      <c r="AH668" s="14"/>
      <c r="AI668" s="14">
        <v>7.6234114484382998E-2</v>
      </c>
      <c r="AJ668" s="14">
        <v>1.28582575937064E-2</v>
      </c>
      <c r="AK668" s="14">
        <v>0.10016943925915101</v>
      </c>
      <c r="AL668" s="14">
        <v>8.6752635387693899E-2</v>
      </c>
      <c r="AM668" s="14">
        <v>0.23767470752834099</v>
      </c>
      <c r="AN668" s="14">
        <v>0.139626822703076</v>
      </c>
      <c r="AO668" s="14"/>
      <c r="AP668" s="14">
        <v>7.9794651979480199E-2</v>
      </c>
      <c r="AQ668" s="14">
        <v>0.115883991839364</v>
      </c>
      <c r="AR668" s="14"/>
      <c r="AS668" s="14">
        <v>9.9077854348630298E-2</v>
      </c>
      <c r="AT668" s="14" t="s">
        <v>88</v>
      </c>
      <c r="AU668" s="14">
        <v>0</v>
      </c>
      <c r="AV668" s="14"/>
      <c r="AW668" s="14">
        <v>0.12306745592398501</v>
      </c>
      <c r="AX668" s="14">
        <v>0</v>
      </c>
      <c r="AY668" s="14"/>
      <c r="AZ668" s="14">
        <v>7.8876856850796401E-2</v>
      </c>
      <c r="BA668" s="14">
        <v>0.19320181569264999</v>
      </c>
    </row>
    <row r="669" spans="2:53" x14ac:dyDescent="0.35"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</row>
    <row r="670" spans="2:53" x14ac:dyDescent="0.35">
      <c r="B670" s="6" t="s">
        <v>257</v>
      </c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</row>
    <row r="671" spans="2:53" x14ac:dyDescent="0.35">
      <c r="B671" s="24" t="s">
        <v>219</v>
      </c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</row>
    <row r="672" spans="2:53" x14ac:dyDescent="0.35">
      <c r="B672" t="s">
        <v>220</v>
      </c>
      <c r="C672" s="14">
        <v>0.44875696650825497</v>
      </c>
      <c r="D672" s="14">
        <v>0.41261900820024</v>
      </c>
      <c r="E672" s="14">
        <v>0.49407986291280998</v>
      </c>
      <c r="F672" s="14"/>
      <c r="G672" s="14">
        <v>0.58369586802642504</v>
      </c>
      <c r="H672" s="14">
        <v>0.48821164386858101</v>
      </c>
      <c r="I672" s="14">
        <v>0.42367295348338901</v>
      </c>
      <c r="J672" s="14">
        <v>0.42032155909699598</v>
      </c>
      <c r="K672" s="14">
        <v>0.51073108840188497</v>
      </c>
      <c r="L672" s="14" t="s">
        <v>88</v>
      </c>
      <c r="M672" s="14"/>
      <c r="N672" s="14">
        <v>0.44987302242393801</v>
      </c>
      <c r="O672" s="14">
        <v>0.41611634973832001</v>
      </c>
      <c r="P672" s="14">
        <v>0.36687954975218101</v>
      </c>
      <c r="Q672" s="14">
        <v>0.55697094752705301</v>
      </c>
      <c r="R672" s="14"/>
      <c r="S672" s="14">
        <v>0.50462524444984502</v>
      </c>
      <c r="T672" s="14">
        <v>0.58158288856640805</v>
      </c>
      <c r="U672" s="14">
        <v>0.37001517082264102</v>
      </c>
      <c r="V672" s="14">
        <v>0.283073018061543</v>
      </c>
      <c r="W672" s="14">
        <v>0.54828564567805704</v>
      </c>
      <c r="X672" s="14">
        <v>0.36761739490402701</v>
      </c>
      <c r="Y672" s="14">
        <v>0.53322372750312197</v>
      </c>
      <c r="Z672" s="14">
        <v>0.43446030794423801</v>
      </c>
      <c r="AA672" s="14">
        <v>0.37475975631907998</v>
      </c>
      <c r="AB672" s="14"/>
      <c r="AC672" s="14">
        <v>0.57935615136020102</v>
      </c>
      <c r="AD672" s="14">
        <v>0.48708542174245001</v>
      </c>
      <c r="AE672" s="14">
        <v>0.34896489894979299</v>
      </c>
      <c r="AF672" s="14">
        <v>0.53508141193297198</v>
      </c>
      <c r="AG672" s="14">
        <v>0.73559446772963</v>
      </c>
      <c r="AH672" s="14"/>
      <c r="AI672" s="14">
        <v>0.51379856322429396</v>
      </c>
      <c r="AJ672" s="14">
        <v>0.49028174326011897</v>
      </c>
      <c r="AK672" s="14">
        <v>0.24539293008784299</v>
      </c>
      <c r="AL672" s="14">
        <v>0.52394183945343398</v>
      </c>
      <c r="AM672" s="14">
        <v>0.30428391775899799</v>
      </c>
      <c r="AN672" s="14">
        <v>0.32160021157855201</v>
      </c>
      <c r="AO672" s="14"/>
      <c r="AP672" s="14">
        <v>0.46085281043748499</v>
      </c>
      <c r="AQ672" s="14">
        <v>0.43794305955152102</v>
      </c>
      <c r="AR672" s="14"/>
      <c r="AS672" s="14">
        <v>0.44748089346500503</v>
      </c>
      <c r="AT672" s="14" t="s">
        <v>88</v>
      </c>
      <c r="AU672" s="14">
        <v>1</v>
      </c>
      <c r="AV672" s="14"/>
      <c r="AW672" s="14">
        <v>0.434005225666382</v>
      </c>
      <c r="AX672" s="14">
        <v>0.499384992032747</v>
      </c>
      <c r="AY672" s="14"/>
      <c r="AZ672" s="14">
        <v>0.44580571578629502</v>
      </c>
      <c r="BA672" s="14">
        <v>0.46269930257164399</v>
      </c>
    </row>
    <row r="673" spans="2:53" x14ac:dyDescent="0.35">
      <c r="B673" t="s">
        <v>221</v>
      </c>
      <c r="C673" s="14">
        <v>0.43431453247753099</v>
      </c>
      <c r="D673" s="14">
        <v>0.45246937281940203</v>
      </c>
      <c r="E673" s="14">
        <v>0.41154540033557202</v>
      </c>
      <c r="F673" s="14"/>
      <c r="G673" s="14">
        <v>0.41630413197357502</v>
      </c>
      <c r="H673" s="14">
        <v>0.40667557738204502</v>
      </c>
      <c r="I673" s="14">
        <v>0.4584421642673</v>
      </c>
      <c r="J673" s="14">
        <v>0.44993667376282998</v>
      </c>
      <c r="K673" s="14">
        <v>0.29437003755086799</v>
      </c>
      <c r="L673" s="14" t="s">
        <v>88</v>
      </c>
      <c r="M673" s="14"/>
      <c r="N673" s="14">
        <v>0.43625629540267502</v>
      </c>
      <c r="O673" s="14">
        <v>0.44942814197848502</v>
      </c>
      <c r="P673" s="14">
        <v>0.45585808513396497</v>
      </c>
      <c r="Q673" s="14">
        <v>0.39439336429541999</v>
      </c>
      <c r="R673" s="14"/>
      <c r="S673" s="14">
        <v>0.38454301227212601</v>
      </c>
      <c r="T673" s="14">
        <v>0.33711210413544701</v>
      </c>
      <c r="U673" s="14">
        <v>0.50177659195229896</v>
      </c>
      <c r="V673" s="14">
        <v>0.53340915667437505</v>
      </c>
      <c r="W673" s="14">
        <v>0.41996132648067602</v>
      </c>
      <c r="X673" s="14">
        <v>0.465527773412938</v>
      </c>
      <c r="Y673" s="14">
        <v>0.37494726602776302</v>
      </c>
      <c r="Z673" s="14">
        <v>0.44462313270763998</v>
      </c>
      <c r="AA673" s="14">
        <v>0.49249155274489897</v>
      </c>
      <c r="AB673" s="14"/>
      <c r="AC673" s="14">
        <v>0.37791391539483499</v>
      </c>
      <c r="AD673" s="14">
        <v>0.37868305217234299</v>
      </c>
      <c r="AE673" s="14">
        <v>0.51501183452702903</v>
      </c>
      <c r="AF673" s="14">
        <v>0.39348593155389999</v>
      </c>
      <c r="AG673" s="14">
        <v>0.219000134671438</v>
      </c>
      <c r="AH673" s="14"/>
      <c r="AI673" s="14">
        <v>0.39579849665748201</v>
      </c>
      <c r="AJ673" s="14">
        <v>0.37547248590050802</v>
      </c>
      <c r="AK673" s="14">
        <v>0.58479511346540602</v>
      </c>
      <c r="AL673" s="14">
        <v>0.35226867682755703</v>
      </c>
      <c r="AM673" s="14">
        <v>0.52590417762209696</v>
      </c>
      <c r="AN673" s="14">
        <v>0.67839978842144799</v>
      </c>
      <c r="AO673" s="14"/>
      <c r="AP673" s="14">
        <v>0.44899073598619299</v>
      </c>
      <c r="AQ673" s="14">
        <v>0.42119373659513398</v>
      </c>
      <c r="AR673" s="14"/>
      <c r="AS673" s="14">
        <v>0.43531992761817501</v>
      </c>
      <c r="AT673" s="14" t="s">
        <v>88</v>
      </c>
      <c r="AU673" s="14">
        <v>0</v>
      </c>
      <c r="AV673" s="14"/>
      <c r="AW673" s="14">
        <v>0.44609649590567901</v>
      </c>
      <c r="AX673" s="14">
        <v>0.393539496429262</v>
      </c>
      <c r="AY673" s="14"/>
      <c r="AZ673" s="14">
        <v>0.44312902144608202</v>
      </c>
      <c r="BA673" s="14">
        <v>0.392673011981791</v>
      </c>
    </row>
    <row r="674" spans="2:53" x14ac:dyDescent="0.35">
      <c r="B674" t="s">
        <v>222</v>
      </c>
      <c r="C674" s="14">
        <v>3.97059119651628E-2</v>
      </c>
      <c r="D674" s="14">
        <v>5.0969286791568098E-2</v>
      </c>
      <c r="E674" s="14">
        <v>2.5579802070636301E-2</v>
      </c>
      <c r="F674" s="14"/>
      <c r="G674" s="14">
        <v>0</v>
      </c>
      <c r="H674" s="14">
        <v>0</v>
      </c>
      <c r="I674" s="14">
        <v>6.1178737868359603E-2</v>
      </c>
      <c r="J674" s="14">
        <v>3.77523105790925E-2</v>
      </c>
      <c r="K674" s="14">
        <v>8.4154102890532004E-2</v>
      </c>
      <c r="L674" s="14" t="s">
        <v>88</v>
      </c>
      <c r="M674" s="14"/>
      <c r="N674" s="14">
        <v>3.8579264824672201E-2</v>
      </c>
      <c r="O674" s="14">
        <v>3.5187829423262998E-2</v>
      </c>
      <c r="P674" s="14">
        <v>3.7794862793930101E-2</v>
      </c>
      <c r="Q674" s="14">
        <v>4.86356881775271E-2</v>
      </c>
      <c r="R674" s="14"/>
      <c r="S674" s="14">
        <v>9.5805447384093301E-2</v>
      </c>
      <c r="T674" s="14">
        <v>0</v>
      </c>
      <c r="U674" s="14">
        <v>0</v>
      </c>
      <c r="V674" s="14">
        <v>0</v>
      </c>
      <c r="W674" s="14">
        <v>3.1753027841266802E-2</v>
      </c>
      <c r="X674" s="14">
        <v>9.5903140443213103E-2</v>
      </c>
      <c r="Y674" s="14">
        <v>4.1985935459593601E-2</v>
      </c>
      <c r="Z674" s="14">
        <v>4.5877252365452197E-2</v>
      </c>
      <c r="AA674" s="14">
        <v>5.8077180325618302E-2</v>
      </c>
      <c r="AB674" s="14"/>
      <c r="AC674" s="14">
        <v>0</v>
      </c>
      <c r="AD674" s="14">
        <v>3.4056907758740602E-2</v>
      </c>
      <c r="AE674" s="14">
        <v>5.8249560401221402E-2</v>
      </c>
      <c r="AF674" s="14">
        <v>0</v>
      </c>
      <c r="AG674" s="14">
        <v>0</v>
      </c>
      <c r="AH674" s="14"/>
      <c r="AI674" s="14">
        <v>4.4768276752563202E-2</v>
      </c>
      <c r="AJ674" s="14">
        <v>1.3888478787063899E-2</v>
      </c>
      <c r="AK674" s="14">
        <v>2.7494823573412701E-2</v>
      </c>
      <c r="AL674" s="14">
        <v>5.7847362130878502E-2</v>
      </c>
      <c r="AM674" s="14">
        <v>6.3055316250642895E-2</v>
      </c>
      <c r="AN674" s="14">
        <v>0</v>
      </c>
      <c r="AO674" s="14"/>
      <c r="AP674" s="14">
        <v>2.8992961848146401E-2</v>
      </c>
      <c r="AQ674" s="14">
        <v>4.9283486417623902E-2</v>
      </c>
      <c r="AR674" s="14"/>
      <c r="AS674" s="14">
        <v>3.97978272200286E-2</v>
      </c>
      <c r="AT674" s="14" t="s">
        <v>88</v>
      </c>
      <c r="AU674" s="14">
        <v>0</v>
      </c>
      <c r="AV674" s="14"/>
      <c r="AW674" s="14">
        <v>4.34413991670742E-2</v>
      </c>
      <c r="AX674" s="14">
        <v>1.1465035222667499E-2</v>
      </c>
      <c r="AY674" s="14"/>
      <c r="AZ674" s="14">
        <v>3.589346696594E-2</v>
      </c>
      <c r="BA674" s="14">
        <v>5.771671294755E-2</v>
      </c>
    </row>
    <row r="675" spans="2:53" x14ac:dyDescent="0.35">
      <c r="B675" t="s">
        <v>223</v>
      </c>
      <c r="C675" s="14">
        <v>1.07846449742656E-2</v>
      </c>
      <c r="D675" s="14">
        <v>1.9383721409451101E-2</v>
      </c>
      <c r="E675" s="14">
        <v>0</v>
      </c>
      <c r="F675" s="14"/>
      <c r="G675" s="14">
        <v>0</v>
      </c>
      <c r="H675" s="14">
        <v>2.5442761497784201E-2</v>
      </c>
      <c r="I675" s="14">
        <v>6.1199112142174298E-3</v>
      </c>
      <c r="J675" s="14">
        <v>0</v>
      </c>
      <c r="K675" s="14">
        <v>0</v>
      </c>
      <c r="L675" s="14" t="s">
        <v>88</v>
      </c>
      <c r="M675" s="14"/>
      <c r="N675" s="14">
        <v>1.0151803444142E-2</v>
      </c>
      <c r="O675" s="14">
        <v>0</v>
      </c>
      <c r="P675" s="14">
        <v>4.1439308136457298E-2</v>
      </c>
      <c r="Q675" s="14">
        <v>0</v>
      </c>
      <c r="R675" s="14"/>
      <c r="S675" s="14">
        <v>0</v>
      </c>
      <c r="T675" s="14">
        <v>0</v>
      </c>
      <c r="U675" s="14">
        <v>0</v>
      </c>
      <c r="V675" s="14">
        <v>5.9704290515780398E-2</v>
      </c>
      <c r="W675" s="14">
        <v>0</v>
      </c>
      <c r="X675" s="14">
        <v>0</v>
      </c>
      <c r="Y675" s="14">
        <v>4.1985936237479198E-2</v>
      </c>
      <c r="Z675" s="14">
        <v>0</v>
      </c>
      <c r="AA675" s="14">
        <v>0</v>
      </c>
      <c r="AB675" s="14"/>
      <c r="AC675" s="14">
        <v>0</v>
      </c>
      <c r="AD675" s="14">
        <v>3.8005039819757801E-2</v>
      </c>
      <c r="AE675" s="14">
        <v>0</v>
      </c>
      <c r="AF675" s="14">
        <v>0</v>
      </c>
      <c r="AG675" s="14">
        <v>0</v>
      </c>
      <c r="AH675" s="14"/>
      <c r="AI675" s="14">
        <v>0</v>
      </c>
      <c r="AJ675" s="14">
        <v>6.1520940333544903E-2</v>
      </c>
      <c r="AK675" s="14">
        <v>0</v>
      </c>
      <c r="AL675" s="14">
        <v>0</v>
      </c>
      <c r="AM675" s="14">
        <v>0</v>
      </c>
      <c r="AN675" s="14">
        <v>0</v>
      </c>
      <c r="AO675" s="14"/>
      <c r="AP675" s="14">
        <v>0</v>
      </c>
      <c r="AQ675" s="14">
        <v>2.0426315947821599E-2</v>
      </c>
      <c r="AR675" s="14"/>
      <c r="AS675" s="14">
        <v>1.0809610359579501E-2</v>
      </c>
      <c r="AT675" s="14" t="s">
        <v>88</v>
      </c>
      <c r="AU675" s="14">
        <v>0</v>
      </c>
      <c r="AV675" s="14"/>
      <c r="AW675" s="14">
        <v>4.2052158804634504E-3</v>
      </c>
      <c r="AX675" s="14">
        <v>3.6043545643462897E-2</v>
      </c>
      <c r="AY675" s="14"/>
      <c r="AZ675" s="14">
        <v>1.3067489909409801E-2</v>
      </c>
      <c r="BA675" s="14">
        <v>0</v>
      </c>
    </row>
    <row r="676" spans="2:53" x14ac:dyDescent="0.35">
      <c r="B676" t="s">
        <v>116</v>
      </c>
      <c r="C676" s="14">
        <v>1.82961428964185E-2</v>
      </c>
      <c r="D676" s="14">
        <v>1.9369515945699401E-2</v>
      </c>
      <c r="E676" s="14">
        <v>1.6949957948686901E-2</v>
      </c>
      <c r="F676" s="14"/>
      <c r="G676" s="14">
        <v>0</v>
      </c>
      <c r="H676" s="14">
        <v>2.2302673413821601E-2</v>
      </c>
      <c r="I676" s="14">
        <v>9.1477140911643794E-3</v>
      </c>
      <c r="J676" s="14">
        <v>5.2885211332755103E-2</v>
      </c>
      <c r="K676" s="14">
        <v>0</v>
      </c>
      <c r="L676" s="14" t="s">
        <v>88</v>
      </c>
      <c r="M676" s="14"/>
      <c r="N676" s="14">
        <v>9.2091079084868997E-3</v>
      </c>
      <c r="O676" s="14">
        <v>3.7876588364456697E-2</v>
      </c>
      <c r="P676" s="14">
        <v>2.53350114909189E-2</v>
      </c>
      <c r="Q676" s="14">
        <v>0</v>
      </c>
      <c r="R676" s="14"/>
      <c r="S676" s="14">
        <v>1.15047774211902E-2</v>
      </c>
      <c r="T676" s="14">
        <v>0</v>
      </c>
      <c r="U676" s="14">
        <v>4.9060036616888299E-2</v>
      </c>
      <c r="V676" s="14">
        <v>3.6501789105491803E-2</v>
      </c>
      <c r="W676" s="14">
        <v>0</v>
      </c>
      <c r="X676" s="14">
        <v>0</v>
      </c>
      <c r="Y676" s="14">
        <v>7.8571347720425705E-3</v>
      </c>
      <c r="Z676" s="14">
        <v>0</v>
      </c>
      <c r="AA676" s="14">
        <v>3.6339865763226897E-2</v>
      </c>
      <c r="AB676" s="14"/>
      <c r="AC676" s="14">
        <v>0</v>
      </c>
      <c r="AD676" s="14">
        <v>0</v>
      </c>
      <c r="AE676" s="14">
        <v>2.4947688863021102E-2</v>
      </c>
      <c r="AF676" s="14">
        <v>4.3982171312715299E-2</v>
      </c>
      <c r="AG676" s="14">
        <v>0</v>
      </c>
      <c r="AH676" s="14"/>
      <c r="AI676" s="14">
        <v>1.59090737539515E-3</v>
      </c>
      <c r="AJ676" s="14">
        <v>1.28582575937064E-2</v>
      </c>
      <c r="AK676" s="14">
        <v>3.6771439666836603E-2</v>
      </c>
      <c r="AL676" s="14">
        <v>4.8924451357971702E-2</v>
      </c>
      <c r="AM676" s="14">
        <v>0</v>
      </c>
      <c r="AN676" s="14">
        <v>0</v>
      </c>
      <c r="AO676" s="14"/>
      <c r="AP676" s="14">
        <v>2.2886666458875202E-2</v>
      </c>
      <c r="AQ676" s="14">
        <v>1.41921303961296E-2</v>
      </c>
      <c r="AR676" s="14"/>
      <c r="AS676" s="14">
        <v>1.8338496655699001E-2</v>
      </c>
      <c r="AT676" s="14" t="s">
        <v>88</v>
      </c>
      <c r="AU676" s="14">
        <v>0</v>
      </c>
      <c r="AV676" s="14"/>
      <c r="AW676" s="14">
        <v>2.45763288478195E-2</v>
      </c>
      <c r="AX676" s="14">
        <v>0</v>
      </c>
      <c r="AY676" s="14"/>
      <c r="AZ676" s="14">
        <v>1.6498967517391501E-2</v>
      </c>
      <c r="BA676" s="14">
        <v>2.67863815985372E-2</v>
      </c>
    </row>
    <row r="677" spans="2:53" x14ac:dyDescent="0.35">
      <c r="B677" t="s">
        <v>224</v>
      </c>
      <c r="C677" s="14">
        <v>0.88307149898578696</v>
      </c>
      <c r="D677" s="14">
        <v>0.86508838101964203</v>
      </c>
      <c r="E677" s="14">
        <v>0.905625263248382</v>
      </c>
      <c r="F677" s="14"/>
      <c r="G677" s="14">
        <v>1</v>
      </c>
      <c r="H677" s="14">
        <v>0.89488722125062603</v>
      </c>
      <c r="I677" s="14">
        <v>0.88211511775068896</v>
      </c>
      <c r="J677" s="14">
        <v>0.87025823285982595</v>
      </c>
      <c r="K677" s="14">
        <v>0.80510112595275296</v>
      </c>
      <c r="L677" s="14" t="s">
        <v>88</v>
      </c>
      <c r="M677" s="14"/>
      <c r="N677" s="14">
        <v>0.88612931782661297</v>
      </c>
      <c r="O677" s="14">
        <v>0.86554449171680503</v>
      </c>
      <c r="P677" s="14">
        <v>0.82273763488614504</v>
      </c>
      <c r="Q677" s="14">
        <v>0.95136431182247305</v>
      </c>
      <c r="R677" s="14"/>
      <c r="S677" s="14">
        <v>0.88916825672197197</v>
      </c>
      <c r="T677" s="14">
        <v>0.91869499270185495</v>
      </c>
      <c r="U677" s="14">
        <v>0.87179176277494097</v>
      </c>
      <c r="V677" s="14">
        <v>0.816482174735917</v>
      </c>
      <c r="W677" s="14">
        <v>0.96824697215873301</v>
      </c>
      <c r="X677" s="14">
        <v>0.83314516831696495</v>
      </c>
      <c r="Y677" s="14">
        <v>0.90817099353088504</v>
      </c>
      <c r="Z677" s="14">
        <v>0.87908344065187705</v>
      </c>
      <c r="AA677" s="14">
        <v>0.86725130906397896</v>
      </c>
      <c r="AB677" s="14"/>
      <c r="AC677" s="14">
        <v>0.95727006675503701</v>
      </c>
      <c r="AD677" s="14">
        <v>0.86576847391479295</v>
      </c>
      <c r="AE677" s="14">
        <v>0.86397673347682202</v>
      </c>
      <c r="AF677" s="14">
        <v>0.92856734348687198</v>
      </c>
      <c r="AG677" s="14">
        <v>0.95459460240106897</v>
      </c>
      <c r="AH677" s="14"/>
      <c r="AI677" s="14">
        <v>0.90959705988177597</v>
      </c>
      <c r="AJ677" s="14">
        <v>0.86575422916062705</v>
      </c>
      <c r="AK677" s="14">
        <v>0.83018804355324904</v>
      </c>
      <c r="AL677" s="14">
        <v>0.87621051628099</v>
      </c>
      <c r="AM677" s="14">
        <v>0.83018809538109495</v>
      </c>
      <c r="AN677" s="14">
        <v>1</v>
      </c>
      <c r="AO677" s="14"/>
      <c r="AP677" s="14">
        <v>0.90984354642367804</v>
      </c>
      <c r="AQ677" s="14">
        <v>0.85913679614665495</v>
      </c>
      <c r="AR677" s="14"/>
      <c r="AS677" s="14">
        <v>0.88280082108318103</v>
      </c>
      <c r="AT677" s="14" t="s">
        <v>88</v>
      </c>
      <c r="AU677" s="14">
        <v>1</v>
      </c>
      <c r="AV677" s="14"/>
      <c r="AW677" s="14">
        <v>0.88010172157206101</v>
      </c>
      <c r="AX677" s="14">
        <v>0.892924488462009</v>
      </c>
      <c r="AY677" s="14"/>
      <c r="AZ677" s="14">
        <v>0.88893473723237804</v>
      </c>
      <c r="BA677" s="14">
        <v>0.85537231455343499</v>
      </c>
    </row>
    <row r="678" spans="2:53" x14ac:dyDescent="0.35"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</row>
    <row r="679" spans="2:53" x14ac:dyDescent="0.35">
      <c r="B679" s="6" t="s">
        <v>258</v>
      </c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</row>
    <row r="680" spans="2:53" x14ac:dyDescent="0.35">
      <c r="B680" s="24" t="s">
        <v>219</v>
      </c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</row>
    <row r="681" spans="2:53" x14ac:dyDescent="0.35">
      <c r="B681" t="s">
        <v>226</v>
      </c>
      <c r="C681" s="14">
        <v>0.37463259794713699</v>
      </c>
      <c r="D681" s="14">
        <v>0.373126443502387</v>
      </c>
      <c r="E681" s="14">
        <v>0.37652156138239401</v>
      </c>
      <c r="F681" s="14"/>
      <c r="G681" s="14">
        <v>0.31603047831618702</v>
      </c>
      <c r="H681" s="14">
        <v>0.44086374071385598</v>
      </c>
      <c r="I681" s="14">
        <v>0.33375238256450201</v>
      </c>
      <c r="J681" s="14">
        <v>0.39543701198991199</v>
      </c>
      <c r="K681" s="14">
        <v>0.35500471705665498</v>
      </c>
      <c r="L681" s="14" t="s">
        <v>88</v>
      </c>
      <c r="M681" s="14"/>
      <c r="N681" s="14">
        <v>0.379193069051457</v>
      </c>
      <c r="O681" s="14">
        <v>0.37618417269127602</v>
      </c>
      <c r="P681" s="14">
        <v>0.35904805765286602</v>
      </c>
      <c r="Q681" s="14">
        <v>0.37926725942428802</v>
      </c>
      <c r="R681" s="14"/>
      <c r="S681" s="14">
        <v>0.42213572651193998</v>
      </c>
      <c r="T681" s="14">
        <v>0.52561782888731301</v>
      </c>
      <c r="U681" s="14">
        <v>0.18558741964082801</v>
      </c>
      <c r="V681" s="14">
        <v>0.21496902146504701</v>
      </c>
      <c r="W681" s="14">
        <v>0.41694513862184701</v>
      </c>
      <c r="X681" s="14">
        <v>0.20719924376159801</v>
      </c>
      <c r="Y681" s="14">
        <v>0.420114884514319</v>
      </c>
      <c r="Z681" s="14">
        <v>0.426752088866998</v>
      </c>
      <c r="AA681" s="14">
        <v>0.45532633562518998</v>
      </c>
      <c r="AB681" s="14"/>
      <c r="AC681" s="14">
        <v>0.37288766456429701</v>
      </c>
      <c r="AD681" s="14">
        <v>0.39249886392136601</v>
      </c>
      <c r="AE681" s="14">
        <v>0.366890528816605</v>
      </c>
      <c r="AF681" s="14">
        <v>0.36959739182410001</v>
      </c>
      <c r="AG681" s="14">
        <v>0.67326035433875098</v>
      </c>
      <c r="AH681" s="14"/>
      <c r="AI681" s="14">
        <v>0.48638371451039902</v>
      </c>
      <c r="AJ681" s="14">
        <v>0.38917739820250702</v>
      </c>
      <c r="AK681" s="14">
        <v>0.27535242095989299</v>
      </c>
      <c r="AL681" s="14">
        <v>0.21739878886948899</v>
      </c>
      <c r="AM681" s="14">
        <v>0.52384036655190702</v>
      </c>
      <c r="AN681" s="14">
        <v>0.15371381607272999</v>
      </c>
      <c r="AO681" s="14"/>
      <c r="AP681" s="14">
        <v>0.358857491428971</v>
      </c>
      <c r="AQ681" s="14">
        <v>0.38873583333262202</v>
      </c>
      <c r="AR681" s="14"/>
      <c r="AS681" s="14">
        <v>0.37549983531852799</v>
      </c>
      <c r="AT681" s="14" t="s">
        <v>88</v>
      </c>
      <c r="AU681" s="14">
        <v>0</v>
      </c>
      <c r="AV681" s="14"/>
      <c r="AW681" s="14">
        <v>0.35550611231332002</v>
      </c>
      <c r="AX681" s="14">
        <v>0.45479985644953103</v>
      </c>
      <c r="AY681" s="14"/>
      <c r="AZ681" s="14">
        <v>0.387124261506959</v>
      </c>
      <c r="BA681" s="14">
        <v>0.31561932264460801</v>
      </c>
    </row>
    <row r="682" spans="2:53" x14ac:dyDescent="0.35">
      <c r="B682" t="s">
        <v>227</v>
      </c>
      <c r="C682" s="14">
        <v>0.42540386734067898</v>
      </c>
      <c r="D682" s="14">
        <v>0.44871949975702502</v>
      </c>
      <c r="E682" s="14">
        <v>0.39616225984293801</v>
      </c>
      <c r="F682" s="14"/>
      <c r="G682" s="14">
        <v>0.143878173924786</v>
      </c>
      <c r="H682" s="14">
        <v>0.39221124736402702</v>
      </c>
      <c r="I682" s="14">
        <v>0.47610034546090901</v>
      </c>
      <c r="J682" s="14">
        <v>0.36793132811080198</v>
      </c>
      <c r="K682" s="14">
        <v>0.32789933743959598</v>
      </c>
      <c r="L682" s="14" t="s">
        <v>88</v>
      </c>
      <c r="M682" s="14"/>
      <c r="N682" s="14">
        <v>0.44031880713111599</v>
      </c>
      <c r="O682" s="14">
        <v>0.42601866850044601</v>
      </c>
      <c r="P682" s="14">
        <v>0.35721953616694602</v>
      </c>
      <c r="Q682" s="14">
        <v>0.46056489480371499</v>
      </c>
      <c r="R682" s="14"/>
      <c r="S682" s="14">
        <v>0.45087049501767301</v>
      </c>
      <c r="T682" s="14">
        <v>0.26742059951803798</v>
      </c>
      <c r="U682" s="14">
        <v>0.58796604376052597</v>
      </c>
      <c r="V682" s="14">
        <v>0.47287650714261498</v>
      </c>
      <c r="W682" s="14">
        <v>0.41833555966524399</v>
      </c>
      <c r="X682" s="14">
        <v>0.46165879579563102</v>
      </c>
      <c r="Y682" s="14">
        <v>0.48228802598034398</v>
      </c>
      <c r="Z682" s="14">
        <v>0.45233135178487899</v>
      </c>
      <c r="AA682" s="14">
        <v>0.32260731262240799</v>
      </c>
      <c r="AB682" s="14"/>
      <c r="AC682" s="14">
        <v>0.45899254561391001</v>
      </c>
      <c r="AD682" s="14">
        <v>0.43647757654721903</v>
      </c>
      <c r="AE682" s="14">
        <v>0.39240279376151299</v>
      </c>
      <c r="AF682" s="14">
        <v>0.54827002402795999</v>
      </c>
      <c r="AG682" s="14">
        <v>0.167368421330443</v>
      </c>
      <c r="AH682" s="14"/>
      <c r="AI682" s="14">
        <v>0.32483364103032503</v>
      </c>
      <c r="AJ682" s="14">
        <v>0.371435007890354</v>
      </c>
      <c r="AK682" s="14">
        <v>0.42151174604945002</v>
      </c>
      <c r="AL682" s="14">
        <v>0.64868665550379101</v>
      </c>
      <c r="AM682" s="14">
        <v>0.36940304507983002</v>
      </c>
      <c r="AN682" s="14">
        <v>0.60248925817967902</v>
      </c>
      <c r="AO682" s="14"/>
      <c r="AP682" s="14">
        <v>0.473782601848596</v>
      </c>
      <c r="AQ682" s="14">
        <v>0.382152388839959</v>
      </c>
      <c r="AR682" s="14"/>
      <c r="AS682" s="14">
        <v>0.426388635173788</v>
      </c>
      <c r="AT682" s="14" t="s">
        <v>88</v>
      </c>
      <c r="AU682" s="14">
        <v>0</v>
      </c>
      <c r="AV682" s="14"/>
      <c r="AW682" s="14">
        <v>0.44949957784399502</v>
      </c>
      <c r="AX682" s="14">
        <v>0.36706852016316899</v>
      </c>
      <c r="AY682" s="14"/>
      <c r="AZ682" s="14">
        <v>0.41957793619967299</v>
      </c>
      <c r="BA682" s="14">
        <v>0.45292680507201599</v>
      </c>
    </row>
    <row r="683" spans="2:53" x14ac:dyDescent="0.35">
      <c r="B683" t="s">
        <v>228</v>
      </c>
      <c r="C683" s="14">
        <v>0.11026349011684899</v>
      </c>
      <c r="D683" s="14">
        <v>0.100854723509259</v>
      </c>
      <c r="E683" s="14">
        <v>0.12206361868570199</v>
      </c>
      <c r="F683" s="14"/>
      <c r="G683" s="14">
        <v>0</v>
      </c>
      <c r="H683" s="14">
        <v>0.104310776304654</v>
      </c>
      <c r="I683" s="14">
        <v>0.10273133662299</v>
      </c>
      <c r="J683" s="14">
        <v>0.101227821813379</v>
      </c>
      <c r="K683" s="14">
        <v>0.31709594550374898</v>
      </c>
      <c r="L683" s="14" t="s">
        <v>88</v>
      </c>
      <c r="M683" s="14"/>
      <c r="N683" s="14">
        <v>0.116224731672598</v>
      </c>
      <c r="O683" s="14">
        <v>9.5506358912776895E-2</v>
      </c>
      <c r="P683" s="14">
        <v>0.12480246601240599</v>
      </c>
      <c r="Q683" s="14">
        <v>0.108802060626795</v>
      </c>
      <c r="R683" s="14"/>
      <c r="S683" s="14">
        <v>2.30095541649845E-2</v>
      </c>
      <c r="T683" s="14">
        <v>0.106621409452618</v>
      </c>
      <c r="U683" s="14">
        <v>0.183981616914693</v>
      </c>
      <c r="V683" s="14">
        <v>0.18183665774197799</v>
      </c>
      <c r="W683" s="14">
        <v>0.101213246030376</v>
      </c>
      <c r="X683" s="14">
        <v>0.20742815625563399</v>
      </c>
      <c r="Y683" s="14">
        <v>8.9739954733294505E-2</v>
      </c>
      <c r="Z683" s="14">
        <v>0.120916559348123</v>
      </c>
      <c r="AA683" s="14">
        <v>7.4319018074270798E-2</v>
      </c>
      <c r="AB683" s="14"/>
      <c r="AC683" s="14">
        <v>0.12538985657682999</v>
      </c>
      <c r="AD683" s="14">
        <v>7.7168496894075803E-2</v>
      </c>
      <c r="AE683" s="14">
        <v>0.117788650335883</v>
      </c>
      <c r="AF683" s="14">
        <v>3.7958331422241399E-2</v>
      </c>
      <c r="AG683" s="14">
        <v>4.5167090758432803E-2</v>
      </c>
      <c r="AH683" s="14"/>
      <c r="AI683" s="14">
        <v>9.2438239976467204E-2</v>
      </c>
      <c r="AJ683" s="14">
        <v>0.207507637862758</v>
      </c>
      <c r="AK683" s="14">
        <v>0.178750276692905</v>
      </c>
      <c r="AL683" s="14">
        <v>5.8817294780794997E-2</v>
      </c>
      <c r="AM683" s="14">
        <v>0</v>
      </c>
      <c r="AN683" s="14">
        <v>8.1263075345773303E-2</v>
      </c>
      <c r="AO683" s="14"/>
      <c r="AP683" s="14">
        <v>8.1365524029525793E-2</v>
      </c>
      <c r="AQ683" s="14">
        <v>0.13609880333149799</v>
      </c>
      <c r="AR683" s="14"/>
      <c r="AS683" s="14">
        <v>0.110518739179139</v>
      </c>
      <c r="AT683" s="14" t="s">
        <v>88</v>
      </c>
      <c r="AU683" s="14">
        <v>0</v>
      </c>
      <c r="AV683" s="14"/>
      <c r="AW683" s="14">
        <v>0.106997318524632</v>
      </c>
      <c r="AX683" s="14">
        <v>0.123628301118388</v>
      </c>
      <c r="AY683" s="14"/>
      <c r="AZ683" s="14">
        <v>0.11298678140505999</v>
      </c>
      <c r="BA683" s="14">
        <v>9.7398082899425295E-2</v>
      </c>
    </row>
    <row r="684" spans="2:53" x14ac:dyDescent="0.35">
      <c r="B684" t="s">
        <v>229</v>
      </c>
      <c r="C684" s="14">
        <v>1.43248639730695E-2</v>
      </c>
      <c r="D684" s="14">
        <v>1.25470394798054E-2</v>
      </c>
      <c r="E684" s="14">
        <v>1.65545459779829E-2</v>
      </c>
      <c r="F684" s="14"/>
      <c r="G684" s="14">
        <v>0.272425958048789</v>
      </c>
      <c r="H684" s="14">
        <v>0</v>
      </c>
      <c r="I684" s="14">
        <v>1.96598116743434E-2</v>
      </c>
      <c r="J684" s="14">
        <v>0</v>
      </c>
      <c r="K684" s="14">
        <v>0</v>
      </c>
      <c r="L684" s="14" t="s">
        <v>88</v>
      </c>
      <c r="M684" s="14"/>
      <c r="N684" s="14">
        <v>0</v>
      </c>
      <c r="O684" s="14">
        <v>1.0811254092133E-2</v>
      </c>
      <c r="P684" s="14">
        <v>6.0901745984315102E-2</v>
      </c>
      <c r="Q684" s="14">
        <v>0</v>
      </c>
      <c r="R684" s="14"/>
      <c r="S684" s="14">
        <v>5.7414308651667502E-2</v>
      </c>
      <c r="T684" s="14">
        <v>1.9035155048568699E-2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/>
      <c r="AC684" s="14">
        <v>0</v>
      </c>
      <c r="AD684" s="14">
        <v>1.5273697763669099E-2</v>
      </c>
      <c r="AE684" s="14">
        <v>3.0069740031485E-2</v>
      </c>
      <c r="AF684" s="14">
        <v>0</v>
      </c>
      <c r="AG684" s="14">
        <v>0</v>
      </c>
      <c r="AH684" s="14"/>
      <c r="AI684" s="14">
        <v>3.0546442118713199E-2</v>
      </c>
      <c r="AJ684" s="14">
        <v>0</v>
      </c>
      <c r="AK684" s="14">
        <v>0</v>
      </c>
      <c r="AL684" s="14">
        <v>2.45763444137309E-2</v>
      </c>
      <c r="AM684" s="14">
        <v>0</v>
      </c>
      <c r="AN684" s="14">
        <v>0</v>
      </c>
      <c r="AO684" s="14"/>
      <c r="AP684" s="14">
        <v>6.5167403841774199E-3</v>
      </c>
      <c r="AQ684" s="14">
        <v>2.1305470079677601E-2</v>
      </c>
      <c r="AR684" s="14"/>
      <c r="AS684" s="14">
        <v>1.43580246148439E-2</v>
      </c>
      <c r="AT684" s="14" t="s">
        <v>88</v>
      </c>
      <c r="AU684" s="14">
        <v>0</v>
      </c>
      <c r="AV684" s="14"/>
      <c r="AW684" s="14">
        <v>1.51099975727516E-2</v>
      </c>
      <c r="AX684" s="14">
        <v>0</v>
      </c>
      <c r="AY684" s="14"/>
      <c r="AZ684" s="14">
        <v>1.7357086475115999E-2</v>
      </c>
      <c r="BA684" s="14">
        <v>0</v>
      </c>
    </row>
    <row r="685" spans="2:53" x14ac:dyDescent="0.35">
      <c r="B685" t="s">
        <v>116</v>
      </c>
      <c r="C685" s="14">
        <v>3.3433337346442799E-2</v>
      </c>
      <c r="D685" s="14">
        <v>3.55723353697193E-2</v>
      </c>
      <c r="E685" s="14">
        <v>3.07506848016528E-2</v>
      </c>
      <c r="F685" s="14"/>
      <c r="G685" s="14">
        <v>0</v>
      </c>
      <c r="H685" s="14">
        <v>4.3599548326082198E-2</v>
      </c>
      <c r="I685" s="14">
        <v>3.0620708118861799E-2</v>
      </c>
      <c r="J685" s="14">
        <v>3.5627132375042503E-2</v>
      </c>
      <c r="K685" s="14">
        <v>0</v>
      </c>
      <c r="L685" s="14" t="s">
        <v>88</v>
      </c>
      <c r="M685" s="14"/>
      <c r="N685" s="14">
        <v>1.1555433721857499E-2</v>
      </c>
      <c r="O685" s="14">
        <v>4.44957727172249E-2</v>
      </c>
      <c r="P685" s="14">
        <v>5.4031358478331501E-2</v>
      </c>
      <c r="Q685" s="14">
        <v>3.2510074929041601E-2</v>
      </c>
      <c r="R685" s="14"/>
      <c r="S685" s="14">
        <v>2.5166873992483699E-2</v>
      </c>
      <c r="T685" s="14">
        <v>1.9035155048568699E-2</v>
      </c>
      <c r="U685" s="14">
        <v>4.2464919683952301E-2</v>
      </c>
      <c r="V685" s="14">
        <v>3.6501789105491803E-2</v>
      </c>
      <c r="W685" s="14">
        <v>0</v>
      </c>
      <c r="X685" s="14">
        <v>5.2762112947314303E-2</v>
      </c>
      <c r="Y685" s="14">
        <v>7.8571347720425705E-3</v>
      </c>
      <c r="Z685" s="14">
        <v>0</v>
      </c>
      <c r="AA685" s="14">
        <v>9.2803295414297104E-2</v>
      </c>
      <c r="AB685" s="14"/>
      <c r="AC685" s="14">
        <v>0</v>
      </c>
      <c r="AD685" s="14">
        <v>0</v>
      </c>
      <c r="AE685" s="14">
        <v>6.8479318663339894E-2</v>
      </c>
      <c r="AF685" s="14">
        <v>3.84047990753681E-3</v>
      </c>
      <c r="AG685" s="14">
        <v>0</v>
      </c>
      <c r="AH685" s="14"/>
      <c r="AI685" s="14">
        <v>2.3333649233159299E-2</v>
      </c>
      <c r="AJ685" s="14">
        <v>0</v>
      </c>
      <c r="AK685" s="14">
        <v>3.6771439666836603E-2</v>
      </c>
      <c r="AL685" s="14">
        <v>0</v>
      </c>
      <c r="AM685" s="14">
        <v>0.106756588368262</v>
      </c>
      <c r="AN685" s="14">
        <v>0.111541626254493</v>
      </c>
      <c r="AO685" s="14"/>
      <c r="AP685" s="14">
        <v>3.80557176187565E-2</v>
      </c>
      <c r="AQ685" s="14">
        <v>2.93008443615877E-2</v>
      </c>
      <c r="AR685" s="14"/>
      <c r="AS685" s="14">
        <v>3.3510732212122002E-2</v>
      </c>
      <c r="AT685" s="14" t="s">
        <v>88</v>
      </c>
      <c r="AU685" s="14">
        <v>0</v>
      </c>
      <c r="AV685" s="14"/>
      <c r="AW685" s="14">
        <v>3.51977038125873E-2</v>
      </c>
      <c r="AX685" s="14">
        <v>0</v>
      </c>
      <c r="AY685" s="14"/>
      <c r="AZ685" s="14">
        <v>1.87163622889484E-2</v>
      </c>
      <c r="BA685" s="14">
        <v>0.102959457428785</v>
      </c>
    </row>
    <row r="686" spans="2:53" x14ac:dyDescent="0.35"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</row>
    <row r="687" spans="2:53" x14ac:dyDescent="0.35">
      <c r="B687" s="6" t="s">
        <v>259</v>
      </c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</row>
    <row r="688" spans="2:53" x14ac:dyDescent="0.35">
      <c r="B688" s="24" t="s">
        <v>219</v>
      </c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</row>
    <row r="689" spans="2:53" x14ac:dyDescent="0.35">
      <c r="B689" t="s">
        <v>231</v>
      </c>
      <c r="C689" s="14">
        <v>8.4868566248182703E-2</v>
      </c>
      <c r="D689" s="14">
        <v>0.103103556028382</v>
      </c>
      <c r="E689" s="14">
        <v>6.1998913632451601E-2</v>
      </c>
      <c r="F689" s="14"/>
      <c r="G689" s="14">
        <v>0</v>
      </c>
      <c r="H689" s="14">
        <v>0.155968003234594</v>
      </c>
      <c r="I689" s="14">
        <v>5.1797112518658497E-2</v>
      </c>
      <c r="J689" s="14">
        <v>6.1039253380561001E-2</v>
      </c>
      <c r="K689" s="14">
        <v>8.4154102890532004E-2</v>
      </c>
      <c r="L689" s="14" t="s">
        <v>88</v>
      </c>
      <c r="M689" s="14"/>
      <c r="N689" s="14">
        <v>7.8706966766426897E-2</v>
      </c>
      <c r="O689" s="14">
        <v>7.6173581336218002E-2</v>
      </c>
      <c r="P689" s="14">
        <v>0.128446868489628</v>
      </c>
      <c r="Q689" s="14">
        <v>6.8343412006184795E-2</v>
      </c>
      <c r="R689" s="14"/>
      <c r="S689" s="14">
        <v>8.3337941630819298E-2</v>
      </c>
      <c r="T689" s="14">
        <v>0.104791015356707</v>
      </c>
      <c r="U689" s="14">
        <v>6.0288490259152901E-2</v>
      </c>
      <c r="V689" s="14">
        <v>0.159421154665812</v>
      </c>
      <c r="W689" s="14">
        <v>0</v>
      </c>
      <c r="X689" s="14">
        <v>0</v>
      </c>
      <c r="Y689" s="14">
        <v>0.124069822815016</v>
      </c>
      <c r="Z689" s="14">
        <v>0</v>
      </c>
      <c r="AA689" s="14">
        <v>0.112403368552184</v>
      </c>
      <c r="AB689" s="14"/>
      <c r="AC689" s="14">
        <v>4.0590532095130097E-2</v>
      </c>
      <c r="AD689" s="14">
        <v>8.87139983402572E-2</v>
      </c>
      <c r="AE689" s="14">
        <v>8.0564421176353596E-2</v>
      </c>
      <c r="AF689" s="14">
        <v>8.6579340593826007E-2</v>
      </c>
      <c r="AG689" s="14">
        <v>0.101006024975044</v>
      </c>
      <c r="AH689" s="14"/>
      <c r="AI689" s="14">
        <v>6.4904134662770493E-2</v>
      </c>
      <c r="AJ689" s="14">
        <v>0.21688050944759399</v>
      </c>
      <c r="AK689" s="14">
        <v>7.2706598521533203E-2</v>
      </c>
      <c r="AL689" s="14">
        <v>7.1651777660344695E-2</v>
      </c>
      <c r="AM689" s="14">
        <v>0</v>
      </c>
      <c r="AN689" s="14">
        <v>0</v>
      </c>
      <c r="AO689" s="14"/>
      <c r="AP689" s="14">
        <v>8.9840882194093905E-2</v>
      </c>
      <c r="AQ689" s="14">
        <v>8.0423224334615795E-2</v>
      </c>
      <c r="AR689" s="14"/>
      <c r="AS689" s="14">
        <v>8.5065028576101098E-2</v>
      </c>
      <c r="AT689" s="14" t="s">
        <v>88</v>
      </c>
      <c r="AU689" s="14">
        <v>0</v>
      </c>
      <c r="AV689" s="14"/>
      <c r="AW689" s="14">
        <v>5.5703940628860603E-2</v>
      </c>
      <c r="AX689" s="14">
        <v>0.20437065720251399</v>
      </c>
      <c r="AY689" s="14"/>
      <c r="AZ689" s="14">
        <v>8.9197363113243805E-2</v>
      </c>
      <c r="BA689" s="14">
        <v>6.4418409237211996E-2</v>
      </c>
    </row>
    <row r="690" spans="2:53" x14ac:dyDescent="0.35">
      <c r="B690" t="s">
        <v>232</v>
      </c>
      <c r="C690" s="14">
        <v>0.774520364034189</v>
      </c>
      <c r="D690" s="14">
        <v>0.72062183405865898</v>
      </c>
      <c r="E690" s="14">
        <v>0.84211791532963398</v>
      </c>
      <c r="F690" s="14"/>
      <c r="G690" s="14">
        <v>0.26007861802882098</v>
      </c>
      <c r="H690" s="14">
        <v>0.75012690891876599</v>
      </c>
      <c r="I690" s="14">
        <v>0.80600380582055797</v>
      </c>
      <c r="J690" s="14">
        <v>0.72436688508788405</v>
      </c>
      <c r="K690" s="14">
        <v>0.91584589710946795</v>
      </c>
      <c r="L690" s="14" t="s">
        <v>88</v>
      </c>
      <c r="M690" s="14"/>
      <c r="N690" s="14">
        <v>0.82102931535704404</v>
      </c>
      <c r="O690" s="14">
        <v>0.79673463142970802</v>
      </c>
      <c r="P690" s="14">
        <v>0.72227503049029296</v>
      </c>
      <c r="Q690" s="14">
        <v>0.72499974877208195</v>
      </c>
      <c r="R690" s="14"/>
      <c r="S690" s="14">
        <v>0.67416113908077702</v>
      </c>
      <c r="T690" s="14">
        <v>0.84235264434686996</v>
      </c>
      <c r="U690" s="14">
        <v>0.76532613821539297</v>
      </c>
      <c r="V690" s="14">
        <v>0.70324530961829201</v>
      </c>
      <c r="W690" s="14">
        <v>0.86865949100289297</v>
      </c>
      <c r="X690" s="14">
        <v>0.87183935467224505</v>
      </c>
      <c r="Y690" s="14">
        <v>0.746588877351411</v>
      </c>
      <c r="Z690" s="14">
        <v>1</v>
      </c>
      <c r="AA690" s="14">
        <v>0.74112129016997197</v>
      </c>
      <c r="AB690" s="14"/>
      <c r="AC690" s="14">
        <v>0.84431596110353602</v>
      </c>
      <c r="AD690" s="14">
        <v>0.75782965915440303</v>
      </c>
      <c r="AE690" s="14">
        <v>0.78888050524509601</v>
      </c>
      <c r="AF690" s="14">
        <v>0.78331908284641405</v>
      </c>
      <c r="AG690" s="14">
        <v>0.70457011632450195</v>
      </c>
      <c r="AH690" s="14"/>
      <c r="AI690" s="14">
        <v>0.80349218011967005</v>
      </c>
      <c r="AJ690" s="14">
        <v>0.64821771114950999</v>
      </c>
      <c r="AK690" s="14">
        <v>0.80643170216000604</v>
      </c>
      <c r="AL690" s="14">
        <v>0.744200764211431</v>
      </c>
      <c r="AM690" s="14">
        <v>1</v>
      </c>
      <c r="AN690" s="14">
        <v>0.86037317729692397</v>
      </c>
      <c r="AO690" s="14"/>
      <c r="AP690" s="14">
        <v>0.77414515983691501</v>
      </c>
      <c r="AQ690" s="14">
        <v>0.774855803487842</v>
      </c>
      <c r="AR690" s="14"/>
      <c r="AS690" s="14">
        <v>0.77399840100195705</v>
      </c>
      <c r="AT690" s="14" t="s">
        <v>88</v>
      </c>
      <c r="AU690" s="14">
        <v>1</v>
      </c>
      <c r="AV690" s="14"/>
      <c r="AW690" s="14">
        <v>0.80418532896375405</v>
      </c>
      <c r="AX690" s="14">
        <v>0.68193669056013395</v>
      </c>
      <c r="AY690" s="14"/>
      <c r="AZ690" s="14">
        <v>0.75551923831825696</v>
      </c>
      <c r="BA690" s="14">
        <v>0.86428572295234896</v>
      </c>
    </row>
    <row r="691" spans="2:53" x14ac:dyDescent="0.35">
      <c r="B691" t="s">
        <v>233</v>
      </c>
      <c r="C691" s="14">
        <v>9.3120010432904105E-2</v>
      </c>
      <c r="D691" s="14">
        <v>0.108028340044046</v>
      </c>
      <c r="E691" s="14">
        <v>7.4422532485432596E-2</v>
      </c>
      <c r="F691" s="14"/>
      <c r="G691" s="14">
        <v>0.73992138197117896</v>
      </c>
      <c r="H691" s="14">
        <v>6.7924422293748593E-2</v>
      </c>
      <c r="I691" s="14">
        <v>0.100322807843241</v>
      </c>
      <c r="J691" s="14">
        <v>7.4836639832802102E-2</v>
      </c>
      <c r="K691" s="14">
        <v>0</v>
      </c>
      <c r="L691" s="14" t="s">
        <v>88</v>
      </c>
      <c r="M691" s="14"/>
      <c r="N691" s="14">
        <v>6.7957517993493005E-2</v>
      </c>
      <c r="O691" s="14">
        <v>6.7520242926962598E-2</v>
      </c>
      <c r="P691" s="14">
        <v>7.70057912004425E-2</v>
      </c>
      <c r="Q691" s="14">
        <v>0.17414676429269199</v>
      </c>
      <c r="R691" s="14"/>
      <c r="S691" s="14">
        <v>0.19216716945693799</v>
      </c>
      <c r="T691" s="14">
        <v>5.2856340296422902E-2</v>
      </c>
      <c r="U691" s="14">
        <v>6.8244156959928706E-2</v>
      </c>
      <c r="V691" s="14">
        <v>0.100831746610404</v>
      </c>
      <c r="W691" s="14">
        <v>0.131340508997107</v>
      </c>
      <c r="X691" s="14">
        <v>0</v>
      </c>
      <c r="Y691" s="14">
        <v>0.12148416506153099</v>
      </c>
      <c r="Z691" s="14">
        <v>0</v>
      </c>
      <c r="AA691" s="14">
        <v>5.3672045863546403E-2</v>
      </c>
      <c r="AB691" s="14"/>
      <c r="AC691" s="14">
        <v>0.115093506801334</v>
      </c>
      <c r="AD691" s="14">
        <v>0.110408956527257</v>
      </c>
      <c r="AE691" s="14">
        <v>7.3092549984484098E-2</v>
      </c>
      <c r="AF691" s="14">
        <v>0.12626109665222299</v>
      </c>
      <c r="AG691" s="14">
        <v>0.10450910194739201</v>
      </c>
      <c r="AH691" s="14"/>
      <c r="AI691" s="14">
        <v>0.11662311108880501</v>
      </c>
      <c r="AJ691" s="14">
        <v>0.121013300615833</v>
      </c>
      <c r="AK691" s="14">
        <v>4.79077220864998E-2</v>
      </c>
      <c r="AL691" s="14">
        <v>0.144752494986328</v>
      </c>
      <c r="AM691" s="14">
        <v>0</v>
      </c>
      <c r="AN691" s="14">
        <v>0</v>
      </c>
      <c r="AO691" s="14"/>
      <c r="AP691" s="14">
        <v>9.0172191390933701E-2</v>
      </c>
      <c r="AQ691" s="14">
        <v>9.5755414876915204E-2</v>
      </c>
      <c r="AR691" s="14"/>
      <c r="AS691" s="14">
        <v>9.3335574037124003E-2</v>
      </c>
      <c r="AT691" s="14" t="s">
        <v>88</v>
      </c>
      <c r="AU691" s="14">
        <v>0</v>
      </c>
      <c r="AV691" s="14"/>
      <c r="AW691" s="14">
        <v>9.5923607608496997E-2</v>
      </c>
      <c r="AX691" s="14">
        <v>0.102227617014685</v>
      </c>
      <c r="AY691" s="14"/>
      <c r="AZ691" s="14">
        <v>0.109384177893187</v>
      </c>
      <c r="BA691" s="14">
        <v>1.62846243929512E-2</v>
      </c>
    </row>
    <row r="692" spans="2:53" x14ac:dyDescent="0.35">
      <c r="B692" t="s">
        <v>116</v>
      </c>
      <c r="C692" s="14">
        <v>4.7491059284724198E-2</v>
      </c>
      <c r="D692" s="14">
        <v>6.8246269868912302E-2</v>
      </c>
      <c r="E692" s="14">
        <v>2.14606385524817E-2</v>
      </c>
      <c r="F692" s="14"/>
      <c r="G692" s="14">
        <v>0</v>
      </c>
      <c r="H692" s="14">
        <v>2.5980665552890799E-2</v>
      </c>
      <c r="I692" s="14">
        <v>4.1876273817542997E-2</v>
      </c>
      <c r="J692" s="14">
        <v>0.13975722169875199</v>
      </c>
      <c r="K692" s="14">
        <v>0</v>
      </c>
      <c r="L692" s="14" t="s">
        <v>88</v>
      </c>
      <c r="M692" s="14"/>
      <c r="N692" s="14">
        <v>3.2306199883036402E-2</v>
      </c>
      <c r="O692" s="14">
        <v>5.9571544307111299E-2</v>
      </c>
      <c r="P692" s="14">
        <v>7.2272309819636907E-2</v>
      </c>
      <c r="Q692" s="14">
        <v>3.2510074929041601E-2</v>
      </c>
      <c r="R692" s="14"/>
      <c r="S692" s="14">
        <v>5.03337498314659E-2</v>
      </c>
      <c r="T692" s="14">
        <v>0</v>
      </c>
      <c r="U692" s="14">
        <v>0.106141214565526</v>
      </c>
      <c r="V692" s="14">
        <v>3.6501789105491803E-2</v>
      </c>
      <c r="W692" s="14">
        <v>0</v>
      </c>
      <c r="X692" s="14">
        <v>0.12816064532775501</v>
      </c>
      <c r="Y692" s="14">
        <v>7.8571347720425705E-3</v>
      </c>
      <c r="Z692" s="14">
        <v>0</v>
      </c>
      <c r="AA692" s="14">
        <v>9.2803295414297104E-2</v>
      </c>
      <c r="AB692" s="14"/>
      <c r="AC692" s="14">
        <v>0</v>
      </c>
      <c r="AD692" s="14">
        <v>4.3047385978082699E-2</v>
      </c>
      <c r="AE692" s="14">
        <v>5.7462523594066298E-2</v>
      </c>
      <c r="AF692" s="14">
        <v>3.84047990753681E-3</v>
      </c>
      <c r="AG692" s="14">
        <v>8.9914756753062097E-2</v>
      </c>
      <c r="AH692" s="14"/>
      <c r="AI692" s="14">
        <v>1.4980574128754601E-2</v>
      </c>
      <c r="AJ692" s="14">
        <v>1.3888478787063899E-2</v>
      </c>
      <c r="AK692" s="14">
        <v>7.2953977231960607E-2</v>
      </c>
      <c r="AL692" s="14">
        <v>3.9394963141895598E-2</v>
      </c>
      <c r="AM692" s="14">
        <v>0</v>
      </c>
      <c r="AN692" s="14">
        <v>0.139626822703076</v>
      </c>
      <c r="AO692" s="14"/>
      <c r="AP692" s="14">
        <v>4.58417665780569E-2</v>
      </c>
      <c r="AQ692" s="14">
        <v>4.8965557300627099E-2</v>
      </c>
      <c r="AR692" s="14"/>
      <c r="AS692" s="14">
        <v>4.76009963848174E-2</v>
      </c>
      <c r="AT692" s="14" t="s">
        <v>88</v>
      </c>
      <c r="AU692" s="14">
        <v>0</v>
      </c>
      <c r="AV692" s="14"/>
      <c r="AW692" s="14">
        <v>4.4187122798888499E-2</v>
      </c>
      <c r="AX692" s="14">
        <v>1.1465035222667499E-2</v>
      </c>
      <c r="AY692" s="14"/>
      <c r="AZ692" s="14">
        <v>4.5899220675312699E-2</v>
      </c>
      <c r="BA692" s="14">
        <v>5.5011243417488302E-2</v>
      </c>
    </row>
    <row r="693" spans="2:53" x14ac:dyDescent="0.35"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</row>
    <row r="694" spans="2:53" x14ac:dyDescent="0.35">
      <c r="B694" s="6" t="s">
        <v>260</v>
      </c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</row>
    <row r="695" spans="2:53" x14ac:dyDescent="0.35">
      <c r="B695" s="24" t="s">
        <v>219</v>
      </c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</row>
    <row r="696" spans="2:53" x14ac:dyDescent="0.35">
      <c r="B696" t="s">
        <v>235</v>
      </c>
      <c r="C696" s="14">
        <v>0.30958645858247402</v>
      </c>
      <c r="D696" s="14">
        <v>0.34325572919792302</v>
      </c>
      <c r="E696" s="14">
        <v>0.26735969936396897</v>
      </c>
      <c r="F696" s="14"/>
      <c r="G696" s="14">
        <v>0.31603047831618702</v>
      </c>
      <c r="H696" s="14">
        <v>0.31523595261097997</v>
      </c>
      <c r="I696" s="14">
        <v>0.32097470606022199</v>
      </c>
      <c r="J696" s="14">
        <v>0.282287694192698</v>
      </c>
      <c r="K696" s="14">
        <v>0.21137100942293399</v>
      </c>
      <c r="L696" s="14" t="s">
        <v>88</v>
      </c>
      <c r="M696" s="14"/>
      <c r="N696" s="14">
        <v>0.42271027860479399</v>
      </c>
      <c r="O696" s="14">
        <v>0.21039087017687799</v>
      </c>
      <c r="P696" s="14">
        <v>0.245430294193316</v>
      </c>
      <c r="Q696" s="14">
        <v>0.33291490423435599</v>
      </c>
      <c r="R696" s="14"/>
      <c r="S696" s="14">
        <v>0.42766098422806598</v>
      </c>
      <c r="T696" s="14">
        <v>0.34125731655702002</v>
      </c>
      <c r="U696" s="14">
        <v>0.32137474789956699</v>
      </c>
      <c r="V696" s="14">
        <v>0.225688606777603</v>
      </c>
      <c r="W696" s="14">
        <v>0.35156656769651201</v>
      </c>
      <c r="X696" s="14">
        <v>0.40100631743098902</v>
      </c>
      <c r="Y696" s="14">
        <v>0.236947095580543</v>
      </c>
      <c r="Z696" s="14">
        <v>9.0412004643222493E-2</v>
      </c>
      <c r="AA696" s="14">
        <v>0.23835229913401501</v>
      </c>
      <c r="AB696" s="14"/>
      <c r="AC696" s="14">
        <v>0.185171518077967</v>
      </c>
      <c r="AD696" s="14">
        <v>0.29474940256682097</v>
      </c>
      <c r="AE696" s="14">
        <v>0.297329086485077</v>
      </c>
      <c r="AF696" s="14">
        <v>0.48248956597683101</v>
      </c>
      <c r="AG696" s="14">
        <v>0.578849553946849</v>
      </c>
      <c r="AH696" s="14"/>
      <c r="AI696" s="14">
        <v>0.37074350012634499</v>
      </c>
      <c r="AJ696" s="14">
        <v>0.35040764309313599</v>
      </c>
      <c r="AK696" s="14">
        <v>0.21490627527602399</v>
      </c>
      <c r="AL696" s="14">
        <v>0.19076378440159</v>
      </c>
      <c r="AM696" s="14">
        <v>0.32415518097291501</v>
      </c>
      <c r="AN696" s="14">
        <v>0.220379326491775</v>
      </c>
      <c r="AO696" s="14"/>
      <c r="AP696" s="14">
        <v>0.35158105344530199</v>
      </c>
      <c r="AQ696" s="14">
        <v>0.27204251835065901</v>
      </c>
      <c r="AR696" s="14"/>
      <c r="AS696" s="14">
        <v>0.31030312058153797</v>
      </c>
      <c r="AT696" s="14" t="s">
        <v>88</v>
      </c>
      <c r="AU696" s="14">
        <v>0</v>
      </c>
      <c r="AV696" s="14"/>
      <c r="AW696" s="14">
        <v>0.28161688262100398</v>
      </c>
      <c r="AX696" s="14">
        <v>0.47059623799850903</v>
      </c>
      <c r="AY696" s="14"/>
      <c r="AZ696" s="14">
        <v>0.33773695866744502</v>
      </c>
      <c r="BA696" s="14">
        <v>0.17659750931541601</v>
      </c>
    </row>
    <row r="697" spans="2:53" x14ac:dyDescent="0.35">
      <c r="B697" t="s">
        <v>236</v>
      </c>
      <c r="C697" s="14">
        <v>0.44248875565022</v>
      </c>
      <c r="D697" s="14">
        <v>0.40283687118997302</v>
      </c>
      <c r="E697" s="14">
        <v>0.49221868882241498</v>
      </c>
      <c r="F697" s="14"/>
      <c r="G697" s="14">
        <v>0.68396952168381298</v>
      </c>
      <c r="H697" s="14">
        <v>0.43592183444004301</v>
      </c>
      <c r="I697" s="14">
        <v>0.39368256081165698</v>
      </c>
      <c r="J697" s="14">
        <v>0.51023347633021199</v>
      </c>
      <c r="K697" s="14">
        <v>0.78862899057706604</v>
      </c>
      <c r="L697" s="14" t="s">
        <v>88</v>
      </c>
      <c r="M697" s="14"/>
      <c r="N697" s="14">
        <v>0.446372312280364</v>
      </c>
      <c r="O697" s="14">
        <v>0.473528043508187</v>
      </c>
      <c r="P697" s="14">
        <v>0.422447437775682</v>
      </c>
      <c r="Q697" s="14">
        <v>0.414037785047983</v>
      </c>
      <c r="R697" s="14"/>
      <c r="S697" s="14">
        <v>0.391814483837296</v>
      </c>
      <c r="T697" s="14">
        <v>0.44376967317662902</v>
      </c>
      <c r="U697" s="14">
        <v>0.47795793465007302</v>
      </c>
      <c r="V697" s="14">
        <v>0.49769621737712899</v>
      </c>
      <c r="W697" s="14">
        <v>0.51834042592504503</v>
      </c>
      <c r="X697" s="14">
        <v>0.31616699395625603</v>
      </c>
      <c r="Y697" s="14">
        <v>0.397465794598994</v>
      </c>
      <c r="Z697" s="14">
        <v>0.44879996114944098</v>
      </c>
      <c r="AA697" s="14">
        <v>0.46452372442287598</v>
      </c>
      <c r="AB697" s="14"/>
      <c r="AC697" s="14">
        <v>0.47826727532855301</v>
      </c>
      <c r="AD697" s="14">
        <v>0.38154730559616601</v>
      </c>
      <c r="AE697" s="14">
        <v>0.49135038493218097</v>
      </c>
      <c r="AF697" s="14">
        <v>0.40937055930338501</v>
      </c>
      <c r="AG697" s="14">
        <v>0.29937925042676</v>
      </c>
      <c r="AH697" s="14"/>
      <c r="AI697" s="14">
        <v>0.43544515218400698</v>
      </c>
      <c r="AJ697" s="14">
        <v>0.38433328942176298</v>
      </c>
      <c r="AK697" s="14">
        <v>0.58440703438500297</v>
      </c>
      <c r="AL697" s="14">
        <v>0.39800998004120802</v>
      </c>
      <c r="AM697" s="14">
        <v>0.35585316237250503</v>
      </c>
      <c r="AN697" s="14">
        <v>0.60946734899489097</v>
      </c>
      <c r="AO697" s="14"/>
      <c r="AP697" s="14">
        <v>0.45923574483750002</v>
      </c>
      <c r="AQ697" s="14">
        <v>0.427516639282296</v>
      </c>
      <c r="AR697" s="14"/>
      <c r="AS697" s="14">
        <v>0.44119817231945702</v>
      </c>
      <c r="AT697" s="14" t="s">
        <v>88</v>
      </c>
      <c r="AU697" s="14">
        <v>1</v>
      </c>
      <c r="AV697" s="14"/>
      <c r="AW697" s="14">
        <v>0.44119412344000303</v>
      </c>
      <c r="AX697" s="14">
        <v>0.41880382987419101</v>
      </c>
      <c r="AY697" s="14"/>
      <c r="AZ697" s="14">
        <v>0.443420012565997</v>
      </c>
      <c r="BA697" s="14">
        <v>0.43808929992641099</v>
      </c>
    </row>
    <row r="698" spans="2:53" x14ac:dyDescent="0.35">
      <c r="B698" t="s">
        <v>237</v>
      </c>
      <c r="C698" s="14">
        <v>0.19572745560193</v>
      </c>
      <c r="D698" s="14">
        <v>0.218060064377465</v>
      </c>
      <c r="E698" s="14">
        <v>0.167718720151247</v>
      </c>
      <c r="F698" s="14"/>
      <c r="G698" s="14">
        <v>0</v>
      </c>
      <c r="H698" s="14">
        <v>0.18501722913135199</v>
      </c>
      <c r="I698" s="14">
        <v>0.22993542651264601</v>
      </c>
      <c r="J698" s="14">
        <v>0.17185169710204701</v>
      </c>
      <c r="K698" s="14">
        <v>0</v>
      </c>
      <c r="L698" s="14" t="s">
        <v>88</v>
      </c>
      <c r="M698" s="14"/>
      <c r="N698" s="14">
        <v>0.10606472229284999</v>
      </c>
      <c r="O698" s="14">
        <v>0.25923971768063597</v>
      </c>
      <c r="P698" s="14">
        <v>0.239145078602645</v>
      </c>
      <c r="Q698" s="14">
        <v>0.20274295718836799</v>
      </c>
      <c r="R698" s="14"/>
      <c r="S698" s="14">
        <v>0.155357657942155</v>
      </c>
      <c r="T698" s="14">
        <v>0.21497301026634999</v>
      </c>
      <c r="U698" s="14">
        <v>0.12820824980815601</v>
      </c>
      <c r="V698" s="14">
        <v>0.240113386739776</v>
      </c>
      <c r="W698" s="14">
        <v>0.13009300637844201</v>
      </c>
      <c r="X698" s="14">
        <v>0.18949124947545801</v>
      </c>
      <c r="Y698" s="14">
        <v>0.31574403958882602</v>
      </c>
      <c r="Z698" s="14">
        <v>0.39583624369244802</v>
      </c>
      <c r="AA698" s="14">
        <v>0.13458589007445501</v>
      </c>
      <c r="AB698" s="14"/>
      <c r="AC698" s="14">
        <v>0.33656120659347999</v>
      </c>
      <c r="AD698" s="14">
        <v>0.27238526916994699</v>
      </c>
      <c r="AE698" s="14">
        <v>0.12952390812151701</v>
      </c>
      <c r="AF698" s="14">
        <v>0.104299394812247</v>
      </c>
      <c r="AG698" s="14">
        <v>0.12177119562639099</v>
      </c>
      <c r="AH698" s="14"/>
      <c r="AI698" s="14">
        <v>0.15458291919275</v>
      </c>
      <c r="AJ698" s="14">
        <v>0.24559612462629399</v>
      </c>
      <c r="AK698" s="14">
        <v>0.13433054653380899</v>
      </c>
      <c r="AL698" s="14">
        <v>0.381292879031571</v>
      </c>
      <c r="AM698" s="14">
        <v>0.113513309475978</v>
      </c>
      <c r="AN698" s="14">
        <v>5.86116982588408E-2</v>
      </c>
      <c r="AO698" s="14"/>
      <c r="AP698" s="14">
        <v>0.14616092256470201</v>
      </c>
      <c r="AQ698" s="14">
        <v>0.240040847835539</v>
      </c>
      <c r="AR698" s="14"/>
      <c r="AS698" s="14">
        <v>0.19618054528242099</v>
      </c>
      <c r="AT698" s="14" t="s">
        <v>88</v>
      </c>
      <c r="AU698" s="14">
        <v>0</v>
      </c>
      <c r="AV698" s="14"/>
      <c r="AW698" s="14">
        <v>0.216786520977685</v>
      </c>
      <c r="AX698" s="14">
        <v>0.110599932127299</v>
      </c>
      <c r="AY698" s="14"/>
      <c r="AZ698" s="14">
        <v>0.19062180197808901</v>
      </c>
      <c r="BA698" s="14">
        <v>0.21984764915823199</v>
      </c>
    </row>
    <row r="699" spans="2:53" x14ac:dyDescent="0.35">
      <c r="B699" t="s">
        <v>238</v>
      </c>
      <c r="C699" s="14">
        <v>1.71262633547253E-2</v>
      </c>
      <c r="D699" s="14">
        <v>5.6268084136576199E-3</v>
      </c>
      <c r="E699" s="14">
        <v>3.1548456234594298E-2</v>
      </c>
      <c r="F699" s="14"/>
      <c r="G699" s="14">
        <v>0</v>
      </c>
      <c r="H699" s="14">
        <v>1.31544999143833E-2</v>
      </c>
      <c r="I699" s="14">
        <v>2.5743384309667001E-2</v>
      </c>
      <c r="J699" s="14">
        <v>0</v>
      </c>
      <c r="K699" s="14">
        <v>0</v>
      </c>
      <c r="L699" s="14" t="s">
        <v>88</v>
      </c>
      <c r="M699" s="14"/>
      <c r="N699" s="14">
        <v>1.01518032560566E-2</v>
      </c>
      <c r="O699" s="14">
        <v>9.9987429547698393E-3</v>
      </c>
      <c r="P699" s="14">
        <v>3.89458309500244E-2</v>
      </c>
      <c r="Q699" s="14">
        <v>1.7794278600250801E-2</v>
      </c>
      <c r="R699" s="14"/>
      <c r="S699" s="14">
        <v>0</v>
      </c>
      <c r="T699" s="14">
        <v>0</v>
      </c>
      <c r="U699" s="14">
        <v>0</v>
      </c>
      <c r="V699" s="14">
        <v>0</v>
      </c>
      <c r="W699" s="14">
        <v>0</v>
      </c>
      <c r="X699" s="14">
        <v>6.1077931681919703E-2</v>
      </c>
      <c r="Y699" s="14">
        <v>4.1985935459593601E-2</v>
      </c>
      <c r="Z699" s="14">
        <v>6.4951790514888405E-2</v>
      </c>
      <c r="AA699" s="14">
        <v>5.3122397537697402E-2</v>
      </c>
      <c r="AB699" s="14"/>
      <c r="AC699" s="14">
        <v>0</v>
      </c>
      <c r="AD699" s="14">
        <v>3.2728786989244203E-2</v>
      </c>
      <c r="AE699" s="14">
        <v>1.8947076360152301E-2</v>
      </c>
      <c r="AF699" s="14">
        <v>0</v>
      </c>
      <c r="AG699" s="14">
        <v>0</v>
      </c>
      <c r="AH699" s="14"/>
      <c r="AI699" s="14">
        <v>1.8471470861994799E-2</v>
      </c>
      <c r="AJ699" s="14">
        <v>1.9662942858807E-2</v>
      </c>
      <c r="AK699" s="14">
        <v>0</v>
      </c>
      <c r="AL699" s="14">
        <v>2.9933356525631099E-2</v>
      </c>
      <c r="AM699" s="14">
        <v>6.3055316250642895E-2</v>
      </c>
      <c r="AN699" s="14">
        <v>0</v>
      </c>
      <c r="AO699" s="14"/>
      <c r="AP699" s="14">
        <v>1.39348264265526E-2</v>
      </c>
      <c r="AQ699" s="14">
        <v>1.99794666699687E-2</v>
      </c>
      <c r="AR699" s="14"/>
      <c r="AS699" s="14">
        <v>1.7165908958698101E-2</v>
      </c>
      <c r="AT699" s="14" t="s">
        <v>88</v>
      </c>
      <c r="AU699" s="14">
        <v>0</v>
      </c>
      <c r="AV699" s="14"/>
      <c r="AW699" s="14">
        <v>2.3004885921747101E-2</v>
      </c>
      <c r="AX699" s="14">
        <v>0</v>
      </c>
      <c r="AY699" s="14"/>
      <c r="AZ699" s="14">
        <v>3.7932995741365998E-3</v>
      </c>
      <c r="BA699" s="14">
        <v>8.0114019822428995E-2</v>
      </c>
    </row>
    <row r="700" spans="2:53" x14ac:dyDescent="0.35">
      <c r="B700" t="s">
        <v>116</v>
      </c>
      <c r="C700" s="14">
        <v>3.5071066810650503E-2</v>
      </c>
      <c r="D700" s="14">
        <v>3.0220526820981398E-2</v>
      </c>
      <c r="E700" s="14">
        <v>4.1154435427774701E-2</v>
      </c>
      <c r="F700" s="14"/>
      <c r="G700" s="14">
        <v>0</v>
      </c>
      <c r="H700" s="14">
        <v>5.0670483903241303E-2</v>
      </c>
      <c r="I700" s="14">
        <v>2.9663922305807701E-2</v>
      </c>
      <c r="J700" s="14">
        <v>3.5627132375042503E-2</v>
      </c>
      <c r="K700" s="14">
        <v>0</v>
      </c>
      <c r="L700" s="14" t="s">
        <v>88</v>
      </c>
      <c r="M700" s="14"/>
      <c r="N700" s="14">
        <v>1.4700883565935701E-2</v>
      </c>
      <c r="O700" s="14">
        <v>4.6842625679529001E-2</v>
      </c>
      <c r="P700" s="14">
        <v>5.4031358478331501E-2</v>
      </c>
      <c r="Q700" s="14">
        <v>3.2510074929041601E-2</v>
      </c>
      <c r="R700" s="14"/>
      <c r="S700" s="14">
        <v>2.5166873992483699E-2</v>
      </c>
      <c r="T700" s="14">
        <v>0</v>
      </c>
      <c r="U700" s="14">
        <v>7.2459067642204403E-2</v>
      </c>
      <c r="V700" s="14">
        <v>3.6501789105491803E-2</v>
      </c>
      <c r="W700" s="14">
        <v>0</v>
      </c>
      <c r="X700" s="14">
        <v>3.2257507455378101E-2</v>
      </c>
      <c r="Y700" s="14">
        <v>7.8571347720425705E-3</v>
      </c>
      <c r="Z700" s="14">
        <v>0</v>
      </c>
      <c r="AA700" s="14">
        <v>0.109415688830956</v>
      </c>
      <c r="AB700" s="14"/>
      <c r="AC700" s="14">
        <v>0</v>
      </c>
      <c r="AD700" s="14">
        <v>1.8589235677821499E-2</v>
      </c>
      <c r="AE700" s="14">
        <v>6.2849544101073795E-2</v>
      </c>
      <c r="AF700" s="14">
        <v>3.84047990753681E-3</v>
      </c>
      <c r="AG700" s="14">
        <v>0</v>
      </c>
      <c r="AH700" s="14"/>
      <c r="AI700" s="14">
        <v>2.0756957634902901E-2</v>
      </c>
      <c r="AJ700" s="14">
        <v>0</v>
      </c>
      <c r="AK700" s="14">
        <v>6.6356143805163706E-2</v>
      </c>
      <c r="AL700" s="14">
        <v>0</v>
      </c>
      <c r="AM700" s="14">
        <v>0.14342303092795999</v>
      </c>
      <c r="AN700" s="14">
        <v>0.111541626254493</v>
      </c>
      <c r="AO700" s="14"/>
      <c r="AP700" s="14">
        <v>2.90874527259436E-2</v>
      </c>
      <c r="AQ700" s="14">
        <v>4.0420527861537603E-2</v>
      </c>
      <c r="AR700" s="14"/>
      <c r="AS700" s="14">
        <v>3.5152252857885598E-2</v>
      </c>
      <c r="AT700" s="14" t="s">
        <v>88</v>
      </c>
      <c r="AU700" s="14">
        <v>0</v>
      </c>
      <c r="AV700" s="14"/>
      <c r="AW700" s="14">
        <v>3.7397587039560302E-2</v>
      </c>
      <c r="AX700" s="14">
        <v>0</v>
      </c>
      <c r="AY700" s="14"/>
      <c r="AZ700" s="14">
        <v>2.4427927214331999E-2</v>
      </c>
      <c r="BA700" s="14">
        <v>8.5351521777511694E-2</v>
      </c>
    </row>
    <row r="701" spans="2:53" x14ac:dyDescent="0.35"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</row>
    <row r="702" spans="2:53" x14ac:dyDescent="0.35">
      <c r="B702" s="6" t="s">
        <v>261</v>
      </c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</row>
    <row r="703" spans="2:53" x14ac:dyDescent="0.35">
      <c r="B703" s="24" t="s">
        <v>219</v>
      </c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</row>
    <row r="704" spans="2:53" x14ac:dyDescent="0.35">
      <c r="B704" t="s">
        <v>220</v>
      </c>
      <c r="C704" s="14">
        <v>0.57041087494258402</v>
      </c>
      <c r="D704" s="14">
        <v>0.64388037157473299</v>
      </c>
      <c r="E704" s="14">
        <v>0.47826813803497098</v>
      </c>
      <c r="F704" s="14"/>
      <c r="G704" s="14">
        <v>0.73233461028976199</v>
      </c>
      <c r="H704" s="14">
        <v>0.62548131285454001</v>
      </c>
      <c r="I704" s="14">
        <v>0.54420940022783304</v>
      </c>
      <c r="J704" s="14">
        <v>0.48708357137885999</v>
      </c>
      <c r="K704" s="14">
        <v>0.69576719247051799</v>
      </c>
      <c r="L704" s="14" t="s">
        <v>88</v>
      </c>
      <c r="M704" s="14"/>
      <c r="N704" s="14">
        <v>0.62880853170277196</v>
      </c>
      <c r="O704" s="14">
        <v>0.50833912780224899</v>
      </c>
      <c r="P704" s="14">
        <v>0.55720876404393205</v>
      </c>
      <c r="Q704" s="14">
        <v>0.57981124172364895</v>
      </c>
      <c r="R704" s="14"/>
      <c r="S704" s="14">
        <v>0.57381255283754895</v>
      </c>
      <c r="T704" s="14">
        <v>0.57095831546963705</v>
      </c>
      <c r="U704" s="14">
        <v>0.622541138960226</v>
      </c>
      <c r="V704" s="14">
        <v>0.51536069395067197</v>
      </c>
      <c r="W704" s="14">
        <v>0.68892453768776096</v>
      </c>
      <c r="X704" s="14">
        <v>0.49133119909116302</v>
      </c>
      <c r="Y704" s="14">
        <v>0.53829413712750895</v>
      </c>
      <c r="Z704" s="14">
        <v>0.61501683613913305</v>
      </c>
      <c r="AA704" s="14">
        <v>0.53495708691978106</v>
      </c>
      <c r="AB704" s="14"/>
      <c r="AC704" s="14">
        <v>0.71995303390849197</v>
      </c>
      <c r="AD704" s="14">
        <v>0.46753333029378902</v>
      </c>
      <c r="AE704" s="14">
        <v>0.50079874233754196</v>
      </c>
      <c r="AF704" s="14">
        <v>0.61548103989045999</v>
      </c>
      <c r="AG704" s="14">
        <v>0.70321263772167697</v>
      </c>
      <c r="AH704" s="14"/>
      <c r="AI704" s="14">
        <v>0.56793641928414296</v>
      </c>
      <c r="AJ704" s="14">
        <v>0.55885091587888802</v>
      </c>
      <c r="AK704" s="14">
        <v>0.62385184965479501</v>
      </c>
      <c r="AL704" s="14">
        <v>0.63304807652471995</v>
      </c>
      <c r="AM704" s="14">
        <v>0.62356212536224798</v>
      </c>
      <c r="AN704" s="14">
        <v>0.55127027072606405</v>
      </c>
      <c r="AO704" s="14"/>
      <c r="AP704" s="14">
        <v>0.64274412531534197</v>
      </c>
      <c r="AQ704" s="14">
        <v>0.50574361865309503</v>
      </c>
      <c r="AR704" s="14"/>
      <c r="AS704" s="14">
        <v>0.56941641865224901</v>
      </c>
      <c r="AT704" s="14" t="s">
        <v>88</v>
      </c>
      <c r="AU704" s="14">
        <v>1</v>
      </c>
      <c r="AV704" s="14"/>
      <c r="AW704" s="14">
        <v>0.56499236463694602</v>
      </c>
      <c r="AX704" s="14">
        <v>0.61034624443009999</v>
      </c>
      <c r="AY704" s="14"/>
      <c r="AZ704" s="14">
        <v>0.58855020266330604</v>
      </c>
      <c r="BA704" s="14">
        <v>0.48471683303539798</v>
      </c>
    </row>
    <row r="705" spans="2:53" x14ac:dyDescent="0.35">
      <c r="B705" t="s">
        <v>221</v>
      </c>
      <c r="C705" s="14">
        <v>0.33094951034859899</v>
      </c>
      <c r="D705" s="14">
        <v>0.268712453493266</v>
      </c>
      <c r="E705" s="14">
        <v>0.40900493496159002</v>
      </c>
      <c r="F705" s="14"/>
      <c r="G705" s="14">
        <v>0</v>
      </c>
      <c r="H705" s="14">
        <v>0.29348407473676402</v>
      </c>
      <c r="I705" s="14">
        <v>0.36533222130981202</v>
      </c>
      <c r="J705" s="14">
        <v>0.36579050342740399</v>
      </c>
      <c r="K705" s="14">
        <v>0.19348803637276701</v>
      </c>
      <c r="L705" s="14" t="s">
        <v>88</v>
      </c>
      <c r="M705" s="14"/>
      <c r="N705" s="14">
        <v>0.28452318702393298</v>
      </c>
      <c r="O705" s="14">
        <v>0.327741914816574</v>
      </c>
      <c r="P705" s="14">
        <v>0.328658745127063</v>
      </c>
      <c r="Q705" s="14">
        <v>0.40133304806019099</v>
      </c>
      <c r="R705" s="14"/>
      <c r="S705" s="14">
        <v>0.35727818002871797</v>
      </c>
      <c r="T705" s="14">
        <v>0.29118823978258002</v>
      </c>
      <c r="U705" s="14">
        <v>0.268316517742478</v>
      </c>
      <c r="V705" s="14">
        <v>0.305336778512384</v>
      </c>
      <c r="W705" s="14">
        <v>0.31107546231223898</v>
      </c>
      <c r="X705" s="14">
        <v>0.37219233684647601</v>
      </c>
      <c r="Y705" s="14">
        <v>0.37753292378124798</v>
      </c>
      <c r="Z705" s="14">
        <v>0.33910591149541403</v>
      </c>
      <c r="AA705" s="14">
        <v>0.38985138227899202</v>
      </c>
      <c r="AB705" s="14"/>
      <c r="AC705" s="14">
        <v>0.23731703284654401</v>
      </c>
      <c r="AD705" s="14">
        <v>0.39946847947210901</v>
      </c>
      <c r="AE705" s="14">
        <v>0.38013902012064299</v>
      </c>
      <c r="AF705" s="14">
        <v>0.33395824254165202</v>
      </c>
      <c r="AG705" s="14">
        <v>0.179976826298064</v>
      </c>
      <c r="AH705" s="14"/>
      <c r="AI705" s="14">
        <v>0.35877287295833499</v>
      </c>
      <c r="AJ705" s="14">
        <v>0.31557780875226898</v>
      </c>
      <c r="AK705" s="14">
        <v>0.238976324536784</v>
      </c>
      <c r="AL705" s="14">
        <v>0.295979574899498</v>
      </c>
      <c r="AM705" s="14">
        <v>0.21238151382004899</v>
      </c>
      <c r="AN705" s="14">
        <v>0.36288687715669998</v>
      </c>
      <c r="AO705" s="14"/>
      <c r="AP705" s="14">
        <v>0.26270553474223002</v>
      </c>
      <c r="AQ705" s="14">
        <v>0.39196087978116601</v>
      </c>
      <c r="AR705" s="14"/>
      <c r="AS705" s="14">
        <v>0.33171562569731899</v>
      </c>
      <c r="AT705" s="14" t="s">
        <v>88</v>
      </c>
      <c r="AU705" s="14">
        <v>0</v>
      </c>
      <c r="AV705" s="14"/>
      <c r="AW705" s="14">
        <v>0.34015181212356599</v>
      </c>
      <c r="AX705" s="14">
        <v>0.257690395269777</v>
      </c>
      <c r="AY705" s="14"/>
      <c r="AZ705" s="14">
        <v>0.326445014701853</v>
      </c>
      <c r="BA705" s="14">
        <v>0.35222970577072998</v>
      </c>
    </row>
    <row r="706" spans="2:53" x14ac:dyDescent="0.35">
      <c r="B706" t="s">
        <v>222</v>
      </c>
      <c r="C706" s="14">
        <v>3.1960278388247797E-2</v>
      </c>
      <c r="D706" s="14">
        <v>1.9015058007929901E-2</v>
      </c>
      <c r="E706" s="14">
        <v>4.8195697036709499E-2</v>
      </c>
      <c r="F706" s="14"/>
      <c r="G706" s="14">
        <v>0</v>
      </c>
      <c r="H706" s="14">
        <v>1.14579248907029E-2</v>
      </c>
      <c r="I706" s="14">
        <v>3.72555834038822E-2</v>
      </c>
      <c r="J706" s="14">
        <v>7.2394547590367606E-2</v>
      </c>
      <c r="K706" s="14">
        <v>0</v>
      </c>
      <c r="L706" s="14" t="s">
        <v>88</v>
      </c>
      <c r="M706" s="14"/>
      <c r="N706" s="14">
        <v>4.1765076821388698E-2</v>
      </c>
      <c r="O706" s="14">
        <v>5.4947501373694099E-2</v>
      </c>
      <c r="P706" s="14">
        <v>1.8661829620639701E-2</v>
      </c>
      <c r="Q706" s="14">
        <v>0</v>
      </c>
      <c r="R706" s="14"/>
      <c r="S706" s="14">
        <v>1.8817833007252701E-2</v>
      </c>
      <c r="T706" s="14">
        <v>3.7513282401068597E-2</v>
      </c>
      <c r="U706" s="14">
        <v>2.9994142689125401E-2</v>
      </c>
      <c r="V706" s="14">
        <v>5.1564426250653203E-2</v>
      </c>
      <c r="W706" s="14">
        <v>0</v>
      </c>
      <c r="X706" s="14">
        <v>0.104218959177818</v>
      </c>
      <c r="Y706" s="14">
        <v>4.1985936237479198E-2</v>
      </c>
      <c r="Z706" s="14">
        <v>0</v>
      </c>
      <c r="AA706" s="14">
        <v>2.2217331950190201E-2</v>
      </c>
      <c r="AB706" s="14"/>
      <c r="AC706" s="14">
        <v>0</v>
      </c>
      <c r="AD706" s="14">
        <v>4.99388088586585E-2</v>
      </c>
      <c r="AE706" s="14">
        <v>2.6371365700403E-2</v>
      </c>
      <c r="AF706" s="14">
        <v>3.97388812235056E-2</v>
      </c>
      <c r="AG706" s="14">
        <v>0</v>
      </c>
      <c r="AH706" s="14"/>
      <c r="AI706" s="14">
        <v>1.62575326470339E-2</v>
      </c>
      <c r="AJ706" s="14">
        <v>5.3207680372244999E-2</v>
      </c>
      <c r="AK706" s="14">
        <v>2.72388402745097E-2</v>
      </c>
      <c r="AL706" s="14">
        <v>0</v>
      </c>
      <c r="AM706" s="14">
        <v>5.7299772449440997E-2</v>
      </c>
      <c r="AN706" s="14">
        <v>5.7757655668653499E-2</v>
      </c>
      <c r="AO706" s="14"/>
      <c r="AP706" s="14">
        <v>3.7716848264363001E-2</v>
      </c>
      <c r="AQ706" s="14">
        <v>2.6813799035962399E-2</v>
      </c>
      <c r="AR706" s="14"/>
      <c r="AS706" s="14">
        <v>3.2034263268288302E-2</v>
      </c>
      <c r="AT706" s="14" t="s">
        <v>88</v>
      </c>
      <c r="AU706" s="14">
        <v>0</v>
      </c>
      <c r="AV706" s="14"/>
      <c r="AW706" s="14">
        <v>3.6570832841576403E-2</v>
      </c>
      <c r="AX706" s="14">
        <v>2.2296091575056302E-2</v>
      </c>
      <c r="AY706" s="14"/>
      <c r="AZ706" s="14">
        <v>2.7268648679837599E-2</v>
      </c>
      <c r="BA706" s="14">
        <v>5.4124534916134399E-2</v>
      </c>
    </row>
    <row r="707" spans="2:53" x14ac:dyDescent="0.35">
      <c r="B707" t="s">
        <v>223</v>
      </c>
      <c r="C707" s="14">
        <v>1.2860068690737801E-2</v>
      </c>
      <c r="D707" s="14">
        <v>1.3756912891543901E-2</v>
      </c>
      <c r="E707" s="14">
        <v>1.17352797234776E-2</v>
      </c>
      <c r="F707" s="14"/>
      <c r="G707" s="14">
        <v>0</v>
      </c>
      <c r="H707" s="14">
        <v>3.39516667627889E-2</v>
      </c>
      <c r="I707" s="14">
        <v>5.1731060199895398E-3</v>
      </c>
      <c r="J707" s="14">
        <v>0</v>
      </c>
      <c r="K707" s="14">
        <v>0</v>
      </c>
      <c r="L707" s="14" t="s">
        <v>88</v>
      </c>
      <c r="M707" s="14"/>
      <c r="N707" s="14">
        <v>0</v>
      </c>
      <c r="O707" s="14">
        <v>1.82974887538777E-2</v>
      </c>
      <c r="P707" s="14">
        <v>4.1439308136457298E-2</v>
      </c>
      <c r="Q707" s="14">
        <v>0</v>
      </c>
      <c r="R707" s="14"/>
      <c r="S707" s="14">
        <v>0</v>
      </c>
      <c r="T707" s="14">
        <v>0</v>
      </c>
      <c r="U707" s="14">
        <v>0</v>
      </c>
      <c r="V707" s="14">
        <v>5.9704290515780398E-2</v>
      </c>
      <c r="W707" s="14">
        <v>0</v>
      </c>
      <c r="X707" s="14">
        <v>0</v>
      </c>
      <c r="Y707" s="14">
        <v>3.43298680817214E-2</v>
      </c>
      <c r="Z707" s="14">
        <v>4.5877252365452197E-2</v>
      </c>
      <c r="AA707" s="14">
        <v>0</v>
      </c>
      <c r="AB707" s="14"/>
      <c r="AC707" s="14">
        <v>0</v>
      </c>
      <c r="AD707" s="14">
        <v>3.8005039819757801E-2</v>
      </c>
      <c r="AE707" s="14">
        <v>6.8426112539953501E-3</v>
      </c>
      <c r="AF707" s="14">
        <v>0</v>
      </c>
      <c r="AG707" s="14">
        <v>0</v>
      </c>
      <c r="AH707" s="14"/>
      <c r="AI707" s="14">
        <v>7.1860592230894001E-3</v>
      </c>
      <c r="AJ707" s="14">
        <v>4.3662318462841403E-2</v>
      </c>
      <c r="AK707" s="14">
        <v>0</v>
      </c>
      <c r="AL707" s="14">
        <v>2.0451432143588098E-2</v>
      </c>
      <c r="AM707" s="14">
        <v>0</v>
      </c>
      <c r="AN707" s="14">
        <v>0</v>
      </c>
      <c r="AO707" s="14"/>
      <c r="AP707" s="14">
        <v>1.10292462720115E-2</v>
      </c>
      <c r="AQ707" s="14">
        <v>1.4496857608174599E-2</v>
      </c>
      <c r="AR707" s="14"/>
      <c r="AS707" s="14">
        <v>1.2889838476464801E-2</v>
      </c>
      <c r="AT707" s="14" t="s">
        <v>88</v>
      </c>
      <c r="AU707" s="14">
        <v>0</v>
      </c>
      <c r="AV707" s="14"/>
      <c r="AW707" s="14">
        <v>6.9930327467477198E-3</v>
      </c>
      <c r="AX707" s="14">
        <v>3.6043545643462897E-2</v>
      </c>
      <c r="AY707" s="14"/>
      <c r="AZ707" s="14">
        <v>1.2375787801146799E-2</v>
      </c>
      <c r="BA707" s="14">
        <v>1.51479146068821E-2</v>
      </c>
    </row>
    <row r="708" spans="2:53" x14ac:dyDescent="0.35">
      <c r="B708" t="s">
        <v>116</v>
      </c>
      <c r="C708" s="14">
        <v>1.32459046466319E-2</v>
      </c>
      <c r="D708" s="14">
        <v>1.7225754715654001E-2</v>
      </c>
      <c r="E708" s="14">
        <v>8.2545232618141794E-3</v>
      </c>
      <c r="F708" s="14"/>
      <c r="G708" s="14">
        <v>0</v>
      </c>
      <c r="H708" s="14">
        <v>1.9474474900554701E-3</v>
      </c>
      <c r="I708" s="14">
        <v>1.5652182274546102E-2</v>
      </c>
      <c r="J708" s="14">
        <v>3.5627132375042503E-2</v>
      </c>
      <c r="K708" s="14">
        <v>0</v>
      </c>
      <c r="L708" s="14" t="s">
        <v>88</v>
      </c>
      <c r="M708" s="14"/>
      <c r="N708" s="14">
        <v>1.8997810930962999E-3</v>
      </c>
      <c r="O708" s="14">
        <v>4.44957727172249E-2</v>
      </c>
      <c r="P708" s="14">
        <v>0</v>
      </c>
      <c r="Q708" s="14">
        <v>0</v>
      </c>
      <c r="R708" s="14"/>
      <c r="S708" s="14">
        <v>2.5166873992483699E-2</v>
      </c>
      <c r="T708" s="14">
        <v>1.9035155048568699E-2</v>
      </c>
      <c r="U708" s="14">
        <v>0</v>
      </c>
      <c r="V708" s="14">
        <v>0</v>
      </c>
      <c r="W708" s="14">
        <v>0</v>
      </c>
      <c r="X708" s="14">
        <v>0</v>
      </c>
      <c r="Y708" s="14">
        <v>7.8571347720425705E-3</v>
      </c>
      <c r="Z708" s="14">
        <v>0</v>
      </c>
      <c r="AA708" s="14">
        <v>3.6339865763226897E-2</v>
      </c>
      <c r="AB708" s="14"/>
      <c r="AC708" s="14">
        <v>0</v>
      </c>
      <c r="AD708" s="14">
        <v>0</v>
      </c>
      <c r="AE708" s="14">
        <v>3.3842162387872403E-2</v>
      </c>
      <c r="AF708" s="14">
        <v>3.84047990753681E-3</v>
      </c>
      <c r="AG708" s="14">
        <v>0</v>
      </c>
      <c r="AH708" s="14"/>
      <c r="AI708" s="14">
        <v>2.3333649233159299E-2</v>
      </c>
      <c r="AJ708" s="14">
        <v>0</v>
      </c>
      <c r="AK708" s="14">
        <v>3.6771439666836603E-2</v>
      </c>
      <c r="AL708" s="14">
        <v>0</v>
      </c>
      <c r="AM708" s="14">
        <v>0</v>
      </c>
      <c r="AN708" s="14">
        <v>0</v>
      </c>
      <c r="AO708" s="14"/>
      <c r="AP708" s="14">
        <v>6.5167403841774199E-3</v>
      </c>
      <c r="AQ708" s="14">
        <v>1.9261901269647001E-2</v>
      </c>
      <c r="AR708" s="14"/>
      <c r="AS708" s="14">
        <v>1.3276567604394799E-2</v>
      </c>
      <c r="AT708" s="14" t="s">
        <v>88</v>
      </c>
      <c r="AU708" s="14">
        <v>0</v>
      </c>
      <c r="AV708" s="14"/>
      <c r="AW708" s="14">
        <v>1.77925866848259E-2</v>
      </c>
      <c r="AX708" s="14">
        <v>0</v>
      </c>
      <c r="AY708" s="14"/>
      <c r="AZ708" s="14">
        <v>6.3480583650033203E-3</v>
      </c>
      <c r="BA708" s="14">
        <v>4.5832797470224E-2</v>
      </c>
    </row>
    <row r="709" spans="2:53" x14ac:dyDescent="0.35">
      <c r="B709" t="s">
        <v>224</v>
      </c>
      <c r="C709" s="14">
        <v>0.90136038529118301</v>
      </c>
      <c r="D709" s="14">
        <v>0.91259282506799899</v>
      </c>
      <c r="E709" s="14">
        <v>0.887273072996561</v>
      </c>
      <c r="F709" s="14"/>
      <c r="G709" s="14">
        <v>0.73233461028976199</v>
      </c>
      <c r="H709" s="14">
        <v>0.91896538759130397</v>
      </c>
      <c r="I709" s="14">
        <v>0.90954162153764495</v>
      </c>
      <c r="J709" s="14">
        <v>0.85287407480626298</v>
      </c>
      <c r="K709" s="14">
        <v>0.88925522884328501</v>
      </c>
      <c r="L709" s="14" t="s">
        <v>88</v>
      </c>
      <c r="M709" s="14"/>
      <c r="N709" s="14">
        <v>0.91333171872670404</v>
      </c>
      <c r="O709" s="14">
        <v>0.83608104261882299</v>
      </c>
      <c r="P709" s="14">
        <v>0.88586750917099399</v>
      </c>
      <c r="Q709" s="14">
        <v>0.98114428978384005</v>
      </c>
      <c r="R709" s="14"/>
      <c r="S709" s="14">
        <v>0.93109073286626698</v>
      </c>
      <c r="T709" s="14">
        <v>0.86214655525221795</v>
      </c>
      <c r="U709" s="14">
        <v>0.890857656702704</v>
      </c>
      <c r="V709" s="14">
        <v>0.82069747246305602</v>
      </c>
      <c r="W709" s="14">
        <v>1</v>
      </c>
      <c r="X709" s="14">
        <v>0.86352353593763997</v>
      </c>
      <c r="Y709" s="14">
        <v>0.91582706090875698</v>
      </c>
      <c r="Z709" s="14">
        <v>0.95412274763454796</v>
      </c>
      <c r="AA709" s="14">
        <v>0.92480846919877302</v>
      </c>
      <c r="AB709" s="14"/>
      <c r="AC709" s="14">
        <v>0.95727006675503701</v>
      </c>
      <c r="AD709" s="14">
        <v>0.86700180976589902</v>
      </c>
      <c r="AE709" s="14">
        <v>0.880937762458185</v>
      </c>
      <c r="AF709" s="14">
        <v>0.94943928243211295</v>
      </c>
      <c r="AG709" s="14">
        <v>0.88318946401974197</v>
      </c>
      <c r="AH709" s="14"/>
      <c r="AI709" s="14">
        <v>0.926709292242477</v>
      </c>
      <c r="AJ709" s="14">
        <v>0.87442872463115695</v>
      </c>
      <c r="AK709" s="14">
        <v>0.86282817419157898</v>
      </c>
      <c r="AL709" s="14">
        <v>0.92902765142421795</v>
      </c>
      <c r="AM709" s="14">
        <v>0.83594363918229697</v>
      </c>
      <c r="AN709" s="14">
        <v>0.91415714788276403</v>
      </c>
      <c r="AO709" s="14"/>
      <c r="AP709" s="14">
        <v>0.90544966005757199</v>
      </c>
      <c r="AQ709" s="14">
        <v>0.89770449843426103</v>
      </c>
      <c r="AR709" s="14"/>
      <c r="AS709" s="14">
        <v>0.90113204434956695</v>
      </c>
      <c r="AT709" s="14" t="s">
        <v>88</v>
      </c>
      <c r="AU709" s="14">
        <v>1</v>
      </c>
      <c r="AV709" s="14"/>
      <c r="AW709" s="14">
        <v>0.90514417676051295</v>
      </c>
      <c r="AX709" s="14">
        <v>0.86803663969987599</v>
      </c>
      <c r="AY709" s="14"/>
      <c r="AZ709" s="14">
        <v>0.91499521736515899</v>
      </c>
      <c r="BA709" s="14">
        <v>0.83694653880612802</v>
      </c>
    </row>
    <row r="710" spans="2:53" x14ac:dyDescent="0.35"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</row>
    <row r="711" spans="2:53" x14ac:dyDescent="0.35">
      <c r="B711" s="6" t="s">
        <v>262</v>
      </c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</row>
    <row r="712" spans="2:53" x14ac:dyDescent="0.35">
      <c r="B712" s="24" t="s">
        <v>213</v>
      </c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</row>
    <row r="713" spans="2:53" x14ac:dyDescent="0.35">
      <c r="B713" t="s">
        <v>154</v>
      </c>
      <c r="C713" s="14">
        <v>0.32288997149326798</v>
      </c>
      <c r="D713" s="14">
        <v>0.36754193595208901</v>
      </c>
      <c r="E713" s="14">
        <v>0.26616164655830798</v>
      </c>
      <c r="F713" s="14"/>
      <c r="G713" s="14">
        <v>0.470147227567073</v>
      </c>
      <c r="H713" s="14">
        <v>0.30068148539741102</v>
      </c>
      <c r="I713" s="14">
        <v>0.333710023201715</v>
      </c>
      <c r="J713" s="14">
        <v>0.30755245551958499</v>
      </c>
      <c r="K713" s="14">
        <v>0.31662840516276802</v>
      </c>
      <c r="L713" s="14" t="s">
        <v>88</v>
      </c>
      <c r="M713" s="14"/>
      <c r="N713" s="14">
        <v>0.37047766986441899</v>
      </c>
      <c r="O713" s="14">
        <v>0.25866401362499197</v>
      </c>
      <c r="P713" s="14">
        <v>0.30252737891777598</v>
      </c>
      <c r="Q713" s="14">
        <v>0.35353163827304501</v>
      </c>
      <c r="R713" s="14"/>
      <c r="S713" s="14">
        <v>0.45956223338673002</v>
      </c>
      <c r="T713" s="14">
        <v>0.291876356408308</v>
      </c>
      <c r="U713" s="14">
        <v>0.29986693118778501</v>
      </c>
      <c r="V713" s="14">
        <v>0.26118617112823</v>
      </c>
      <c r="W713" s="14">
        <v>0.40686241021108199</v>
      </c>
      <c r="X713" s="14">
        <v>0.26332852364496001</v>
      </c>
      <c r="Y713" s="14">
        <v>0.28906277332741998</v>
      </c>
      <c r="Z713" s="14">
        <v>0.16588190047012599</v>
      </c>
      <c r="AA713" s="14">
        <v>0.32258651260875698</v>
      </c>
      <c r="AB713" s="14"/>
      <c r="AC713" s="14">
        <v>0.16516082113929501</v>
      </c>
      <c r="AD713" s="14">
        <v>0.21434643611620799</v>
      </c>
      <c r="AE713" s="14">
        <v>0.36176444742862601</v>
      </c>
      <c r="AF713" s="14">
        <v>0.37117150563430901</v>
      </c>
      <c r="AG713" s="14">
        <v>0.490932978366805</v>
      </c>
      <c r="AH713" s="14"/>
      <c r="AI713" s="14">
        <v>0.29007564963743498</v>
      </c>
      <c r="AJ713" s="14">
        <v>0.31233641824570801</v>
      </c>
      <c r="AK713" s="14">
        <v>0.33684135707969698</v>
      </c>
      <c r="AL713" s="14">
        <v>0.44239057168638601</v>
      </c>
      <c r="AM713" s="14">
        <v>0.21678892007220901</v>
      </c>
      <c r="AN713" s="14">
        <v>0.49208613170930698</v>
      </c>
      <c r="AO713" s="14"/>
      <c r="AP713" s="14">
        <v>0.39834025184894101</v>
      </c>
      <c r="AQ713" s="14">
        <v>0.25626675499537199</v>
      </c>
      <c r="AR713" s="14"/>
      <c r="AS713" s="14">
        <v>0.32162618306162299</v>
      </c>
      <c r="AT713" s="14" t="s">
        <v>88</v>
      </c>
      <c r="AU713" s="14">
        <v>1</v>
      </c>
      <c r="AV713" s="14"/>
      <c r="AW713" s="14">
        <v>0.28907000277565498</v>
      </c>
      <c r="AX713" s="14">
        <v>0.456231364275622</v>
      </c>
      <c r="AY713" s="14"/>
      <c r="AZ713" s="14">
        <v>0.36220246655355398</v>
      </c>
      <c r="BA713" s="14">
        <v>0.15052674375776101</v>
      </c>
    </row>
    <row r="714" spans="2:53" x14ac:dyDescent="0.35">
      <c r="B714" t="s">
        <v>155</v>
      </c>
      <c r="C714" s="14">
        <v>0.54122673431511303</v>
      </c>
      <c r="D714" s="14">
        <v>0.52770640017069104</v>
      </c>
      <c r="E714" s="14">
        <v>0.55840371449660797</v>
      </c>
      <c r="F714" s="14"/>
      <c r="G714" s="14">
        <v>0.52985277243292705</v>
      </c>
      <c r="H714" s="14">
        <v>0.59834613393399405</v>
      </c>
      <c r="I714" s="14">
        <v>0.54541715660266399</v>
      </c>
      <c r="J714" s="14">
        <v>0.419208077576806</v>
      </c>
      <c r="K714" s="14">
        <v>0.50310203926812502</v>
      </c>
      <c r="L714" s="14" t="s">
        <v>88</v>
      </c>
      <c r="M714" s="14"/>
      <c r="N714" s="14">
        <v>0.56776772201107695</v>
      </c>
      <c r="O714" s="14">
        <v>0.60951053669157795</v>
      </c>
      <c r="P714" s="14">
        <v>0.49347818208156702</v>
      </c>
      <c r="Q714" s="14">
        <v>0.47311061733992299</v>
      </c>
      <c r="R714" s="14"/>
      <c r="S714" s="14">
        <v>0.41285902586701601</v>
      </c>
      <c r="T714" s="14">
        <v>0.62948750709530499</v>
      </c>
      <c r="U714" s="14">
        <v>0.43628734662996299</v>
      </c>
      <c r="V714" s="14">
        <v>0.61467137493252</v>
      </c>
      <c r="W714" s="14">
        <v>0.56217765718838597</v>
      </c>
      <c r="X714" s="14">
        <v>0.62034742362641204</v>
      </c>
      <c r="Y714" s="14">
        <v>0.56928510203863503</v>
      </c>
      <c r="Z714" s="14">
        <v>0.676681341994393</v>
      </c>
      <c r="AA714" s="14">
        <v>0.51446465329816005</v>
      </c>
      <c r="AB714" s="14"/>
      <c r="AC714" s="14">
        <v>0.60296901881976095</v>
      </c>
      <c r="AD714" s="14">
        <v>0.568478638253468</v>
      </c>
      <c r="AE714" s="14">
        <v>0.54823874678343898</v>
      </c>
      <c r="AF714" s="14">
        <v>0.53290942051401002</v>
      </c>
      <c r="AG714" s="14">
        <v>0.50906702163319495</v>
      </c>
      <c r="AH714" s="14"/>
      <c r="AI714" s="14">
        <v>0.59949070273721405</v>
      </c>
      <c r="AJ714" s="14">
        <v>0.599779504198379</v>
      </c>
      <c r="AK714" s="14">
        <v>0.56154344263279299</v>
      </c>
      <c r="AL714" s="14">
        <v>0.44358884901858697</v>
      </c>
      <c r="AM714" s="14">
        <v>0.43207081318710999</v>
      </c>
      <c r="AN714" s="14">
        <v>0.39841364577166699</v>
      </c>
      <c r="AO714" s="14"/>
      <c r="AP714" s="14">
        <v>0.46665403036473402</v>
      </c>
      <c r="AQ714" s="14">
        <v>0.60707504364808296</v>
      </c>
      <c r="AR714" s="14"/>
      <c r="AS714" s="14">
        <v>0.54223690409096603</v>
      </c>
      <c r="AT714" s="14" t="s">
        <v>88</v>
      </c>
      <c r="AU714" s="14">
        <v>0</v>
      </c>
      <c r="AV714" s="14"/>
      <c r="AW714" s="14">
        <v>0.54850694175952497</v>
      </c>
      <c r="AX714" s="14">
        <v>0.52921084699657195</v>
      </c>
      <c r="AY714" s="14"/>
      <c r="AZ714" s="14">
        <v>0.52117382525033096</v>
      </c>
      <c r="BA714" s="14">
        <v>0.62295536452935796</v>
      </c>
    </row>
    <row r="715" spans="2:53" x14ac:dyDescent="0.35">
      <c r="B715" t="s">
        <v>116</v>
      </c>
      <c r="C715" s="14">
        <v>0.13588329419161899</v>
      </c>
      <c r="D715" s="14">
        <v>0.104751663877221</v>
      </c>
      <c r="E715" s="14">
        <v>0.17543463894508399</v>
      </c>
      <c r="F715" s="14"/>
      <c r="G715" s="14">
        <v>0</v>
      </c>
      <c r="H715" s="14">
        <v>0.100972380668595</v>
      </c>
      <c r="I715" s="14">
        <v>0.120872820195621</v>
      </c>
      <c r="J715" s="14">
        <v>0.27323946690360901</v>
      </c>
      <c r="K715" s="14">
        <v>0.18026955556910701</v>
      </c>
      <c r="L715" s="14" t="s">
        <v>88</v>
      </c>
      <c r="M715" s="14"/>
      <c r="N715" s="14">
        <v>6.1754608124504201E-2</v>
      </c>
      <c r="O715" s="14">
        <v>0.13182544968342999</v>
      </c>
      <c r="P715" s="14">
        <v>0.203994439000656</v>
      </c>
      <c r="Q715" s="14">
        <v>0.173357744387032</v>
      </c>
      <c r="R715" s="14"/>
      <c r="S715" s="14">
        <v>0.127578740746254</v>
      </c>
      <c r="T715" s="14">
        <v>7.8636136496386205E-2</v>
      </c>
      <c r="U715" s="14">
        <v>0.263845722182252</v>
      </c>
      <c r="V715" s="14">
        <v>0.12414245393925</v>
      </c>
      <c r="W715" s="14">
        <v>3.0959932600532002E-2</v>
      </c>
      <c r="X715" s="14">
        <v>0.116324052728628</v>
      </c>
      <c r="Y715" s="14">
        <v>0.141652124633945</v>
      </c>
      <c r="Z715" s="14">
        <v>0.157436757535481</v>
      </c>
      <c r="AA715" s="14">
        <v>0.162948834093083</v>
      </c>
      <c r="AB715" s="14"/>
      <c r="AC715" s="14">
        <v>0.23187016004094399</v>
      </c>
      <c r="AD715" s="14">
        <v>0.21717492563032401</v>
      </c>
      <c r="AE715" s="14">
        <v>8.9996805787934203E-2</v>
      </c>
      <c r="AF715" s="14">
        <v>9.59190738516804E-2</v>
      </c>
      <c r="AG715" s="14">
        <v>0</v>
      </c>
      <c r="AH715" s="14"/>
      <c r="AI715" s="14">
        <v>0.110433647625351</v>
      </c>
      <c r="AJ715" s="14">
        <v>8.7884077555912599E-2</v>
      </c>
      <c r="AK715" s="14">
        <v>0.10161520028751</v>
      </c>
      <c r="AL715" s="14">
        <v>0.114020579295028</v>
      </c>
      <c r="AM715" s="14">
        <v>0.351140266740681</v>
      </c>
      <c r="AN715" s="14">
        <v>0.109500222519025</v>
      </c>
      <c r="AO715" s="14"/>
      <c r="AP715" s="14">
        <v>0.135005717786325</v>
      </c>
      <c r="AQ715" s="14">
        <v>0.13665820135654599</v>
      </c>
      <c r="AR715" s="14"/>
      <c r="AS715" s="14">
        <v>0.136136912847411</v>
      </c>
      <c r="AT715" s="14" t="s">
        <v>88</v>
      </c>
      <c r="AU715" s="14">
        <v>0</v>
      </c>
      <c r="AV715" s="14"/>
      <c r="AW715" s="14">
        <v>0.16242305546482</v>
      </c>
      <c r="AX715" s="14">
        <v>1.4557788727805301E-2</v>
      </c>
      <c r="AY715" s="14"/>
      <c r="AZ715" s="14">
        <v>0.116623708196116</v>
      </c>
      <c r="BA715" s="14">
        <v>0.226517891712881</v>
      </c>
    </row>
    <row r="716" spans="2:53" x14ac:dyDescent="0.35"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</row>
    <row r="717" spans="2:53" x14ac:dyDescent="0.35">
      <c r="B717" s="6" t="s">
        <v>263</v>
      </c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</row>
    <row r="718" spans="2:53" x14ac:dyDescent="0.35">
      <c r="B718" s="24" t="s">
        <v>219</v>
      </c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</row>
    <row r="719" spans="2:53" x14ac:dyDescent="0.35">
      <c r="B719" t="s">
        <v>214</v>
      </c>
      <c r="C719" s="14">
        <v>0.23772126681299399</v>
      </c>
      <c r="D719" s="14">
        <v>0.23652278504862001</v>
      </c>
      <c r="E719" s="14">
        <v>0.23982384543285701</v>
      </c>
      <c r="F719" s="14"/>
      <c r="G719" s="14">
        <v>0</v>
      </c>
      <c r="H719" s="14">
        <v>0.32825061150325902</v>
      </c>
      <c r="I719" s="14">
        <v>0.19820086898359601</v>
      </c>
      <c r="J719" s="14">
        <v>0.178680131731349</v>
      </c>
      <c r="K719" s="14">
        <v>0.59458602342188105</v>
      </c>
      <c r="L719" s="14" t="s">
        <v>88</v>
      </c>
      <c r="M719" s="14"/>
      <c r="N719" s="14">
        <v>0.32238537719126198</v>
      </c>
      <c r="O719" s="14">
        <v>8.9695740309617897E-2</v>
      </c>
      <c r="P719" s="14">
        <v>0.15653584682717001</v>
      </c>
      <c r="Q719" s="14">
        <v>0.30868570045235699</v>
      </c>
      <c r="R719" s="14"/>
      <c r="S719" s="14">
        <v>0.31016655878708899</v>
      </c>
      <c r="T719" s="14">
        <v>0.27430972964372802</v>
      </c>
      <c r="U719" s="14">
        <v>9.8702652743334604E-2</v>
      </c>
      <c r="V719" s="14">
        <v>0.22331519461969199</v>
      </c>
      <c r="W719" s="14">
        <v>7.6094354807734396E-2</v>
      </c>
      <c r="X719" s="14">
        <v>0.18676135876417799</v>
      </c>
      <c r="Y719" s="14">
        <v>0.42268432631481301</v>
      </c>
      <c r="Z719" s="14">
        <v>0</v>
      </c>
      <c r="AA719" s="14">
        <v>0.23255317810000101</v>
      </c>
      <c r="AB719" s="14"/>
      <c r="AC719" s="14">
        <v>0.81490519881298595</v>
      </c>
      <c r="AD719" s="14">
        <v>0.119915638222702</v>
      </c>
      <c r="AE719" s="14">
        <v>0.26093275984840397</v>
      </c>
      <c r="AF719" s="14">
        <v>0.186868338844037</v>
      </c>
      <c r="AG719" s="14">
        <v>0.29133440088997398</v>
      </c>
      <c r="AH719" s="14"/>
      <c r="AI719" s="14">
        <v>0.27797800995811001</v>
      </c>
      <c r="AJ719" s="14">
        <v>0.315724373008689</v>
      </c>
      <c r="AK719" s="14">
        <v>0.103247655096739</v>
      </c>
      <c r="AL719" s="14">
        <v>6.6981955399950804E-2</v>
      </c>
      <c r="AM719" s="14">
        <v>0.333864417985892</v>
      </c>
      <c r="AN719" s="14">
        <v>0.29714850657608399</v>
      </c>
      <c r="AO719" s="14"/>
      <c r="AP719" s="14">
        <v>0.22663371581807101</v>
      </c>
      <c r="AQ719" s="14">
        <v>0.25293943195364799</v>
      </c>
      <c r="AR719" s="14"/>
      <c r="AS719" s="14">
        <v>0.23910079878073601</v>
      </c>
      <c r="AT719" s="14" t="s">
        <v>88</v>
      </c>
      <c r="AU719" s="14">
        <v>0</v>
      </c>
      <c r="AV719" s="14"/>
      <c r="AW719" s="14">
        <v>0.21427688118260299</v>
      </c>
      <c r="AX719" s="14">
        <v>0.32069074581711099</v>
      </c>
      <c r="AY719" s="14"/>
      <c r="AZ719" s="14">
        <v>0.24324030189811899</v>
      </c>
      <c r="BA719" s="14">
        <v>0.17719879545450701</v>
      </c>
    </row>
    <row r="720" spans="2:53" x14ac:dyDescent="0.35">
      <c r="B720" t="s">
        <v>215</v>
      </c>
      <c r="C720" s="14">
        <v>0.41352599970917697</v>
      </c>
      <c r="D720" s="14">
        <v>0.407888828582054</v>
      </c>
      <c r="E720" s="14">
        <v>0.42341567499730298</v>
      </c>
      <c r="F720" s="14"/>
      <c r="G720" s="14">
        <v>0</v>
      </c>
      <c r="H720" s="14">
        <v>0.30666329919364499</v>
      </c>
      <c r="I720" s="14">
        <v>0.48917353780702</v>
      </c>
      <c r="J720" s="14">
        <v>0.44321461118335498</v>
      </c>
      <c r="K720" s="14">
        <v>0.18413736918017901</v>
      </c>
      <c r="L720" s="14" t="s">
        <v>88</v>
      </c>
      <c r="M720" s="14"/>
      <c r="N720" s="14">
        <v>0.41146229378919902</v>
      </c>
      <c r="O720" s="14">
        <v>0.44716863282105301</v>
      </c>
      <c r="P720" s="14">
        <v>0.64172097122434801</v>
      </c>
      <c r="Q720" s="14">
        <v>0.224093371849344</v>
      </c>
      <c r="R720" s="14"/>
      <c r="S720" s="14">
        <v>0.39984728483127702</v>
      </c>
      <c r="T720" s="14">
        <v>0.50917958451888201</v>
      </c>
      <c r="U720" s="14">
        <v>0.24404675432565101</v>
      </c>
      <c r="V720" s="14">
        <v>0.37945951962083302</v>
      </c>
      <c r="W720" s="14">
        <v>0.179660424690117</v>
      </c>
      <c r="X720" s="14">
        <v>0.50833341761560102</v>
      </c>
      <c r="Y720" s="14">
        <v>0.45985800869274102</v>
      </c>
      <c r="Z720" s="14">
        <v>1</v>
      </c>
      <c r="AA720" s="14">
        <v>0.45885604040079397</v>
      </c>
      <c r="AB720" s="14"/>
      <c r="AC720" s="14">
        <v>0.18509480118701399</v>
      </c>
      <c r="AD720" s="14">
        <v>0.37098188054951298</v>
      </c>
      <c r="AE720" s="14">
        <v>0.387146236111852</v>
      </c>
      <c r="AF720" s="14">
        <v>0.53450775018619101</v>
      </c>
      <c r="AG720" s="14">
        <v>0.475815194667706</v>
      </c>
      <c r="AH720" s="14"/>
      <c r="AI720" s="14">
        <v>0.47389659651444699</v>
      </c>
      <c r="AJ720" s="14">
        <v>0.56835577635482004</v>
      </c>
      <c r="AK720" s="14">
        <v>0.22518685788582499</v>
      </c>
      <c r="AL720" s="14">
        <v>0.42435333445986601</v>
      </c>
      <c r="AM720" s="14">
        <v>0.19724319918307801</v>
      </c>
      <c r="AN720" s="14">
        <v>0.33129704231707202</v>
      </c>
      <c r="AO720" s="14"/>
      <c r="AP720" s="14">
        <v>0.36923624211629302</v>
      </c>
      <c r="AQ720" s="14">
        <v>0.474315694872394</v>
      </c>
      <c r="AR720" s="14"/>
      <c r="AS720" s="14">
        <v>0.41592575276341198</v>
      </c>
      <c r="AT720" s="14" t="s">
        <v>88</v>
      </c>
      <c r="AU720" s="14">
        <v>0</v>
      </c>
      <c r="AV720" s="14"/>
      <c r="AW720" s="14">
        <v>0.41871503880872302</v>
      </c>
      <c r="AX720" s="14">
        <v>0.452652607824372</v>
      </c>
      <c r="AY720" s="14"/>
      <c r="AZ720" s="14">
        <v>0.39420858737109998</v>
      </c>
      <c r="BA720" s="14">
        <v>0.625363307665871</v>
      </c>
    </row>
    <row r="721" spans="2:53" x14ac:dyDescent="0.35">
      <c r="B721" t="s">
        <v>216</v>
      </c>
      <c r="C721" s="14">
        <v>0.176661859974652</v>
      </c>
      <c r="D721" s="14">
        <v>0.18936993994297899</v>
      </c>
      <c r="E721" s="14">
        <v>0.15436720515788099</v>
      </c>
      <c r="F721" s="14"/>
      <c r="G721" s="14">
        <v>0.58808842997294097</v>
      </c>
      <c r="H721" s="14">
        <v>0.20849439072687501</v>
      </c>
      <c r="I721" s="14">
        <v>0.142504925675737</v>
      </c>
      <c r="J721" s="14">
        <v>0.16744452820319899</v>
      </c>
      <c r="K721" s="14">
        <v>0.22127660739794</v>
      </c>
      <c r="L721" s="14" t="s">
        <v>88</v>
      </c>
      <c r="M721" s="14"/>
      <c r="N721" s="14">
        <v>0.212066057310726</v>
      </c>
      <c r="O721" s="14">
        <v>0.136094129108147</v>
      </c>
      <c r="P721" s="14">
        <v>4.5512508771139201E-2</v>
      </c>
      <c r="Q721" s="14">
        <v>0.25910182523488201</v>
      </c>
      <c r="R721" s="14"/>
      <c r="S721" s="14">
        <v>0.14023048651999401</v>
      </c>
      <c r="T721" s="14">
        <v>8.6326267218162306E-2</v>
      </c>
      <c r="U721" s="14">
        <v>0.44454174809915398</v>
      </c>
      <c r="V721" s="14">
        <v>0.28879288826001398</v>
      </c>
      <c r="W721" s="14">
        <v>0.26602703878973499</v>
      </c>
      <c r="X721" s="14">
        <v>0.30490522362022099</v>
      </c>
      <c r="Y721" s="14">
        <v>0</v>
      </c>
      <c r="Z721" s="14">
        <v>0</v>
      </c>
      <c r="AA721" s="14">
        <v>4.8279521775384499E-2</v>
      </c>
      <c r="AB721" s="14"/>
      <c r="AC721" s="14">
        <v>0</v>
      </c>
      <c r="AD721" s="14">
        <v>0.22118430400240899</v>
      </c>
      <c r="AE721" s="14">
        <v>0.223781672663103</v>
      </c>
      <c r="AF721" s="14">
        <v>0.168826323446708</v>
      </c>
      <c r="AG721" s="14">
        <v>5.8063445215440698E-2</v>
      </c>
      <c r="AH721" s="14"/>
      <c r="AI721" s="14">
        <v>0.14384799170535501</v>
      </c>
      <c r="AJ721" s="14">
        <v>3.9978261769334299E-2</v>
      </c>
      <c r="AK721" s="14">
        <v>0.51396551863013196</v>
      </c>
      <c r="AL721" s="14">
        <v>0.23848320518733401</v>
      </c>
      <c r="AM721" s="14">
        <v>0.46889238283103002</v>
      </c>
      <c r="AN721" s="14">
        <v>5.0493456148804898E-2</v>
      </c>
      <c r="AO721" s="14"/>
      <c r="AP721" s="14">
        <v>0.20720585034303499</v>
      </c>
      <c r="AQ721" s="14">
        <v>0.13473885193677099</v>
      </c>
      <c r="AR721" s="14"/>
      <c r="AS721" s="14">
        <v>0.177687055097423</v>
      </c>
      <c r="AT721" s="14" t="s">
        <v>88</v>
      </c>
      <c r="AU721" s="14">
        <v>0</v>
      </c>
      <c r="AV721" s="14"/>
      <c r="AW721" s="14">
        <v>0.20134051451696799</v>
      </c>
      <c r="AX721" s="14">
        <v>0.141974884330659</v>
      </c>
      <c r="AY721" s="14"/>
      <c r="AZ721" s="14">
        <v>0.18895116312865901</v>
      </c>
      <c r="BA721" s="14">
        <v>4.18957302649723E-2</v>
      </c>
    </row>
    <row r="722" spans="2:53" x14ac:dyDescent="0.35">
      <c r="B722" t="s">
        <v>217</v>
      </c>
      <c r="C722" s="14">
        <v>3.9857052551406799E-2</v>
      </c>
      <c r="D722" s="14">
        <v>3.9549085059394702E-2</v>
      </c>
      <c r="E722" s="14">
        <v>4.0397341009325703E-2</v>
      </c>
      <c r="F722" s="14"/>
      <c r="G722" s="14">
        <v>0</v>
      </c>
      <c r="H722" s="14">
        <v>4.9297253024408301E-2</v>
      </c>
      <c r="I722" s="14">
        <v>4.90090884102998E-2</v>
      </c>
      <c r="J722" s="14">
        <v>0</v>
      </c>
      <c r="K722" s="14">
        <v>0</v>
      </c>
      <c r="L722" s="14" t="s">
        <v>88</v>
      </c>
      <c r="M722" s="14"/>
      <c r="N722" s="14">
        <v>1.58606553099928E-2</v>
      </c>
      <c r="O722" s="14">
        <v>0.161748283137298</v>
      </c>
      <c r="P722" s="14">
        <v>0</v>
      </c>
      <c r="Q722" s="14">
        <v>0</v>
      </c>
      <c r="R722" s="14"/>
      <c r="S722" s="14">
        <v>0</v>
      </c>
      <c r="T722" s="14">
        <v>8.0790833460258601E-2</v>
      </c>
      <c r="U722" s="14">
        <v>8.0704394363509804E-2</v>
      </c>
      <c r="V722" s="14">
        <v>0</v>
      </c>
      <c r="W722" s="14">
        <v>0.166457569941693</v>
      </c>
      <c r="X722" s="14">
        <v>0</v>
      </c>
      <c r="Y722" s="14">
        <v>0</v>
      </c>
      <c r="Z722" s="14">
        <v>0</v>
      </c>
      <c r="AA722" s="14">
        <v>4.82158440297554E-2</v>
      </c>
      <c r="AB722" s="14"/>
      <c r="AC722" s="14">
        <v>0</v>
      </c>
      <c r="AD722" s="14">
        <v>6.4994864602802502E-2</v>
      </c>
      <c r="AE722" s="14">
        <v>7.8365869502396199E-2</v>
      </c>
      <c r="AF722" s="14">
        <v>0</v>
      </c>
      <c r="AG722" s="14">
        <v>0</v>
      </c>
      <c r="AH722" s="14"/>
      <c r="AI722" s="14">
        <v>1.6393663575558E-2</v>
      </c>
      <c r="AJ722" s="14">
        <v>7.59415888671571E-2</v>
      </c>
      <c r="AK722" s="14">
        <v>0</v>
      </c>
      <c r="AL722" s="14">
        <v>5.1275361966749797E-2</v>
      </c>
      <c r="AM722" s="14">
        <v>0</v>
      </c>
      <c r="AN722" s="14">
        <v>0</v>
      </c>
      <c r="AO722" s="14"/>
      <c r="AP722" s="14">
        <v>1.6166662336956201E-2</v>
      </c>
      <c r="AQ722" s="14">
        <v>7.2373184445194194E-2</v>
      </c>
      <c r="AR722" s="14"/>
      <c r="AS722" s="14">
        <v>4.0088348972092097E-2</v>
      </c>
      <c r="AT722" s="14" t="s">
        <v>88</v>
      </c>
      <c r="AU722" s="14">
        <v>0</v>
      </c>
      <c r="AV722" s="14"/>
      <c r="AW722" s="14">
        <v>4.0605242573736697E-2</v>
      </c>
      <c r="AX722" s="14">
        <v>4.3060559912257199E-2</v>
      </c>
      <c r="AY722" s="14"/>
      <c r="AZ722" s="14">
        <v>3.7692984636115402E-2</v>
      </c>
      <c r="BA722" s="14">
        <v>6.3588508576040495E-2</v>
      </c>
    </row>
    <row r="723" spans="2:53" x14ac:dyDescent="0.35">
      <c r="B723" t="s">
        <v>116</v>
      </c>
      <c r="C723" s="14">
        <v>9.4890141678970197E-2</v>
      </c>
      <c r="D723" s="14">
        <v>0.126669361366953</v>
      </c>
      <c r="E723" s="14">
        <v>3.9137680641919803E-2</v>
      </c>
      <c r="F723" s="14"/>
      <c r="G723" s="14">
        <v>0</v>
      </c>
      <c r="H723" s="14">
        <v>7.0547355111413704E-2</v>
      </c>
      <c r="I723" s="14">
        <v>0.100075881743871</v>
      </c>
      <c r="J723" s="14">
        <v>0.16561581039791601</v>
      </c>
      <c r="K723" s="14">
        <v>0</v>
      </c>
      <c r="L723" s="14" t="s">
        <v>88</v>
      </c>
      <c r="M723" s="14"/>
      <c r="N723" s="14">
        <v>1.58606553099928E-2</v>
      </c>
      <c r="O723" s="14">
        <v>0.12931043871161499</v>
      </c>
      <c r="P723" s="14">
        <v>9.4443607810386396E-2</v>
      </c>
      <c r="Q723" s="14">
        <v>0.16816484647163901</v>
      </c>
      <c r="R723" s="14"/>
      <c r="S723" s="14">
        <v>0.10589409157644</v>
      </c>
      <c r="T723" s="14">
        <v>0</v>
      </c>
      <c r="U723" s="14">
        <v>0.13200445046834999</v>
      </c>
      <c r="V723" s="14">
        <v>0</v>
      </c>
      <c r="W723" s="14">
        <v>0.23566625696298499</v>
      </c>
      <c r="X723" s="14">
        <v>0</v>
      </c>
      <c r="Y723" s="14">
        <v>0.117457664992445</v>
      </c>
      <c r="Z723" s="14">
        <v>0</v>
      </c>
      <c r="AA723" s="14">
        <v>0.21209541569406501</v>
      </c>
      <c r="AB723" s="14"/>
      <c r="AC723" s="14">
        <v>0</v>
      </c>
      <c r="AD723" s="14">
        <v>0.22292331262257301</v>
      </c>
      <c r="AE723" s="14">
        <v>0</v>
      </c>
      <c r="AF723" s="14">
        <v>7.9727486208585593E-2</v>
      </c>
      <c r="AG723" s="14">
        <v>0</v>
      </c>
      <c r="AH723" s="14"/>
      <c r="AI723" s="14">
        <v>8.2566446817384107E-2</v>
      </c>
      <c r="AJ723" s="14">
        <v>0</v>
      </c>
      <c r="AK723" s="14">
        <v>0</v>
      </c>
      <c r="AL723" s="14">
        <v>0.16147320965015199</v>
      </c>
      <c r="AM723" s="14">
        <v>0</v>
      </c>
      <c r="AN723" s="14">
        <v>0.32106099495803903</v>
      </c>
      <c r="AO723" s="14"/>
      <c r="AP723" s="14">
        <v>0.139462739859889</v>
      </c>
      <c r="AQ723" s="14">
        <v>3.3712235018087899E-2</v>
      </c>
      <c r="AR723" s="14"/>
      <c r="AS723" s="14">
        <v>9.5440803324117196E-2</v>
      </c>
      <c r="AT723" s="14" t="s">
        <v>88</v>
      </c>
      <c r="AU723" s="14">
        <v>0</v>
      </c>
      <c r="AV723" s="14"/>
      <c r="AW723" s="14">
        <v>9.6177097070884801E-2</v>
      </c>
      <c r="AX723" s="14">
        <v>0</v>
      </c>
      <c r="AY723" s="14"/>
      <c r="AZ723" s="14">
        <v>0.103543159465648</v>
      </c>
      <c r="BA723" s="14">
        <v>0</v>
      </c>
    </row>
    <row r="724" spans="2:53" x14ac:dyDescent="0.35"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</row>
    <row r="725" spans="2:53" x14ac:dyDescent="0.35">
      <c r="B725" s="6" t="s">
        <v>264</v>
      </c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</row>
    <row r="726" spans="2:53" x14ac:dyDescent="0.35">
      <c r="B726" s="24" t="s">
        <v>219</v>
      </c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</row>
    <row r="727" spans="2:53" x14ac:dyDescent="0.35">
      <c r="B727" t="s">
        <v>220</v>
      </c>
      <c r="C727" s="14">
        <v>0.28718622783493702</v>
      </c>
      <c r="D727" s="14">
        <v>0.27471260821700899</v>
      </c>
      <c r="E727" s="14">
        <v>0.30906955280539</v>
      </c>
      <c r="F727" s="14"/>
      <c r="G727" s="14">
        <v>0.77406958762123901</v>
      </c>
      <c r="H727" s="14">
        <v>0.17336232196326801</v>
      </c>
      <c r="I727" s="14">
        <v>0.28742573391316101</v>
      </c>
      <c r="J727" s="14">
        <v>0.33364406592302198</v>
      </c>
      <c r="K727" s="14">
        <v>0.59458602342188105</v>
      </c>
      <c r="L727" s="14" t="s">
        <v>88</v>
      </c>
      <c r="M727" s="14"/>
      <c r="N727" s="14">
        <v>0.315450844919485</v>
      </c>
      <c r="O727" s="14">
        <v>0.24031743032070399</v>
      </c>
      <c r="P727" s="14">
        <v>0.201953380854485</v>
      </c>
      <c r="Q727" s="14">
        <v>0.35074813821156597</v>
      </c>
      <c r="R727" s="14"/>
      <c r="S727" s="14">
        <v>0.41450351306375299</v>
      </c>
      <c r="T727" s="14">
        <v>0.31124240286106902</v>
      </c>
      <c r="U727" s="14">
        <v>0.312537328629585</v>
      </c>
      <c r="V727" s="14">
        <v>0.137103807493096</v>
      </c>
      <c r="W727" s="14">
        <v>0.14156299443311501</v>
      </c>
      <c r="X727" s="14">
        <v>0.18676135876417799</v>
      </c>
      <c r="Y727" s="14">
        <v>3.1610200599432599E-2</v>
      </c>
      <c r="Z727" s="14">
        <v>0</v>
      </c>
      <c r="AA727" s="14">
        <v>0.44909708419291999</v>
      </c>
      <c r="AB727" s="14"/>
      <c r="AC727" s="14">
        <v>0.56296800867159902</v>
      </c>
      <c r="AD727" s="14">
        <v>0.38687072760149699</v>
      </c>
      <c r="AE727" s="14">
        <v>0.23649003002274199</v>
      </c>
      <c r="AF727" s="14">
        <v>0.30653135355200301</v>
      </c>
      <c r="AG727" s="14">
        <v>0.26907083992813202</v>
      </c>
      <c r="AH727" s="14"/>
      <c r="AI727" s="14">
        <v>0.20444671977703499</v>
      </c>
      <c r="AJ727" s="14">
        <v>0.41228808312114801</v>
      </c>
      <c r="AK727" s="14">
        <v>0.12869524851697201</v>
      </c>
      <c r="AL727" s="14">
        <v>0.42838392641261203</v>
      </c>
      <c r="AM727" s="14">
        <v>0.255620939214592</v>
      </c>
      <c r="AN727" s="14">
        <v>0.13662960925384801</v>
      </c>
      <c r="AO727" s="14"/>
      <c r="AP727" s="14">
        <v>0.29025888130737898</v>
      </c>
      <c r="AQ727" s="14">
        <v>0.28296887199278298</v>
      </c>
      <c r="AR727" s="14"/>
      <c r="AS727" s="14">
        <v>0.28885281234924998</v>
      </c>
      <c r="AT727" s="14" t="s">
        <v>88</v>
      </c>
      <c r="AU727" s="14">
        <v>0</v>
      </c>
      <c r="AV727" s="14"/>
      <c r="AW727" s="14">
        <v>0.22066900607015699</v>
      </c>
      <c r="AX727" s="14">
        <v>0.43279934566329098</v>
      </c>
      <c r="AY727" s="14"/>
      <c r="AZ727" s="14">
        <v>0.30166223039739898</v>
      </c>
      <c r="BA727" s="14">
        <v>0.12844046214242399</v>
      </c>
    </row>
    <row r="728" spans="2:53" x14ac:dyDescent="0.35">
      <c r="B728" t="s">
        <v>221</v>
      </c>
      <c r="C728" s="14">
        <v>0.44542207658778499</v>
      </c>
      <c r="D728" s="14">
        <v>0.48295803796046199</v>
      </c>
      <c r="E728" s="14">
        <v>0.37957016944641098</v>
      </c>
      <c r="F728" s="14"/>
      <c r="G728" s="14">
        <v>0</v>
      </c>
      <c r="H728" s="14">
        <v>0.50782617571742295</v>
      </c>
      <c r="I728" s="14">
        <v>0.43899678139558101</v>
      </c>
      <c r="J728" s="14">
        <v>0.44785184335234501</v>
      </c>
      <c r="K728" s="14">
        <v>0.40541397657811901</v>
      </c>
      <c r="L728" s="14" t="s">
        <v>88</v>
      </c>
      <c r="M728" s="14"/>
      <c r="N728" s="14">
        <v>0.451031267161771</v>
      </c>
      <c r="O728" s="14">
        <v>0.46208392572114798</v>
      </c>
      <c r="P728" s="14">
        <v>0.44589629969619499</v>
      </c>
      <c r="Q728" s="14">
        <v>0.42434081838566001</v>
      </c>
      <c r="R728" s="14"/>
      <c r="S728" s="14">
        <v>0.50165283215944301</v>
      </c>
      <c r="T728" s="14">
        <v>0.32646813793566998</v>
      </c>
      <c r="U728" s="14">
        <v>0.162216513042061</v>
      </c>
      <c r="V728" s="14">
        <v>0.63992950913190405</v>
      </c>
      <c r="W728" s="14">
        <v>0.28064935500643001</v>
      </c>
      <c r="X728" s="14">
        <v>0.50833341761560102</v>
      </c>
      <c r="Y728" s="14">
        <v>0.85093213440812199</v>
      </c>
      <c r="Z728" s="14">
        <v>1</v>
      </c>
      <c r="AA728" s="14">
        <v>0.24231213430787399</v>
      </c>
      <c r="AB728" s="14"/>
      <c r="AC728" s="14">
        <v>0.43703199132840098</v>
      </c>
      <c r="AD728" s="14">
        <v>0.223102375930257</v>
      </c>
      <c r="AE728" s="14">
        <v>0.50338927184596705</v>
      </c>
      <c r="AF728" s="14">
        <v>0.44798720150288002</v>
      </c>
      <c r="AG728" s="14">
        <v>0.64817057470537498</v>
      </c>
      <c r="AH728" s="14"/>
      <c r="AI728" s="14">
        <v>0.57249289474348297</v>
      </c>
      <c r="AJ728" s="14">
        <v>0.37468984795561799</v>
      </c>
      <c r="AK728" s="14">
        <v>0.19973926446559101</v>
      </c>
      <c r="AL728" s="14">
        <v>0.459666639750479</v>
      </c>
      <c r="AM728" s="14">
        <v>0.74437906078540805</v>
      </c>
      <c r="AN728" s="14">
        <v>0.38746850618696999</v>
      </c>
      <c r="AO728" s="14"/>
      <c r="AP728" s="14">
        <v>0.43023874654122202</v>
      </c>
      <c r="AQ728" s="14">
        <v>0.46626188369572402</v>
      </c>
      <c r="AR728" s="14"/>
      <c r="AS728" s="14">
        <v>0.44800692733348702</v>
      </c>
      <c r="AT728" s="14" t="s">
        <v>88</v>
      </c>
      <c r="AU728" s="14">
        <v>0</v>
      </c>
      <c r="AV728" s="14"/>
      <c r="AW728" s="14">
        <v>0.49362160832041302</v>
      </c>
      <c r="AX728" s="14">
        <v>0.39005635679964001</v>
      </c>
      <c r="AY728" s="14"/>
      <c r="AZ728" s="14">
        <v>0.44398483424627</v>
      </c>
      <c r="BA728" s="14">
        <v>0.461183066889155</v>
      </c>
    </row>
    <row r="729" spans="2:53" x14ac:dyDescent="0.35">
      <c r="B729" t="s">
        <v>222</v>
      </c>
      <c r="C729" s="14">
        <v>0.129504104398842</v>
      </c>
      <c r="D729" s="14">
        <v>0.100404105959555</v>
      </c>
      <c r="E729" s="14">
        <v>0.18055622415174</v>
      </c>
      <c r="F729" s="14"/>
      <c r="G729" s="14">
        <v>0</v>
      </c>
      <c r="H729" s="14">
        <v>0.17375001755709499</v>
      </c>
      <c r="I729" s="14">
        <v>0.152988138165496</v>
      </c>
      <c r="J729" s="14">
        <v>0</v>
      </c>
      <c r="K729" s="14">
        <v>0</v>
      </c>
      <c r="L729" s="14" t="s">
        <v>88</v>
      </c>
      <c r="M729" s="14"/>
      <c r="N729" s="14">
        <v>0.17812181123675899</v>
      </c>
      <c r="O729" s="14">
        <v>0.13863189706750201</v>
      </c>
      <c r="P729" s="14">
        <v>0.155841090767253</v>
      </c>
      <c r="Q729" s="14">
        <v>4.0937970046859798E-2</v>
      </c>
      <c r="R729" s="14"/>
      <c r="S729" s="14">
        <v>3.9312195402925E-2</v>
      </c>
      <c r="T729" s="14">
        <v>0.24456594315268701</v>
      </c>
      <c r="U729" s="14">
        <v>0.20961912533183699</v>
      </c>
      <c r="V729" s="14">
        <v>0.222966683374999</v>
      </c>
      <c r="W729" s="14">
        <v>0.26602703878973499</v>
      </c>
      <c r="X729" s="14">
        <v>2.6386967920725399E-2</v>
      </c>
      <c r="Y729" s="14">
        <v>0</v>
      </c>
      <c r="Z729" s="14">
        <v>0</v>
      </c>
      <c r="AA729" s="14">
        <v>9.6431688059510801E-2</v>
      </c>
      <c r="AB729" s="14"/>
      <c r="AC729" s="14">
        <v>0</v>
      </c>
      <c r="AD729" s="14">
        <v>0.101924186687957</v>
      </c>
      <c r="AE729" s="14">
        <v>0.213069396447296</v>
      </c>
      <c r="AF729" s="14">
        <v>6.6249772012394903E-2</v>
      </c>
      <c r="AG729" s="14">
        <v>1.99445556923998E-2</v>
      </c>
      <c r="AH729" s="14"/>
      <c r="AI729" s="14">
        <v>0.102284499035731</v>
      </c>
      <c r="AJ729" s="14">
        <v>0.13708048005607701</v>
      </c>
      <c r="AK729" s="14">
        <v>0.34968141571351902</v>
      </c>
      <c r="AL729" s="14">
        <v>5.1275361966749797E-2</v>
      </c>
      <c r="AM729" s="14">
        <v>0</v>
      </c>
      <c r="AN729" s="14">
        <v>0.14846381268195899</v>
      </c>
      <c r="AO729" s="14"/>
      <c r="AP729" s="14">
        <v>0.11304661606647901</v>
      </c>
      <c r="AQ729" s="14">
        <v>0.15209275137389999</v>
      </c>
      <c r="AR729" s="14"/>
      <c r="AS729" s="14">
        <v>0.13025563603236801</v>
      </c>
      <c r="AT729" s="14" t="s">
        <v>88</v>
      </c>
      <c r="AU729" s="14">
        <v>0</v>
      </c>
      <c r="AV729" s="14"/>
      <c r="AW729" s="14">
        <v>0.134734818604515</v>
      </c>
      <c r="AX729" s="14">
        <v>0.13350612648412299</v>
      </c>
      <c r="AY729" s="14"/>
      <c r="AZ729" s="14">
        <v>0.103891395420755</v>
      </c>
      <c r="BA729" s="14">
        <v>0.410376470968421</v>
      </c>
    </row>
    <row r="730" spans="2:53" x14ac:dyDescent="0.35">
      <c r="B730" t="s">
        <v>223</v>
      </c>
      <c r="C730" s="14">
        <v>4.8489812723904298E-2</v>
      </c>
      <c r="D730" s="14">
        <v>5.3142611868017699E-2</v>
      </c>
      <c r="E730" s="14">
        <v>4.0327088605996E-2</v>
      </c>
      <c r="F730" s="14"/>
      <c r="G730" s="14">
        <v>0.22593041237876099</v>
      </c>
      <c r="H730" s="14">
        <v>0</v>
      </c>
      <c r="I730" s="14">
        <v>6.09084964507507E-2</v>
      </c>
      <c r="J730" s="14">
        <v>6.9447127698527802E-2</v>
      </c>
      <c r="K730" s="14">
        <v>0</v>
      </c>
      <c r="L730" s="14" t="s">
        <v>88</v>
      </c>
      <c r="M730" s="14"/>
      <c r="N730" s="14">
        <v>1.71495134181943E-2</v>
      </c>
      <c r="O730" s="14">
        <v>5.8855384698433801E-2</v>
      </c>
      <c r="P730" s="14">
        <v>0</v>
      </c>
      <c r="Q730" s="14">
        <v>0.115085938311085</v>
      </c>
      <c r="R730" s="14"/>
      <c r="S730" s="14">
        <v>0</v>
      </c>
      <c r="T730" s="14">
        <v>0.117723516050574</v>
      </c>
      <c r="U730" s="14">
        <v>0.18362258252816799</v>
      </c>
      <c r="V730" s="14">
        <v>0</v>
      </c>
      <c r="W730" s="14">
        <v>0</v>
      </c>
      <c r="X730" s="14">
        <v>0</v>
      </c>
      <c r="Y730" s="14">
        <v>0.117457664992445</v>
      </c>
      <c r="Z730" s="14">
        <v>0</v>
      </c>
      <c r="AA730" s="14">
        <v>0</v>
      </c>
      <c r="AB730" s="14"/>
      <c r="AC730" s="14">
        <v>0</v>
      </c>
      <c r="AD730" s="14">
        <v>6.1816688632724201E-2</v>
      </c>
      <c r="AE730" s="14">
        <v>4.7051301683994601E-2</v>
      </c>
      <c r="AF730" s="14">
        <v>0</v>
      </c>
      <c r="AG730" s="14">
        <v>0</v>
      </c>
      <c r="AH730" s="14"/>
      <c r="AI730" s="14">
        <v>2.7441662602500999E-2</v>
      </c>
      <c r="AJ730" s="14">
        <v>7.59415888671571E-2</v>
      </c>
      <c r="AK730" s="14">
        <v>0.19207792842346799</v>
      </c>
      <c r="AL730" s="14">
        <v>3.1501533962398999E-2</v>
      </c>
      <c r="AM730" s="14">
        <v>0</v>
      </c>
      <c r="AN730" s="14">
        <v>0</v>
      </c>
      <c r="AO730" s="14"/>
      <c r="AP730" s="14">
        <v>3.6783180303686103E-2</v>
      </c>
      <c r="AQ730" s="14">
        <v>6.4557695116812905E-2</v>
      </c>
      <c r="AR730" s="14"/>
      <c r="AS730" s="14">
        <v>4.8771206339457703E-2</v>
      </c>
      <c r="AT730" s="14" t="s">
        <v>88</v>
      </c>
      <c r="AU730" s="14">
        <v>0</v>
      </c>
      <c r="AV730" s="14"/>
      <c r="AW730" s="14">
        <v>6.3725949081935296E-2</v>
      </c>
      <c r="AX730" s="14">
        <v>1.9603486494079E-2</v>
      </c>
      <c r="AY730" s="14"/>
      <c r="AZ730" s="14">
        <v>5.2911591472977602E-2</v>
      </c>
      <c r="BA730" s="14">
        <v>0</v>
      </c>
    </row>
    <row r="731" spans="2:53" x14ac:dyDescent="0.35">
      <c r="B731" t="s">
        <v>116</v>
      </c>
      <c r="C731" s="14">
        <v>6.1890244801173E-2</v>
      </c>
      <c r="D731" s="14">
        <v>8.0428544382575407E-2</v>
      </c>
      <c r="E731" s="14">
        <v>2.9367236519249801E-2</v>
      </c>
      <c r="F731" s="14"/>
      <c r="G731" s="14">
        <v>0</v>
      </c>
      <c r="H731" s="14">
        <v>7.0547355111413704E-2</v>
      </c>
      <c r="I731" s="14">
        <v>5.9680850075010901E-2</v>
      </c>
      <c r="J731" s="14">
        <v>8.3240773316814398E-2</v>
      </c>
      <c r="K731" s="14">
        <v>0</v>
      </c>
      <c r="L731" s="14" t="s">
        <v>88</v>
      </c>
      <c r="M731" s="14"/>
      <c r="N731" s="14">
        <v>0</v>
      </c>
      <c r="O731" s="14">
        <v>7.1631392076331998E-2</v>
      </c>
      <c r="P731" s="14">
        <v>0.150796719910927</v>
      </c>
      <c r="Q731" s="14">
        <v>6.8887135044829795E-2</v>
      </c>
      <c r="R731" s="14"/>
      <c r="S731" s="14">
        <v>3.8334384787820003E-2</v>
      </c>
      <c r="T731" s="14">
        <v>0</v>
      </c>
      <c r="U731" s="14">
        <v>0.13200445046834999</v>
      </c>
      <c r="V731" s="14">
        <v>0</v>
      </c>
      <c r="W731" s="14">
        <v>0.23566625696298499</v>
      </c>
      <c r="X731" s="14">
        <v>0</v>
      </c>
      <c r="Y731" s="14">
        <v>0</v>
      </c>
      <c r="Z731" s="14">
        <v>0</v>
      </c>
      <c r="AA731" s="14">
        <v>0.16387957166431</v>
      </c>
      <c r="AB731" s="14"/>
      <c r="AC731" s="14">
        <v>0</v>
      </c>
      <c r="AD731" s="14">
        <v>0.124177301904695</v>
      </c>
      <c r="AE731" s="14">
        <v>0</v>
      </c>
      <c r="AF731" s="14">
        <v>0.13529554074976899</v>
      </c>
      <c r="AG731" s="14">
        <v>0</v>
      </c>
      <c r="AH731" s="14"/>
      <c r="AI731" s="14">
        <v>8.8016932412103802E-2</v>
      </c>
      <c r="AJ731" s="14">
        <v>0</v>
      </c>
      <c r="AK731" s="14">
        <v>0</v>
      </c>
      <c r="AL731" s="14">
        <v>0</v>
      </c>
      <c r="AM731" s="14">
        <v>0</v>
      </c>
      <c r="AN731" s="14">
        <v>0.276944615728417</v>
      </c>
      <c r="AO731" s="14"/>
      <c r="AP731" s="14">
        <v>0.10698183363458499</v>
      </c>
      <c r="AQ731" s="14">
        <v>0</v>
      </c>
      <c r="AR731" s="14"/>
      <c r="AS731" s="14">
        <v>6.2249403122761997E-2</v>
      </c>
      <c r="AT731" s="14" t="s">
        <v>88</v>
      </c>
      <c r="AU731" s="14">
        <v>0</v>
      </c>
      <c r="AV731" s="14"/>
      <c r="AW731" s="14">
        <v>6.5342873861969103E-2</v>
      </c>
      <c r="AX731" s="14">
        <v>0</v>
      </c>
      <c r="AY731" s="14"/>
      <c r="AZ731" s="14">
        <v>6.7534006941377303E-2</v>
      </c>
      <c r="BA731" s="14">
        <v>0</v>
      </c>
    </row>
    <row r="732" spans="2:53" x14ac:dyDescent="0.35">
      <c r="B732" t="s">
        <v>224</v>
      </c>
      <c r="C732" s="14">
        <v>0.73260830442272296</v>
      </c>
      <c r="D732" s="14">
        <v>0.75767064617747104</v>
      </c>
      <c r="E732" s="14">
        <v>0.68863972225180103</v>
      </c>
      <c r="F732" s="14"/>
      <c r="G732" s="14">
        <v>0.77406958762123901</v>
      </c>
      <c r="H732" s="14">
        <v>0.68118849768069101</v>
      </c>
      <c r="I732" s="14">
        <v>0.72642251530874202</v>
      </c>
      <c r="J732" s="14">
        <v>0.78149590927536705</v>
      </c>
      <c r="K732" s="14">
        <v>1</v>
      </c>
      <c r="L732" s="14" t="s">
        <v>88</v>
      </c>
      <c r="M732" s="14"/>
      <c r="N732" s="14">
        <v>0.76648211208125705</v>
      </c>
      <c r="O732" s="14">
        <v>0.70240135604185105</v>
      </c>
      <c r="P732" s="14">
        <v>0.64784968055068104</v>
      </c>
      <c r="Q732" s="14">
        <v>0.77508895659722499</v>
      </c>
      <c r="R732" s="14"/>
      <c r="S732" s="14">
        <v>0.916156345223196</v>
      </c>
      <c r="T732" s="14">
        <v>0.63771054079673894</v>
      </c>
      <c r="U732" s="14">
        <v>0.47475384167164503</v>
      </c>
      <c r="V732" s="14">
        <v>0.77703331662500097</v>
      </c>
      <c r="W732" s="14">
        <v>0.422212349439545</v>
      </c>
      <c r="X732" s="14">
        <v>0.69509477637977901</v>
      </c>
      <c r="Y732" s="14">
        <v>0.88254233500755497</v>
      </c>
      <c r="Z732" s="14">
        <v>1</v>
      </c>
      <c r="AA732" s="14">
        <v>0.69140921850079495</v>
      </c>
      <c r="AB732" s="14"/>
      <c r="AC732" s="14">
        <v>1</v>
      </c>
      <c r="AD732" s="14">
        <v>0.60997310353175405</v>
      </c>
      <c r="AE732" s="14">
        <v>0.73987930186870898</v>
      </c>
      <c r="AF732" s="14">
        <v>0.75451855505488297</v>
      </c>
      <c r="AG732" s="14">
        <v>0.91724141463350695</v>
      </c>
      <c r="AH732" s="14"/>
      <c r="AI732" s="14">
        <v>0.77693961452051796</v>
      </c>
      <c r="AJ732" s="14">
        <v>0.78697793107676595</v>
      </c>
      <c r="AK732" s="14">
        <v>0.32843451298256299</v>
      </c>
      <c r="AL732" s="14">
        <v>0.88805056616309097</v>
      </c>
      <c r="AM732" s="14">
        <v>1</v>
      </c>
      <c r="AN732" s="14">
        <v>0.52409811544081797</v>
      </c>
      <c r="AO732" s="14"/>
      <c r="AP732" s="14">
        <v>0.72049762784860105</v>
      </c>
      <c r="AQ732" s="14">
        <v>0.74923075568850706</v>
      </c>
      <c r="AR732" s="14"/>
      <c r="AS732" s="14">
        <v>0.73685973968273699</v>
      </c>
      <c r="AT732" s="14" t="s">
        <v>88</v>
      </c>
      <c r="AU732" s="14">
        <v>0</v>
      </c>
      <c r="AV732" s="14"/>
      <c r="AW732" s="14">
        <v>0.71429061439056996</v>
      </c>
      <c r="AX732" s="14">
        <v>0.82285570246293105</v>
      </c>
      <c r="AY732" s="14"/>
      <c r="AZ732" s="14">
        <v>0.74564706464366903</v>
      </c>
      <c r="BA732" s="14">
        <v>0.589623529031579</v>
      </c>
    </row>
    <row r="733" spans="2:53" x14ac:dyDescent="0.35"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</row>
    <row r="734" spans="2:53" x14ac:dyDescent="0.35">
      <c r="B734" s="6" t="s">
        <v>265</v>
      </c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</row>
    <row r="735" spans="2:53" x14ac:dyDescent="0.35">
      <c r="B735" s="24" t="s">
        <v>219</v>
      </c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</row>
    <row r="736" spans="2:53" x14ac:dyDescent="0.35">
      <c r="B736" t="s">
        <v>226</v>
      </c>
      <c r="C736" s="14">
        <v>0.29205465713256101</v>
      </c>
      <c r="D736" s="14">
        <v>0.31898050870492201</v>
      </c>
      <c r="E736" s="14">
        <v>0.24481679209318799</v>
      </c>
      <c r="F736" s="14"/>
      <c r="G736" s="14">
        <v>0.77406958762123901</v>
      </c>
      <c r="H736" s="14">
        <v>0.27312316708918799</v>
      </c>
      <c r="I736" s="14">
        <v>0.28074544935307699</v>
      </c>
      <c r="J736" s="14">
        <v>0.201232338721203</v>
      </c>
      <c r="K736" s="14">
        <v>0.59458602342188105</v>
      </c>
      <c r="L736" s="14" t="s">
        <v>88</v>
      </c>
      <c r="M736" s="14"/>
      <c r="N736" s="14">
        <v>0.37709368478531902</v>
      </c>
      <c r="O736" s="14">
        <v>0.14412787964679299</v>
      </c>
      <c r="P736" s="14">
        <v>0.16525338052379701</v>
      </c>
      <c r="Q736" s="14">
        <v>0.39537633897560598</v>
      </c>
      <c r="R736" s="14"/>
      <c r="S736" s="14">
        <v>0.39430913323820699</v>
      </c>
      <c r="T736" s="14">
        <v>0.27430972964372802</v>
      </c>
      <c r="U736" s="14">
        <v>0.34274940706898499</v>
      </c>
      <c r="V736" s="14">
        <v>2.8671386854450101E-2</v>
      </c>
      <c r="W736" s="14">
        <v>0.179660424690117</v>
      </c>
      <c r="X736" s="14">
        <v>0.18676135876417799</v>
      </c>
      <c r="Y736" s="14">
        <v>0.33041757051354498</v>
      </c>
      <c r="Z736" s="14">
        <v>0</v>
      </c>
      <c r="AA736" s="14">
        <v>0.43913599402779602</v>
      </c>
      <c r="AB736" s="14"/>
      <c r="AC736" s="14">
        <v>0.81490519881298595</v>
      </c>
      <c r="AD736" s="14">
        <v>0.34857860213300301</v>
      </c>
      <c r="AE736" s="14">
        <v>0.23091365961431001</v>
      </c>
      <c r="AF736" s="14">
        <v>0.272583674133412</v>
      </c>
      <c r="AG736" s="14">
        <v>0.50651406156122103</v>
      </c>
      <c r="AH736" s="14"/>
      <c r="AI736" s="14">
        <v>0.303349597128727</v>
      </c>
      <c r="AJ736" s="14">
        <v>0.34557020433330798</v>
      </c>
      <c r="AK736" s="14">
        <v>0.23362338451617301</v>
      </c>
      <c r="AL736" s="14">
        <v>0.22562275951257399</v>
      </c>
      <c r="AM736" s="14">
        <v>0.51124186744690903</v>
      </c>
      <c r="AN736" s="14">
        <v>0.13662960925384801</v>
      </c>
      <c r="AO736" s="14"/>
      <c r="AP736" s="14">
        <v>0.31138657882088</v>
      </c>
      <c r="AQ736" s="14">
        <v>0.26552072038911601</v>
      </c>
      <c r="AR736" s="14"/>
      <c r="AS736" s="14">
        <v>0.29374949386822002</v>
      </c>
      <c r="AT736" s="14" t="s">
        <v>88</v>
      </c>
      <c r="AU736" s="14">
        <v>0</v>
      </c>
      <c r="AV736" s="14"/>
      <c r="AW736" s="14">
        <v>0.231450527712701</v>
      </c>
      <c r="AX736" s="14">
        <v>0.46676240297486998</v>
      </c>
      <c r="AY736" s="14"/>
      <c r="AZ736" s="14">
        <v>0.30697461103243401</v>
      </c>
      <c r="BA736" s="14">
        <v>0.12844046214242399</v>
      </c>
    </row>
    <row r="737" spans="2:53" x14ac:dyDescent="0.35">
      <c r="B737" t="s">
        <v>227</v>
      </c>
      <c r="C737" s="14">
        <v>0.40633366254572401</v>
      </c>
      <c r="D737" s="14">
        <v>0.38236286223011201</v>
      </c>
      <c r="E737" s="14">
        <v>0.44838727883160301</v>
      </c>
      <c r="F737" s="14"/>
      <c r="G737" s="14">
        <v>0</v>
      </c>
      <c r="H737" s="14">
        <v>0.41704708970259002</v>
      </c>
      <c r="I737" s="14">
        <v>0.379962552299698</v>
      </c>
      <c r="J737" s="14">
        <v>0.580263570554164</v>
      </c>
      <c r="K737" s="14">
        <v>0.40541397657811901</v>
      </c>
      <c r="L737" s="14" t="s">
        <v>88</v>
      </c>
      <c r="M737" s="14"/>
      <c r="N737" s="14">
        <v>0.312980194466355</v>
      </c>
      <c r="O737" s="14">
        <v>0.45041553973224302</v>
      </c>
      <c r="P737" s="14">
        <v>0.57665032542717998</v>
      </c>
      <c r="Q737" s="14">
        <v>0.36681875451582302</v>
      </c>
      <c r="R737" s="14"/>
      <c r="S737" s="14">
        <v>0.40685345668780698</v>
      </c>
      <c r="T737" s="14">
        <v>0.38836142035806398</v>
      </c>
      <c r="U737" s="14">
        <v>0</v>
      </c>
      <c r="V737" s="14">
        <v>0.74836192977055105</v>
      </c>
      <c r="W737" s="14">
        <v>0.34212139359746901</v>
      </c>
      <c r="X737" s="14">
        <v>0.48194644508349599</v>
      </c>
      <c r="Y737" s="14">
        <v>0.55212476449401005</v>
      </c>
      <c r="Z737" s="14">
        <v>0.464141120384853</v>
      </c>
      <c r="AA737" s="14">
        <v>0.41615279613730899</v>
      </c>
      <c r="AB737" s="14"/>
      <c r="AC737" s="14">
        <v>0.18509480118701399</v>
      </c>
      <c r="AD737" s="14">
        <v>0.26139450139875098</v>
      </c>
      <c r="AE737" s="14">
        <v>0.50202640229203099</v>
      </c>
      <c r="AF737" s="14">
        <v>0.30419327571359001</v>
      </c>
      <c r="AG737" s="14">
        <v>0.39502978982204101</v>
      </c>
      <c r="AH737" s="14"/>
      <c r="AI737" s="14">
        <v>0.45031877245236801</v>
      </c>
      <c r="AJ737" s="14">
        <v>0.48172675438044699</v>
      </c>
      <c r="AK737" s="14">
        <v>8.5184038928328598E-2</v>
      </c>
      <c r="AL737" s="14">
        <v>0.38669823278724103</v>
      </c>
      <c r="AM737" s="14">
        <v>0.48875813255309097</v>
      </c>
      <c r="AN737" s="14">
        <v>0.64176194757538996</v>
      </c>
      <c r="AO737" s="14"/>
      <c r="AP737" s="14">
        <v>0.38926538806730698</v>
      </c>
      <c r="AQ737" s="14">
        <v>0.42976064112715001</v>
      </c>
      <c r="AR737" s="14"/>
      <c r="AS737" s="14">
        <v>0.40869167739465301</v>
      </c>
      <c r="AT737" s="14" t="s">
        <v>88</v>
      </c>
      <c r="AU737" s="14">
        <v>0</v>
      </c>
      <c r="AV737" s="14"/>
      <c r="AW737" s="14">
        <v>0.40054685241430699</v>
      </c>
      <c r="AX737" s="14">
        <v>0.36604248365338499</v>
      </c>
      <c r="AY737" s="14"/>
      <c r="AZ737" s="14">
        <v>0.381914116959292</v>
      </c>
      <c r="BA737" s="14">
        <v>0.67412164097795402</v>
      </c>
    </row>
    <row r="738" spans="2:53" x14ac:dyDescent="0.35">
      <c r="B738" t="s">
        <v>228</v>
      </c>
      <c r="C738" s="14">
        <v>0.12199317949158101</v>
      </c>
      <c r="D738" s="14">
        <v>0.11303426923052</v>
      </c>
      <c r="E738" s="14">
        <v>0.13771040918344701</v>
      </c>
      <c r="F738" s="14"/>
      <c r="G738" s="14">
        <v>0</v>
      </c>
      <c r="H738" s="14">
        <v>0.14701029271355701</v>
      </c>
      <c r="I738" s="14">
        <v>0.141409483760324</v>
      </c>
      <c r="J738" s="14">
        <v>4.5044918484180997E-2</v>
      </c>
      <c r="K738" s="14">
        <v>0</v>
      </c>
      <c r="L738" s="14" t="s">
        <v>88</v>
      </c>
      <c r="M738" s="14"/>
      <c r="N738" s="14">
        <v>0.242664592777427</v>
      </c>
      <c r="O738" s="14">
        <v>7.9776512369068506E-2</v>
      </c>
      <c r="P738" s="14">
        <v>4.5512508771139201E-2</v>
      </c>
      <c r="Q738" s="14">
        <v>5.7367633362774E-2</v>
      </c>
      <c r="R738" s="14"/>
      <c r="S738" s="14">
        <v>9.8896932730410406E-2</v>
      </c>
      <c r="T738" s="14">
        <v>0.17021174878866499</v>
      </c>
      <c r="U738" s="14">
        <v>0.17940704710684399</v>
      </c>
      <c r="V738" s="14">
        <v>0.114534285875539</v>
      </c>
      <c r="W738" s="14">
        <v>7.6094354807734396E-2</v>
      </c>
      <c r="X738" s="14">
        <v>0.216000664225453</v>
      </c>
      <c r="Y738" s="14">
        <v>0</v>
      </c>
      <c r="Z738" s="14">
        <v>0.535858879615147</v>
      </c>
      <c r="AA738" s="14">
        <v>2.4139760887692301E-2</v>
      </c>
      <c r="AB738" s="14"/>
      <c r="AC738" s="14">
        <v>0</v>
      </c>
      <c r="AD738" s="14">
        <v>0.12483608279790299</v>
      </c>
      <c r="AE738" s="14">
        <v>0.124159488048004</v>
      </c>
      <c r="AF738" s="14">
        <v>0.18995267034753799</v>
      </c>
      <c r="AG738" s="14">
        <v>6.0337259093697103E-2</v>
      </c>
      <c r="AH738" s="14"/>
      <c r="AI738" s="14">
        <v>0.114479371828742</v>
      </c>
      <c r="AJ738" s="14">
        <v>7.5607628022179102E-2</v>
      </c>
      <c r="AK738" s="14">
        <v>0.38359417491488701</v>
      </c>
      <c r="AL738" s="14">
        <v>0.16378207179847001</v>
      </c>
      <c r="AM738" s="14">
        <v>0</v>
      </c>
      <c r="AN738" s="14">
        <v>0</v>
      </c>
      <c r="AO738" s="14"/>
      <c r="AP738" s="14">
        <v>8.9370643169978198E-2</v>
      </c>
      <c r="AQ738" s="14">
        <v>0.16676908584605199</v>
      </c>
      <c r="AR738" s="14"/>
      <c r="AS738" s="14">
        <v>0.11689797495635</v>
      </c>
      <c r="AT738" s="14" t="s">
        <v>88</v>
      </c>
      <c r="AU738" s="14">
        <v>1</v>
      </c>
      <c r="AV738" s="14"/>
      <c r="AW738" s="14">
        <v>0.13156320473768299</v>
      </c>
      <c r="AX738" s="14">
        <v>9.5453993868661102E-2</v>
      </c>
      <c r="AY738" s="14"/>
      <c r="AZ738" s="14">
        <v>0.13311771923107699</v>
      </c>
      <c r="BA738" s="14">
        <v>0</v>
      </c>
    </row>
    <row r="739" spans="2:53" x14ac:dyDescent="0.35">
      <c r="B739" t="s">
        <v>229</v>
      </c>
      <c r="C739" s="14">
        <v>6.9564809512470599E-2</v>
      </c>
      <c r="D739" s="14">
        <v>5.7426287879100001E-2</v>
      </c>
      <c r="E739" s="14">
        <v>9.08602491442939E-2</v>
      </c>
      <c r="F739" s="14"/>
      <c r="G739" s="14">
        <v>0.22593041237876099</v>
      </c>
      <c r="H739" s="14">
        <v>8.9765781205738707E-2</v>
      </c>
      <c r="I739" s="14">
        <v>3.82910827861647E-2</v>
      </c>
      <c r="J739" s="14">
        <v>0.15268790101534199</v>
      </c>
      <c r="K739" s="14">
        <v>0</v>
      </c>
      <c r="L739" s="14" t="s">
        <v>88</v>
      </c>
      <c r="M739" s="14"/>
      <c r="N739" s="14">
        <v>1.71495134181943E-2</v>
      </c>
      <c r="O739" s="14">
        <v>0.107614159379184</v>
      </c>
      <c r="P739" s="14">
        <v>5.6353112100540698E-2</v>
      </c>
      <c r="Q739" s="14">
        <v>0.115085938311085</v>
      </c>
      <c r="R739" s="14"/>
      <c r="S739" s="14">
        <v>3.8334384787820003E-2</v>
      </c>
      <c r="T739" s="14">
        <v>8.6326267749284299E-2</v>
      </c>
      <c r="U739" s="14">
        <v>0.31562701713082802</v>
      </c>
      <c r="V739" s="14">
        <v>0</v>
      </c>
      <c r="W739" s="14">
        <v>0</v>
      </c>
      <c r="X739" s="14">
        <v>0</v>
      </c>
      <c r="Y739" s="14">
        <v>0.117457664992445</v>
      </c>
      <c r="Z739" s="14">
        <v>0</v>
      </c>
      <c r="AA739" s="14">
        <v>0</v>
      </c>
      <c r="AB739" s="14"/>
      <c r="AC739" s="14">
        <v>0</v>
      </c>
      <c r="AD739" s="14">
        <v>6.1816688632724201E-2</v>
      </c>
      <c r="AE739" s="14">
        <v>3.4502565021757803E-2</v>
      </c>
      <c r="AF739" s="14">
        <v>0.13529553116727699</v>
      </c>
      <c r="AG739" s="14">
        <v>0</v>
      </c>
      <c r="AH739" s="14"/>
      <c r="AI739" s="14">
        <v>6.03338107997217E-2</v>
      </c>
      <c r="AJ739" s="14">
        <v>0</v>
      </c>
      <c r="AK739" s="14">
        <v>0.19207792842346799</v>
      </c>
      <c r="AL739" s="14">
        <v>0.11537026526072799</v>
      </c>
      <c r="AM739" s="14">
        <v>0</v>
      </c>
      <c r="AN739" s="14">
        <v>0</v>
      </c>
      <c r="AO739" s="14"/>
      <c r="AP739" s="14">
        <v>8.1656390446777499E-2</v>
      </c>
      <c r="AQ739" s="14">
        <v>5.2968567875872098E-2</v>
      </c>
      <c r="AR739" s="14"/>
      <c r="AS739" s="14">
        <v>6.9968504477750201E-2</v>
      </c>
      <c r="AT739" s="14" t="s">
        <v>88</v>
      </c>
      <c r="AU739" s="14">
        <v>0</v>
      </c>
      <c r="AV739" s="14"/>
      <c r="AW739" s="14">
        <v>9.5146168249731905E-2</v>
      </c>
      <c r="AX739" s="14">
        <v>1.9603486494079E-2</v>
      </c>
      <c r="AY739" s="14"/>
      <c r="AZ739" s="14">
        <v>6.7523173773582704E-2</v>
      </c>
      <c r="BA739" s="14">
        <v>9.1953658038609498E-2</v>
      </c>
    </row>
    <row r="740" spans="2:53" x14ac:dyDescent="0.35">
      <c r="B740" t="s">
        <v>116</v>
      </c>
      <c r="C740" s="14">
        <v>8.4306764346870802E-2</v>
      </c>
      <c r="D740" s="14">
        <v>0.124019026149156</v>
      </c>
      <c r="E740" s="14">
        <v>1.46368243494994E-2</v>
      </c>
      <c r="F740" s="14"/>
      <c r="G740" s="14">
        <v>0</v>
      </c>
      <c r="H740" s="14">
        <v>4.9297253024408301E-2</v>
      </c>
      <c r="I740" s="14">
        <v>0.12899346378931401</v>
      </c>
      <c r="J740" s="14">
        <v>0</v>
      </c>
      <c r="K740" s="14">
        <v>0</v>
      </c>
      <c r="L740" s="14" t="s">
        <v>88</v>
      </c>
      <c r="M740" s="14"/>
      <c r="N740" s="14">
        <v>2.6310558155230101E-2</v>
      </c>
      <c r="O740" s="14">
        <v>0.189585938756832</v>
      </c>
      <c r="P740" s="14">
        <v>9.4443607810386396E-2</v>
      </c>
      <c r="Q740" s="14">
        <v>6.5351334834711797E-2</v>
      </c>
      <c r="R740" s="14"/>
      <c r="S740" s="14">
        <v>6.1606092555755498E-2</v>
      </c>
      <c r="T740" s="14">
        <v>8.0790833460258601E-2</v>
      </c>
      <c r="U740" s="14">
        <v>0.16221652869334199</v>
      </c>
      <c r="V740" s="14">
        <v>0</v>
      </c>
      <c r="W740" s="14">
        <v>0.40212382690467902</v>
      </c>
      <c r="X740" s="14">
        <v>0</v>
      </c>
      <c r="Y740" s="14">
        <v>0</v>
      </c>
      <c r="Z740" s="14">
        <v>0</v>
      </c>
      <c r="AA740" s="14">
        <v>4.82158440297554E-2</v>
      </c>
      <c r="AB740" s="14"/>
      <c r="AC740" s="14">
        <v>0</v>
      </c>
      <c r="AD740" s="14">
        <v>0.16110662398984901</v>
      </c>
      <c r="AE740" s="14">
        <v>6.47141110244705E-2</v>
      </c>
      <c r="AF740" s="14">
        <v>9.7974848638182704E-2</v>
      </c>
      <c r="AG740" s="14">
        <v>0</v>
      </c>
      <c r="AH740" s="14"/>
      <c r="AI740" s="14">
        <v>5.51247842148831E-2</v>
      </c>
      <c r="AJ740" s="14">
        <v>9.7095413264066094E-2</v>
      </c>
      <c r="AK740" s="14">
        <v>0</v>
      </c>
      <c r="AL740" s="14">
        <v>9.3940401687107794E-2</v>
      </c>
      <c r="AM740" s="14">
        <v>0</v>
      </c>
      <c r="AN740" s="14">
        <v>0.17111498702195599</v>
      </c>
      <c r="AO740" s="14"/>
      <c r="AP740" s="14">
        <v>9.3001253760602698E-2</v>
      </c>
      <c r="AQ740" s="14">
        <v>7.2373184445194194E-2</v>
      </c>
      <c r="AR740" s="14"/>
      <c r="AS740" s="14">
        <v>8.4796009074835602E-2</v>
      </c>
      <c r="AT740" s="14" t="s">
        <v>88</v>
      </c>
      <c r="AU740" s="14">
        <v>0</v>
      </c>
      <c r="AV740" s="14"/>
      <c r="AW740" s="14">
        <v>0.10687427694514801</v>
      </c>
      <c r="AX740" s="14">
        <v>4.3060559912257199E-2</v>
      </c>
      <c r="AY740" s="14"/>
      <c r="AZ740" s="14">
        <v>8.8174220183364793E-2</v>
      </c>
      <c r="BA740" s="14">
        <v>4.18957302649723E-2</v>
      </c>
    </row>
    <row r="741" spans="2:53" x14ac:dyDescent="0.35"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</row>
    <row r="742" spans="2:53" x14ac:dyDescent="0.35">
      <c r="B742" s="6" t="s">
        <v>266</v>
      </c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</row>
    <row r="743" spans="2:53" x14ac:dyDescent="0.35">
      <c r="B743" s="24" t="s">
        <v>219</v>
      </c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</row>
    <row r="744" spans="2:53" x14ac:dyDescent="0.35">
      <c r="B744" t="s">
        <v>231</v>
      </c>
      <c r="C744" s="14">
        <v>0.12986088288557601</v>
      </c>
      <c r="D744" s="14">
        <v>8.3851009135420901E-2</v>
      </c>
      <c r="E744" s="14">
        <v>0.210579154723608</v>
      </c>
      <c r="F744" s="14"/>
      <c r="G744" s="14">
        <v>1</v>
      </c>
      <c r="H744" s="14">
        <v>0.193967862571997</v>
      </c>
      <c r="I744" s="14">
        <v>8.2546107170791999E-2</v>
      </c>
      <c r="J744" s="14">
        <v>6.9447127698527802E-2</v>
      </c>
      <c r="K744" s="14">
        <v>0</v>
      </c>
      <c r="L744" s="14" t="s">
        <v>88</v>
      </c>
      <c r="M744" s="14"/>
      <c r="N744" s="14">
        <v>6.3066917972001299E-2</v>
      </c>
      <c r="O744" s="14">
        <v>0.16418902026051599</v>
      </c>
      <c r="P744" s="14">
        <v>0.168496738098601</v>
      </c>
      <c r="Q744" s="14">
        <v>0.15937324933376101</v>
      </c>
      <c r="R744" s="14"/>
      <c r="S744" s="14">
        <v>0.206885389599126</v>
      </c>
      <c r="T744" s="14">
        <v>0.27745357060327303</v>
      </c>
      <c r="U744" s="14">
        <v>0</v>
      </c>
      <c r="V744" s="14">
        <v>5.7267142937769501E-2</v>
      </c>
      <c r="W744" s="14">
        <v>0</v>
      </c>
      <c r="X744" s="14">
        <v>0.26698242814064099</v>
      </c>
      <c r="Y744" s="14">
        <v>0.117457664992445</v>
      </c>
      <c r="Z744" s="14">
        <v>0</v>
      </c>
      <c r="AA744" s="14">
        <v>0</v>
      </c>
      <c r="AB744" s="14"/>
      <c r="AC744" s="14">
        <v>0.20313486586861099</v>
      </c>
      <c r="AD744" s="14">
        <v>0.159696210854082</v>
      </c>
      <c r="AE744" s="14">
        <v>7.40251007966094E-2</v>
      </c>
      <c r="AF744" s="14">
        <v>0.19729369703757399</v>
      </c>
      <c r="AG744" s="14">
        <v>0.150091819075826</v>
      </c>
      <c r="AH744" s="14"/>
      <c r="AI744" s="14">
        <v>0.14121024562305701</v>
      </c>
      <c r="AJ744" s="14">
        <v>0.19851792337358401</v>
      </c>
      <c r="AK744" s="14">
        <v>5.5729248471309001E-2</v>
      </c>
      <c r="AL744" s="14">
        <v>8.8934467298346295E-2</v>
      </c>
      <c r="AM744" s="14">
        <v>0.255620939214592</v>
      </c>
      <c r="AN744" s="14">
        <v>0</v>
      </c>
      <c r="AO744" s="14"/>
      <c r="AP744" s="14">
        <v>9.45070321304122E-2</v>
      </c>
      <c r="AQ744" s="14">
        <v>0.178385641815336</v>
      </c>
      <c r="AR744" s="14"/>
      <c r="AS744" s="14">
        <v>0.130614484957875</v>
      </c>
      <c r="AT744" s="14" t="s">
        <v>88</v>
      </c>
      <c r="AU744" s="14">
        <v>0</v>
      </c>
      <c r="AV744" s="14"/>
      <c r="AW744" s="14">
        <v>0.11793259685417</v>
      </c>
      <c r="AX744" s="14">
        <v>0.17317394222740001</v>
      </c>
      <c r="AY744" s="14"/>
      <c r="AZ744" s="14">
        <v>0.113899800402004</v>
      </c>
      <c r="BA744" s="14">
        <v>0.30489223212740801</v>
      </c>
    </row>
    <row r="745" spans="2:53" x14ac:dyDescent="0.35">
      <c r="B745" t="s">
        <v>232</v>
      </c>
      <c r="C745" s="14">
        <v>0.55187646513324895</v>
      </c>
      <c r="D745" s="14">
        <v>0.56285957606452197</v>
      </c>
      <c r="E745" s="14">
        <v>0.53260804160764197</v>
      </c>
      <c r="F745" s="14"/>
      <c r="G745" s="14">
        <v>0</v>
      </c>
      <c r="H745" s="14">
        <v>0.53376020143093195</v>
      </c>
      <c r="I745" s="14">
        <v>0.56178273706920101</v>
      </c>
      <c r="J745" s="14">
        <v>0.53318502777175902</v>
      </c>
      <c r="K745" s="14">
        <v>1</v>
      </c>
      <c r="L745" s="14" t="s">
        <v>88</v>
      </c>
      <c r="M745" s="14"/>
      <c r="N745" s="14">
        <v>0.74621469134723795</v>
      </c>
      <c r="O745" s="14">
        <v>0.43400250142740099</v>
      </c>
      <c r="P745" s="14">
        <v>0.39731296828137902</v>
      </c>
      <c r="Q745" s="14">
        <v>0.51108449169568204</v>
      </c>
      <c r="R745" s="14"/>
      <c r="S745" s="14">
        <v>0.56157845283349295</v>
      </c>
      <c r="T745" s="14">
        <v>0.581346509435134</v>
      </c>
      <c r="U745" s="14">
        <v>0.423453801432495</v>
      </c>
      <c r="V745" s="14">
        <v>0.80562904956913395</v>
      </c>
      <c r="W745" s="14">
        <v>0.19028613987247101</v>
      </c>
      <c r="X745" s="14">
        <v>0.40457770402482202</v>
      </c>
      <c r="Y745" s="14">
        <v>0.68700527214986395</v>
      </c>
      <c r="Z745" s="14">
        <v>1</v>
      </c>
      <c r="AA745" s="14">
        <v>0.48489007812821</v>
      </c>
      <c r="AB745" s="14"/>
      <c r="AC745" s="14">
        <v>0.79686513413138904</v>
      </c>
      <c r="AD745" s="14">
        <v>0.55614620481725396</v>
      </c>
      <c r="AE745" s="14">
        <v>0.62309619222477797</v>
      </c>
      <c r="AF745" s="14">
        <v>0.51814025548910803</v>
      </c>
      <c r="AG745" s="14">
        <v>0.78092539716446197</v>
      </c>
      <c r="AH745" s="14"/>
      <c r="AI745" s="14">
        <v>0.67062490869258695</v>
      </c>
      <c r="AJ745" s="14">
        <v>0.51082366205605301</v>
      </c>
      <c r="AK745" s="14">
        <v>0.53831353565992202</v>
      </c>
      <c r="AL745" s="14">
        <v>0.55574357675115105</v>
      </c>
      <c r="AM745" s="14">
        <v>0.74437906078540805</v>
      </c>
      <c r="AN745" s="14">
        <v>0.36887911607856999</v>
      </c>
      <c r="AO745" s="14"/>
      <c r="AP745" s="14">
        <v>0.52571638954894995</v>
      </c>
      <c r="AQ745" s="14">
        <v>0.58778235188101802</v>
      </c>
      <c r="AR745" s="14"/>
      <c r="AS745" s="14">
        <v>0.54927593742222902</v>
      </c>
      <c r="AT745" s="14" t="s">
        <v>88</v>
      </c>
      <c r="AU745" s="14">
        <v>1</v>
      </c>
      <c r="AV745" s="14"/>
      <c r="AW745" s="14">
        <v>0.58812871221067298</v>
      </c>
      <c r="AX745" s="14">
        <v>0.51729580388691698</v>
      </c>
      <c r="AY745" s="14"/>
      <c r="AZ745" s="14">
        <v>0.57050688753508605</v>
      </c>
      <c r="BA745" s="14">
        <v>0.34757278001068798</v>
      </c>
    </row>
    <row r="746" spans="2:53" x14ac:dyDescent="0.35">
      <c r="B746" t="s">
        <v>233</v>
      </c>
      <c r="C746" s="14">
        <v>0.205232077814613</v>
      </c>
      <c r="D746" s="14">
        <v>0.20091333570719599</v>
      </c>
      <c r="E746" s="14">
        <v>0.21280874280000101</v>
      </c>
      <c r="F746" s="14"/>
      <c r="G746" s="14">
        <v>0</v>
      </c>
      <c r="H746" s="14">
        <v>0.15242732786124899</v>
      </c>
      <c r="I746" s="14">
        <v>0.22667769197069301</v>
      </c>
      <c r="J746" s="14">
        <v>0.31412707121289901</v>
      </c>
      <c r="K746" s="14">
        <v>0</v>
      </c>
      <c r="L746" s="14" t="s">
        <v>88</v>
      </c>
      <c r="M746" s="14"/>
      <c r="N746" s="14">
        <v>0.16440783252553101</v>
      </c>
      <c r="O746" s="14">
        <v>0.212222539555252</v>
      </c>
      <c r="P746" s="14">
        <v>0.28339357370909202</v>
      </c>
      <c r="Q746" s="14">
        <v>0.19530378909101601</v>
      </c>
      <c r="R746" s="14"/>
      <c r="S746" s="14">
        <v>0.13159568022380599</v>
      </c>
      <c r="T746" s="14">
        <v>6.0409086501334898E-2</v>
      </c>
      <c r="U746" s="14">
        <v>0.41432966987416198</v>
      </c>
      <c r="V746" s="14">
        <v>0.137103807493096</v>
      </c>
      <c r="W746" s="14">
        <v>0.40759003322284998</v>
      </c>
      <c r="X746" s="14">
        <v>0.32843986783453699</v>
      </c>
      <c r="Y746" s="14">
        <v>0.19553706285769001</v>
      </c>
      <c r="Z746" s="14">
        <v>0</v>
      </c>
      <c r="AA746" s="14">
        <v>0.30301450617772402</v>
      </c>
      <c r="AB746" s="14"/>
      <c r="AC746" s="14">
        <v>0</v>
      </c>
      <c r="AD746" s="14">
        <v>0.123050960338815</v>
      </c>
      <c r="AE746" s="14">
        <v>0.23816459595414199</v>
      </c>
      <c r="AF746" s="14">
        <v>0.13102314429395201</v>
      </c>
      <c r="AG746" s="14">
        <v>6.8982783759711994E-2</v>
      </c>
      <c r="AH746" s="14"/>
      <c r="AI746" s="14">
        <v>0.100147913272252</v>
      </c>
      <c r="AJ746" s="14">
        <v>0.193563001306297</v>
      </c>
      <c r="AK746" s="14">
        <v>0.40595721586876898</v>
      </c>
      <c r="AL746" s="14">
        <v>0.26138155426339499</v>
      </c>
      <c r="AM746" s="14">
        <v>0</v>
      </c>
      <c r="AN746" s="14">
        <v>0.31005988896339098</v>
      </c>
      <c r="AO746" s="14"/>
      <c r="AP746" s="14">
        <v>0.23712410968192901</v>
      </c>
      <c r="AQ746" s="14">
        <v>0.16145882185845201</v>
      </c>
      <c r="AR746" s="14"/>
      <c r="AS746" s="14">
        <v>0.20642307017279399</v>
      </c>
      <c r="AT746" s="14" t="s">
        <v>88</v>
      </c>
      <c r="AU746" s="14">
        <v>0</v>
      </c>
      <c r="AV746" s="14"/>
      <c r="AW746" s="14">
        <v>0.171168601334617</v>
      </c>
      <c r="AX746" s="14">
        <v>0.26646969397342601</v>
      </c>
      <c r="AY746" s="14"/>
      <c r="AZ746" s="14">
        <v>0.19607596215081799</v>
      </c>
      <c r="BA746" s="14">
        <v>0.305639257596931</v>
      </c>
    </row>
    <row r="747" spans="2:53" x14ac:dyDescent="0.35">
      <c r="B747" t="s">
        <v>116</v>
      </c>
      <c r="C747" s="14">
        <v>0.113030574166562</v>
      </c>
      <c r="D747" s="14">
        <v>0.15237607909286199</v>
      </c>
      <c r="E747" s="14">
        <v>4.4004060868749202E-2</v>
      </c>
      <c r="F747" s="14"/>
      <c r="G747" s="14">
        <v>0</v>
      </c>
      <c r="H747" s="14">
        <v>0.119844608135822</v>
      </c>
      <c r="I747" s="14">
        <v>0.12899346378931401</v>
      </c>
      <c r="J747" s="14">
        <v>8.3240773316814398E-2</v>
      </c>
      <c r="K747" s="14">
        <v>0</v>
      </c>
      <c r="L747" s="14" t="s">
        <v>88</v>
      </c>
      <c r="M747" s="14"/>
      <c r="N747" s="14">
        <v>2.6310558155230101E-2</v>
      </c>
      <c r="O747" s="14">
        <v>0.189585938756832</v>
      </c>
      <c r="P747" s="14">
        <v>0.150796719910927</v>
      </c>
      <c r="Q747" s="14">
        <v>0.13423846987954199</v>
      </c>
      <c r="R747" s="14"/>
      <c r="S747" s="14">
        <v>9.9940477343575501E-2</v>
      </c>
      <c r="T747" s="14">
        <v>8.0790833460258601E-2</v>
      </c>
      <c r="U747" s="14">
        <v>0.16221652869334199</v>
      </c>
      <c r="V747" s="14">
        <v>0</v>
      </c>
      <c r="W747" s="14">
        <v>0.40212382690467902</v>
      </c>
      <c r="X747" s="14">
        <v>0</v>
      </c>
      <c r="Y747" s="14">
        <v>0</v>
      </c>
      <c r="Z747" s="14">
        <v>0</v>
      </c>
      <c r="AA747" s="14">
        <v>0.21209541569406501</v>
      </c>
      <c r="AB747" s="14"/>
      <c r="AC747" s="14">
        <v>0</v>
      </c>
      <c r="AD747" s="14">
        <v>0.16110662398984901</v>
      </c>
      <c r="AE747" s="14">
        <v>6.47141110244705E-2</v>
      </c>
      <c r="AF747" s="14">
        <v>0.153542903179366</v>
      </c>
      <c r="AG747" s="14">
        <v>0</v>
      </c>
      <c r="AH747" s="14"/>
      <c r="AI747" s="14">
        <v>8.8016932412103802E-2</v>
      </c>
      <c r="AJ747" s="14">
        <v>9.7095413264066094E-2</v>
      </c>
      <c r="AK747" s="14">
        <v>0</v>
      </c>
      <c r="AL747" s="14">
        <v>9.3940401687107794E-2</v>
      </c>
      <c r="AM747" s="14">
        <v>0</v>
      </c>
      <c r="AN747" s="14">
        <v>0.32106099495803903</v>
      </c>
      <c r="AO747" s="14"/>
      <c r="AP747" s="14">
        <v>0.14265246863870901</v>
      </c>
      <c r="AQ747" s="14">
        <v>7.2373184445194194E-2</v>
      </c>
      <c r="AR747" s="14"/>
      <c r="AS747" s="14">
        <v>0.113686507447102</v>
      </c>
      <c r="AT747" s="14" t="s">
        <v>88</v>
      </c>
      <c r="AU747" s="14">
        <v>0</v>
      </c>
      <c r="AV747" s="14"/>
      <c r="AW747" s="14">
        <v>0.12277008960054001</v>
      </c>
      <c r="AX747" s="14">
        <v>4.3060559912257199E-2</v>
      </c>
      <c r="AY747" s="14"/>
      <c r="AZ747" s="14">
        <v>0.11951734991209099</v>
      </c>
      <c r="BA747" s="14">
        <v>4.18957302649723E-2</v>
      </c>
    </row>
    <row r="748" spans="2:53" x14ac:dyDescent="0.35"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</row>
    <row r="749" spans="2:53" x14ac:dyDescent="0.35">
      <c r="B749" s="6" t="s">
        <v>267</v>
      </c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</row>
    <row r="750" spans="2:53" x14ac:dyDescent="0.35">
      <c r="B750" s="24" t="s">
        <v>219</v>
      </c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</row>
    <row r="751" spans="2:53" x14ac:dyDescent="0.35">
      <c r="B751" t="s">
        <v>235</v>
      </c>
      <c r="C751" s="14">
        <v>0.298709406055363</v>
      </c>
      <c r="D751" s="14">
        <v>0.31341808659049197</v>
      </c>
      <c r="E751" s="14">
        <v>0.27290496068217202</v>
      </c>
      <c r="F751" s="14"/>
      <c r="G751" s="14">
        <v>0</v>
      </c>
      <c r="H751" s="14">
        <v>0.311179564563977</v>
      </c>
      <c r="I751" s="14">
        <v>0.28033138933450802</v>
      </c>
      <c r="J751" s="14">
        <v>0.33260939808832601</v>
      </c>
      <c r="K751" s="14">
        <v>0.59458602342188105</v>
      </c>
      <c r="L751" s="14" t="s">
        <v>88</v>
      </c>
      <c r="M751" s="14"/>
      <c r="N751" s="14">
        <v>0.39161758536671198</v>
      </c>
      <c r="O751" s="14">
        <v>0.27152538418431799</v>
      </c>
      <c r="P751" s="14">
        <v>0.30530838248953401</v>
      </c>
      <c r="Q751" s="14">
        <v>0.197366025991322</v>
      </c>
      <c r="R751" s="14"/>
      <c r="S751" s="14">
        <v>0.32092970106023599</v>
      </c>
      <c r="T751" s="14">
        <v>0.39203323632132703</v>
      </c>
      <c r="U751" s="14">
        <v>0.15912680962213599</v>
      </c>
      <c r="V751" s="14">
        <v>0.108432420638646</v>
      </c>
      <c r="W751" s="14">
        <v>0.179660424690117</v>
      </c>
      <c r="X751" s="14">
        <v>2.6386967920725399E-2</v>
      </c>
      <c r="Y751" s="14">
        <v>0.52595463337123505</v>
      </c>
      <c r="Z751" s="14">
        <v>0</v>
      </c>
      <c r="AA751" s="14">
        <v>0.57597522893124498</v>
      </c>
      <c r="AB751" s="14"/>
      <c r="AC751" s="14">
        <v>0.81490519881298595</v>
      </c>
      <c r="AD751" s="14">
        <v>0.16156691858208999</v>
      </c>
      <c r="AE751" s="14">
        <v>0.274099483427372</v>
      </c>
      <c r="AF751" s="14">
        <v>0.364398164040804</v>
      </c>
      <c r="AG751" s="14">
        <v>0.180171923218828</v>
      </c>
      <c r="AH751" s="14"/>
      <c r="AI751" s="14">
        <v>0.33795657001811102</v>
      </c>
      <c r="AJ751" s="14">
        <v>0.426213885559526</v>
      </c>
      <c r="AK751" s="14">
        <v>0.23362338451617301</v>
      </c>
      <c r="AL751" s="14">
        <v>0.108269912318099</v>
      </c>
      <c r="AM751" s="14">
        <v>0.19724319918307801</v>
      </c>
      <c r="AN751" s="14">
        <v>0.25956643281458602</v>
      </c>
      <c r="AO751" s="14"/>
      <c r="AP751" s="14">
        <v>0.27999460344032401</v>
      </c>
      <c r="AQ751" s="14">
        <v>0.32439631896343402</v>
      </c>
      <c r="AR751" s="14"/>
      <c r="AS751" s="14">
        <v>0.30044286129158598</v>
      </c>
      <c r="AT751" s="14" t="s">
        <v>88</v>
      </c>
      <c r="AU751" s="14">
        <v>0</v>
      </c>
      <c r="AV751" s="14"/>
      <c r="AW751" s="14">
        <v>0.24487982458597399</v>
      </c>
      <c r="AX751" s="14">
        <v>0.45873487570553401</v>
      </c>
      <c r="AY751" s="14"/>
      <c r="AZ751" s="14">
        <v>0.29032241974591899</v>
      </c>
      <c r="BA751" s="14">
        <v>0.39068221124108699</v>
      </c>
    </row>
    <row r="752" spans="2:53" x14ac:dyDescent="0.35">
      <c r="B752" t="s">
        <v>236</v>
      </c>
      <c r="C752" s="14">
        <v>0.48983658808038399</v>
      </c>
      <c r="D752" s="14">
        <v>0.46437113179468298</v>
      </c>
      <c r="E752" s="14">
        <v>0.53451238167440196</v>
      </c>
      <c r="F752" s="14"/>
      <c r="G752" s="14">
        <v>0</v>
      </c>
      <c r="H752" s="14">
        <v>0.46544375316379299</v>
      </c>
      <c r="I752" s="14">
        <v>0.55558270600455995</v>
      </c>
      <c r="J752" s="14">
        <v>0.37348909971276301</v>
      </c>
      <c r="K752" s="14">
        <v>0.40541397657811901</v>
      </c>
      <c r="L752" s="14" t="s">
        <v>88</v>
      </c>
      <c r="M752" s="14"/>
      <c r="N752" s="14">
        <v>0.50293509633478295</v>
      </c>
      <c r="O752" s="14">
        <v>0.47584604637748301</v>
      </c>
      <c r="P752" s="14">
        <v>0.44984087219924201</v>
      </c>
      <c r="Q752" s="14">
        <v>0.51335530959549402</v>
      </c>
      <c r="R752" s="14"/>
      <c r="S752" s="14">
        <v>0.45786512183315398</v>
      </c>
      <c r="T752" s="14">
        <v>0.32646813793566998</v>
      </c>
      <c r="U752" s="14">
        <v>0.52524615738134595</v>
      </c>
      <c r="V752" s="14">
        <v>0.83430043642358398</v>
      </c>
      <c r="W752" s="14">
        <v>0.50857896353916299</v>
      </c>
      <c r="X752" s="14">
        <v>0.83193453223167602</v>
      </c>
      <c r="Y752" s="14">
        <v>0.35658770163631898</v>
      </c>
      <c r="Z752" s="14">
        <v>1</v>
      </c>
      <c r="AA752" s="14">
        <v>0.21192935537468999</v>
      </c>
      <c r="AB752" s="14"/>
      <c r="AC752" s="14">
        <v>0.18509480118701399</v>
      </c>
      <c r="AD752" s="14">
        <v>0.49109600507318302</v>
      </c>
      <c r="AE752" s="14">
        <v>0.60150552088435705</v>
      </c>
      <c r="AF752" s="14">
        <v>0.47023619389494797</v>
      </c>
      <c r="AG752" s="14">
        <v>0.649791702012946</v>
      </c>
      <c r="AH752" s="14"/>
      <c r="AI752" s="14">
        <v>0.52487387996257995</v>
      </c>
      <c r="AJ752" s="14">
        <v>0.45785945878130602</v>
      </c>
      <c r="AK752" s="14">
        <v>0.466489943418887</v>
      </c>
      <c r="AL752" s="14">
        <v>0.64132241040166404</v>
      </c>
      <c r="AM752" s="14">
        <v>0.54713586160233096</v>
      </c>
      <c r="AN752" s="14">
        <v>0.30864806185585397</v>
      </c>
      <c r="AO752" s="14"/>
      <c r="AP752" s="14">
        <v>0.46056194462564598</v>
      </c>
      <c r="AQ752" s="14">
        <v>0.53001736007700695</v>
      </c>
      <c r="AR752" s="14"/>
      <c r="AS752" s="14">
        <v>0.49267918286075801</v>
      </c>
      <c r="AT752" s="14" t="s">
        <v>88</v>
      </c>
      <c r="AU752" s="14">
        <v>0</v>
      </c>
      <c r="AV752" s="14"/>
      <c r="AW752" s="14">
        <v>0.56028426800921505</v>
      </c>
      <c r="AX752" s="14">
        <v>0.38903548113313902</v>
      </c>
      <c r="AY752" s="14"/>
      <c r="AZ752" s="14">
        <v>0.512542818786622</v>
      </c>
      <c r="BA752" s="14">
        <v>0.24083704805546399</v>
      </c>
    </row>
    <row r="753" spans="2:53" x14ac:dyDescent="0.35">
      <c r="B753" t="s">
        <v>237</v>
      </c>
      <c r="C753" s="14">
        <v>0.12884043208839699</v>
      </c>
      <c r="D753" s="14">
        <v>0.14178223723225</v>
      </c>
      <c r="E753" s="14">
        <v>0.106135737192928</v>
      </c>
      <c r="F753" s="14"/>
      <c r="G753" s="14">
        <v>0.77406958762123901</v>
      </c>
      <c r="H753" s="14">
        <v>0.12907291089629699</v>
      </c>
      <c r="I753" s="14">
        <v>0.104405054585922</v>
      </c>
      <c r="J753" s="14">
        <v>0.14121360118356899</v>
      </c>
      <c r="K753" s="14">
        <v>0</v>
      </c>
      <c r="L753" s="14" t="s">
        <v>88</v>
      </c>
      <c r="M753" s="14"/>
      <c r="N753" s="14">
        <v>8.8297804880311401E-2</v>
      </c>
      <c r="O753" s="14">
        <v>0.152517207245986</v>
      </c>
      <c r="P753" s="14">
        <v>9.4054025400296101E-2</v>
      </c>
      <c r="Q753" s="14">
        <v>0.186465152776257</v>
      </c>
      <c r="R753" s="14"/>
      <c r="S753" s="14">
        <v>0.18287079231879</v>
      </c>
      <c r="T753" s="14">
        <v>0.24456594315268701</v>
      </c>
      <c r="U753" s="14">
        <v>0.18362258252816799</v>
      </c>
      <c r="V753" s="14">
        <v>5.7267142937769501E-2</v>
      </c>
      <c r="W753" s="14">
        <v>7.6094354807734396E-2</v>
      </c>
      <c r="X753" s="14">
        <v>2.6386967920725399E-2</v>
      </c>
      <c r="Y753" s="14">
        <v>0</v>
      </c>
      <c r="Z753" s="14">
        <v>0</v>
      </c>
      <c r="AA753" s="14">
        <v>4.82158440297554E-2</v>
      </c>
      <c r="AB753" s="14"/>
      <c r="AC753" s="14">
        <v>0</v>
      </c>
      <c r="AD753" s="14">
        <v>0.119075584759539</v>
      </c>
      <c r="AE753" s="14">
        <v>0.109633877019257</v>
      </c>
      <c r="AF753" s="14">
        <v>3.0070101314478501E-2</v>
      </c>
      <c r="AG753" s="14">
        <v>0.170036374768226</v>
      </c>
      <c r="AH753" s="14"/>
      <c r="AI753" s="14">
        <v>2.1710955004704401E-2</v>
      </c>
      <c r="AJ753" s="14">
        <v>0.115926655659168</v>
      </c>
      <c r="AK753" s="14">
        <v>0.29988667206494002</v>
      </c>
      <c r="AL753" s="14">
        <v>0.218906143317838</v>
      </c>
      <c r="AM753" s="14">
        <v>0.255620939214592</v>
      </c>
      <c r="AN753" s="14">
        <v>0.104347433452338</v>
      </c>
      <c r="AO753" s="14"/>
      <c r="AP753" s="14">
        <v>0.14194810432503799</v>
      </c>
      <c r="AQ753" s="14">
        <v>0.11084955918976599</v>
      </c>
      <c r="AR753" s="14"/>
      <c r="AS753" s="14">
        <v>0.123784963181261</v>
      </c>
      <c r="AT753" s="14" t="s">
        <v>88</v>
      </c>
      <c r="AU753" s="14">
        <v>1</v>
      </c>
      <c r="AV753" s="14"/>
      <c r="AW753" s="14">
        <v>0.107163484833926</v>
      </c>
      <c r="AX753" s="14">
        <v>0.132626156667248</v>
      </c>
      <c r="AY753" s="14"/>
      <c r="AZ753" s="14">
        <v>0.10698766829059</v>
      </c>
      <c r="BA753" s="14">
        <v>0.36848074070344899</v>
      </c>
    </row>
    <row r="754" spans="2:53" x14ac:dyDescent="0.35">
      <c r="B754" t="s">
        <v>238</v>
      </c>
      <c r="C754" s="14">
        <v>1.46411379008306E-2</v>
      </c>
      <c r="D754" s="14">
        <v>0</v>
      </c>
      <c r="E754" s="14">
        <v>4.0327088605996E-2</v>
      </c>
      <c r="F754" s="14"/>
      <c r="G754" s="14">
        <v>0.22593041237876099</v>
      </c>
      <c r="H754" s="14">
        <v>0</v>
      </c>
      <c r="I754" s="14">
        <v>0</v>
      </c>
      <c r="J754" s="14">
        <v>6.9447127698527802E-2</v>
      </c>
      <c r="K754" s="14">
        <v>0</v>
      </c>
      <c r="L754" s="14" t="s">
        <v>88</v>
      </c>
      <c r="M754" s="14"/>
      <c r="N754" s="14">
        <v>1.71495134181943E-2</v>
      </c>
      <c r="O754" s="14">
        <v>0</v>
      </c>
      <c r="P754" s="14">
        <v>0</v>
      </c>
      <c r="Q754" s="14">
        <v>3.39263765920974E-2</v>
      </c>
      <c r="R754" s="14"/>
      <c r="S754" s="14">
        <v>0</v>
      </c>
      <c r="T754" s="14">
        <v>3.6932682590315097E-2</v>
      </c>
      <c r="U754" s="14">
        <v>0</v>
      </c>
      <c r="V754" s="14">
        <v>0</v>
      </c>
      <c r="W754" s="14">
        <v>0</v>
      </c>
      <c r="X754" s="14">
        <v>0</v>
      </c>
      <c r="Y754" s="14">
        <v>0.117457664992445</v>
      </c>
      <c r="Z754" s="14">
        <v>0</v>
      </c>
      <c r="AA754" s="14">
        <v>0</v>
      </c>
      <c r="AB754" s="14"/>
      <c r="AC754" s="14">
        <v>0</v>
      </c>
      <c r="AD754" s="14">
        <v>6.1816688632724201E-2</v>
      </c>
      <c r="AE754" s="14">
        <v>1.4761118669014301E-2</v>
      </c>
      <c r="AF754" s="14">
        <v>0</v>
      </c>
      <c r="AG754" s="14">
        <v>0</v>
      </c>
      <c r="AH754" s="14"/>
      <c r="AI754" s="14">
        <v>2.7441662602500999E-2</v>
      </c>
      <c r="AJ754" s="14">
        <v>0</v>
      </c>
      <c r="AK754" s="14">
        <v>0</v>
      </c>
      <c r="AL754" s="14">
        <v>3.1501533962398999E-2</v>
      </c>
      <c r="AM754" s="14">
        <v>0</v>
      </c>
      <c r="AN754" s="14">
        <v>0</v>
      </c>
      <c r="AO754" s="14"/>
      <c r="AP754" s="14">
        <v>0</v>
      </c>
      <c r="AQ754" s="14">
        <v>3.47367617697927E-2</v>
      </c>
      <c r="AR754" s="14"/>
      <c r="AS754" s="14">
        <v>1.4726102607813299E-2</v>
      </c>
      <c r="AT754" s="14" t="s">
        <v>88</v>
      </c>
      <c r="AU754" s="14">
        <v>0</v>
      </c>
      <c r="AV754" s="14"/>
      <c r="AW754" s="14">
        <v>1.32617524725459E-2</v>
      </c>
      <c r="AX754" s="14">
        <v>1.9603486494079E-2</v>
      </c>
      <c r="AY754" s="14"/>
      <c r="AZ754" s="14">
        <v>1.59762610699129E-2</v>
      </c>
      <c r="BA754" s="14">
        <v>0</v>
      </c>
    </row>
    <row r="755" spans="2:53" x14ac:dyDescent="0.35">
      <c r="B755" t="s">
        <v>116</v>
      </c>
      <c r="C755" s="14">
        <v>6.7972435875024897E-2</v>
      </c>
      <c r="D755" s="14">
        <v>8.0428544382575407E-2</v>
      </c>
      <c r="E755" s="14">
        <v>4.6119831844502003E-2</v>
      </c>
      <c r="F755" s="14"/>
      <c r="G755" s="14">
        <v>0</v>
      </c>
      <c r="H755" s="14">
        <v>9.4303771375932002E-2</v>
      </c>
      <c r="I755" s="14">
        <v>5.9680850075010901E-2</v>
      </c>
      <c r="J755" s="14">
        <v>8.3240773316814398E-2</v>
      </c>
      <c r="K755" s="14">
        <v>0</v>
      </c>
      <c r="L755" s="14" t="s">
        <v>88</v>
      </c>
      <c r="M755" s="14"/>
      <c r="N755" s="14">
        <v>0</v>
      </c>
      <c r="O755" s="14">
        <v>0.10011136219221201</v>
      </c>
      <c r="P755" s="14">
        <v>0.150796719910927</v>
      </c>
      <c r="Q755" s="14">
        <v>6.8887135044829795E-2</v>
      </c>
      <c r="R755" s="14"/>
      <c r="S755" s="14">
        <v>3.8334384787820003E-2</v>
      </c>
      <c r="T755" s="14">
        <v>0</v>
      </c>
      <c r="U755" s="14">
        <v>0.13200445046834999</v>
      </c>
      <c r="V755" s="14">
        <v>0</v>
      </c>
      <c r="W755" s="14">
        <v>0.23566625696298499</v>
      </c>
      <c r="X755" s="14">
        <v>0.115291531926873</v>
      </c>
      <c r="Y755" s="14">
        <v>0</v>
      </c>
      <c r="Z755" s="14">
        <v>0</v>
      </c>
      <c r="AA755" s="14">
        <v>0.16387957166431</v>
      </c>
      <c r="AB755" s="14"/>
      <c r="AC755" s="14">
        <v>0</v>
      </c>
      <c r="AD755" s="14">
        <v>0.166444802952465</v>
      </c>
      <c r="AE755" s="14">
        <v>0</v>
      </c>
      <c r="AF755" s="14">
        <v>0.13529554074976899</v>
      </c>
      <c r="AG755" s="14">
        <v>0</v>
      </c>
      <c r="AH755" s="14"/>
      <c r="AI755" s="14">
        <v>8.8016932412103802E-2</v>
      </c>
      <c r="AJ755" s="14">
        <v>0</v>
      </c>
      <c r="AK755" s="14">
        <v>0</v>
      </c>
      <c r="AL755" s="14">
        <v>0</v>
      </c>
      <c r="AM755" s="14">
        <v>0</v>
      </c>
      <c r="AN755" s="14">
        <v>0.32743807187722201</v>
      </c>
      <c r="AO755" s="14"/>
      <c r="AP755" s="14">
        <v>0.117495347608992</v>
      </c>
      <c r="AQ755" s="14">
        <v>0</v>
      </c>
      <c r="AR755" s="14"/>
      <c r="AS755" s="14">
        <v>6.8366890058582E-2</v>
      </c>
      <c r="AT755" s="14" t="s">
        <v>88</v>
      </c>
      <c r="AU755" s="14">
        <v>0</v>
      </c>
      <c r="AV755" s="14"/>
      <c r="AW755" s="14">
        <v>7.4410670098337905E-2</v>
      </c>
      <c r="AX755" s="14">
        <v>0</v>
      </c>
      <c r="AY755" s="14"/>
      <c r="AZ755" s="14">
        <v>7.4170832106956797E-2</v>
      </c>
      <c r="BA755" s="14">
        <v>0</v>
      </c>
    </row>
    <row r="756" spans="2:53" x14ac:dyDescent="0.35"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</row>
    <row r="757" spans="2:53" x14ac:dyDescent="0.35">
      <c r="B757" s="6" t="s">
        <v>268</v>
      </c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</row>
    <row r="758" spans="2:53" x14ac:dyDescent="0.35">
      <c r="B758" s="24" t="s">
        <v>219</v>
      </c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</row>
    <row r="759" spans="2:53" x14ac:dyDescent="0.35">
      <c r="B759" t="s">
        <v>220</v>
      </c>
      <c r="C759" s="14">
        <v>0.38606742949029799</v>
      </c>
      <c r="D759" s="14">
        <v>0.46666201225649001</v>
      </c>
      <c r="E759" s="14">
        <v>0.24467483459380901</v>
      </c>
      <c r="F759" s="14"/>
      <c r="G759" s="14">
        <v>0.36215801759417998</v>
      </c>
      <c r="H759" s="14">
        <v>0.28408839014634801</v>
      </c>
      <c r="I759" s="14">
        <v>0.43078089808147901</v>
      </c>
      <c r="J759" s="14">
        <v>0.373426691997292</v>
      </c>
      <c r="K759" s="14">
        <v>0.48649229131709698</v>
      </c>
      <c r="L759" s="14" t="s">
        <v>88</v>
      </c>
      <c r="M759" s="14"/>
      <c r="N759" s="14">
        <v>0.439973751851854</v>
      </c>
      <c r="O759" s="14">
        <v>0.329923601140587</v>
      </c>
      <c r="P759" s="14">
        <v>0.369330514832513</v>
      </c>
      <c r="Q759" s="14">
        <v>0.37499035822071403</v>
      </c>
      <c r="R759" s="14"/>
      <c r="S759" s="14">
        <v>0.33194399039599098</v>
      </c>
      <c r="T759" s="14">
        <v>0.47442426297541201</v>
      </c>
      <c r="U759" s="14">
        <v>0.342749406854577</v>
      </c>
      <c r="V759" s="14">
        <v>0.49434229360187898</v>
      </c>
      <c r="W759" s="14">
        <v>3.8097430257002303E-2</v>
      </c>
      <c r="X759" s="14">
        <v>0.18961369169334799</v>
      </c>
      <c r="Y759" s="14">
        <v>0.43368787756996702</v>
      </c>
      <c r="Z759" s="14">
        <v>0.535858879615147</v>
      </c>
      <c r="AA759" s="14">
        <v>0.60011498981893696</v>
      </c>
      <c r="AB759" s="14"/>
      <c r="AC759" s="14">
        <v>0.74806280985861295</v>
      </c>
      <c r="AD759" s="14">
        <v>0.48836322615598499</v>
      </c>
      <c r="AE759" s="14">
        <v>0.30776920009080799</v>
      </c>
      <c r="AF759" s="14">
        <v>0.34242680853732799</v>
      </c>
      <c r="AG759" s="14">
        <v>0.47144884162491202</v>
      </c>
      <c r="AH759" s="14"/>
      <c r="AI759" s="14">
        <v>0.23545173440977901</v>
      </c>
      <c r="AJ759" s="14">
        <v>0.51844332619275502</v>
      </c>
      <c r="AK759" s="14">
        <v>0.33679762564669402</v>
      </c>
      <c r="AL759" s="14">
        <v>0.41454552218986201</v>
      </c>
      <c r="AM759" s="14">
        <v>0.66613558201410805</v>
      </c>
      <c r="AN759" s="14">
        <v>0.52409811544081797</v>
      </c>
      <c r="AO759" s="14"/>
      <c r="AP759" s="14">
        <v>0.408994361832486</v>
      </c>
      <c r="AQ759" s="14">
        <v>0.354599178051206</v>
      </c>
      <c r="AR759" s="14"/>
      <c r="AS759" s="14">
        <v>0.38830783636607302</v>
      </c>
      <c r="AT759" s="14" t="s">
        <v>88</v>
      </c>
      <c r="AU759" s="14">
        <v>0</v>
      </c>
      <c r="AV759" s="14"/>
      <c r="AW759" s="14">
        <v>0.37934702029907302</v>
      </c>
      <c r="AX759" s="14">
        <v>0.44906133949626698</v>
      </c>
      <c r="AY759" s="14"/>
      <c r="AZ759" s="14">
        <v>0.38166701069293102</v>
      </c>
      <c r="BA759" s="14">
        <v>0.43432300614840202</v>
      </c>
    </row>
    <row r="760" spans="2:53" x14ac:dyDescent="0.35">
      <c r="B760" t="s">
        <v>221</v>
      </c>
      <c r="C760" s="14">
        <v>0.40702358442289899</v>
      </c>
      <c r="D760" s="14">
        <v>0.38724446117379102</v>
      </c>
      <c r="E760" s="14">
        <v>0.44172345462487</v>
      </c>
      <c r="F760" s="14"/>
      <c r="G760" s="14">
        <v>0.22593041237876099</v>
      </c>
      <c r="H760" s="14">
        <v>0.55571319583782897</v>
      </c>
      <c r="I760" s="14">
        <v>0.36926140460525902</v>
      </c>
      <c r="J760" s="14">
        <v>0.37004523701089997</v>
      </c>
      <c r="K760" s="14">
        <v>0.18413736918017901</v>
      </c>
      <c r="L760" s="14" t="s">
        <v>88</v>
      </c>
      <c r="M760" s="14"/>
      <c r="N760" s="14">
        <v>0.42450347113804598</v>
      </c>
      <c r="O760" s="14">
        <v>0.34731076394650501</v>
      </c>
      <c r="P760" s="14">
        <v>0.41808569988960198</v>
      </c>
      <c r="Q760" s="14">
        <v>0.42534124671238199</v>
      </c>
      <c r="R760" s="14"/>
      <c r="S760" s="14">
        <v>0.47740062985846199</v>
      </c>
      <c r="T760" s="14">
        <v>0.426788566706649</v>
      </c>
      <c r="U760" s="14">
        <v>3.02120784394008E-2</v>
      </c>
      <c r="V760" s="14">
        <v>0.33995816596089101</v>
      </c>
      <c r="W760" s="14">
        <v>0.65014195797227803</v>
      </c>
      <c r="X760" s="14">
        <v>0.66870780845905398</v>
      </c>
      <c r="Y760" s="14">
        <v>0.44885445743758801</v>
      </c>
      <c r="Z760" s="14">
        <v>0.464141120384853</v>
      </c>
      <c r="AA760" s="14">
        <v>0.32752940526361501</v>
      </c>
      <c r="AB760" s="14"/>
      <c r="AC760" s="14">
        <v>0.25193719014138699</v>
      </c>
      <c r="AD760" s="14">
        <v>0.21838041765602401</v>
      </c>
      <c r="AE760" s="14">
        <v>0.50606264709015003</v>
      </c>
      <c r="AF760" s="14">
        <v>0.35856433482521899</v>
      </c>
      <c r="AG760" s="14">
        <v>0.33381964345581</v>
      </c>
      <c r="AH760" s="14"/>
      <c r="AI760" s="14">
        <v>0.557549641077005</v>
      </c>
      <c r="AJ760" s="14">
        <v>0.47314611048287802</v>
      </c>
      <c r="AK760" s="14">
        <v>8.5184038928328598E-2</v>
      </c>
      <c r="AL760" s="14">
        <v>0.33700322533708399</v>
      </c>
      <c r="AM760" s="14">
        <v>0.333864417985892</v>
      </c>
      <c r="AN760" s="14">
        <v>0.298409820618042</v>
      </c>
      <c r="AO760" s="14"/>
      <c r="AP760" s="14">
        <v>0.35813824108368197</v>
      </c>
      <c r="AQ760" s="14">
        <v>0.47412092884407597</v>
      </c>
      <c r="AR760" s="14"/>
      <c r="AS760" s="14">
        <v>0.40938560299138399</v>
      </c>
      <c r="AT760" s="14" t="s">
        <v>88</v>
      </c>
      <c r="AU760" s="14">
        <v>0</v>
      </c>
      <c r="AV760" s="14"/>
      <c r="AW760" s="14">
        <v>0.390963594554537</v>
      </c>
      <c r="AX760" s="14">
        <v>0.39032686672204198</v>
      </c>
      <c r="AY760" s="14"/>
      <c r="AZ760" s="14">
        <v>0.40673987065735601</v>
      </c>
      <c r="BA760" s="14">
        <v>0.410134827236948</v>
      </c>
    </row>
    <row r="761" spans="2:53" x14ac:dyDescent="0.35">
      <c r="B761" t="s">
        <v>222</v>
      </c>
      <c r="C761" s="14">
        <v>7.7283713813083493E-2</v>
      </c>
      <c r="D761" s="14">
        <v>2.81943961956473E-2</v>
      </c>
      <c r="E761" s="14">
        <v>0.163404464878487</v>
      </c>
      <c r="F761" s="14"/>
      <c r="G761" s="14">
        <v>0</v>
      </c>
      <c r="H761" s="14">
        <v>0.15346616556601</v>
      </c>
      <c r="I761" s="14">
        <v>5.4814262746775998E-2</v>
      </c>
      <c r="J761" s="14">
        <v>5.87952514922854E-2</v>
      </c>
      <c r="K761" s="14">
        <v>0</v>
      </c>
      <c r="L761" s="14" t="s">
        <v>88</v>
      </c>
      <c r="M761" s="14"/>
      <c r="N761" s="14">
        <v>3.5667369692512399E-2</v>
      </c>
      <c r="O761" s="14">
        <v>0.25113424283657598</v>
      </c>
      <c r="P761" s="14">
        <v>0</v>
      </c>
      <c r="Q761" s="14">
        <v>4.4628200764040699E-2</v>
      </c>
      <c r="R761" s="14"/>
      <c r="S761" s="14">
        <v>7.53442944329311E-2</v>
      </c>
      <c r="T761" s="14">
        <v>9.8787170317938405E-2</v>
      </c>
      <c r="U761" s="14">
        <v>0.21270882896616999</v>
      </c>
      <c r="V761" s="14">
        <v>5.7267142937769501E-2</v>
      </c>
      <c r="W761" s="14">
        <v>0</v>
      </c>
      <c r="X761" s="14">
        <v>0.141678499847599</v>
      </c>
      <c r="Y761" s="14">
        <v>0</v>
      </c>
      <c r="Z761" s="14">
        <v>0</v>
      </c>
      <c r="AA761" s="14">
        <v>2.4139760887692301E-2</v>
      </c>
      <c r="AB761" s="14"/>
      <c r="AC761" s="14">
        <v>0</v>
      </c>
      <c r="AD761" s="14">
        <v>0.107262365650573</v>
      </c>
      <c r="AE761" s="14">
        <v>8.9437704251383005E-2</v>
      </c>
      <c r="AF761" s="14">
        <v>0.13364321457320499</v>
      </c>
      <c r="AG761" s="14">
        <v>1.99445556923998E-2</v>
      </c>
      <c r="AH761" s="14"/>
      <c r="AI761" s="14">
        <v>4.1415223213843701E-2</v>
      </c>
      <c r="AJ761" s="14">
        <v>8.4105633243677699E-3</v>
      </c>
      <c r="AK761" s="14">
        <v>0.125092783517466</v>
      </c>
      <c r="AL761" s="14">
        <v>0.19101831913710701</v>
      </c>
      <c r="AM761" s="14">
        <v>0</v>
      </c>
      <c r="AN761" s="14">
        <v>5.0493456148804898E-2</v>
      </c>
      <c r="AO761" s="14"/>
      <c r="AP761" s="14">
        <v>6.3107790000113406E-2</v>
      </c>
      <c r="AQ761" s="14">
        <v>9.6740810308592204E-2</v>
      </c>
      <c r="AR761" s="14"/>
      <c r="AS761" s="14">
        <v>7.7732202731303907E-2</v>
      </c>
      <c r="AT761" s="14" t="s">
        <v>88</v>
      </c>
      <c r="AU761" s="14">
        <v>0</v>
      </c>
      <c r="AV761" s="14"/>
      <c r="AW761" s="14">
        <v>8.0276892621784196E-2</v>
      </c>
      <c r="AX761" s="14">
        <v>7.9965674250893404E-2</v>
      </c>
      <c r="AY761" s="14"/>
      <c r="AZ761" s="14">
        <v>7.5945963799573094E-2</v>
      </c>
      <c r="BA761" s="14">
        <v>9.1953658038609498E-2</v>
      </c>
    </row>
    <row r="762" spans="2:53" x14ac:dyDescent="0.35">
      <c r="B762" t="s">
        <v>223</v>
      </c>
      <c r="C762" s="14">
        <v>3.9385181634885399E-2</v>
      </c>
      <c r="D762" s="14">
        <v>4.7869331682562397E-2</v>
      </c>
      <c r="E762" s="14">
        <v>2.4500856292420398E-2</v>
      </c>
      <c r="F762" s="14"/>
      <c r="G762" s="14">
        <v>0</v>
      </c>
      <c r="H762" s="14">
        <v>0</v>
      </c>
      <c r="I762" s="14">
        <v>5.4864616480054099E-2</v>
      </c>
      <c r="J762" s="14">
        <v>6.9447127698527802E-2</v>
      </c>
      <c r="K762" s="14">
        <v>0</v>
      </c>
      <c r="L762" s="14" t="s">
        <v>88</v>
      </c>
      <c r="M762" s="14"/>
      <c r="N762" s="14">
        <v>2.74900298585119E-2</v>
      </c>
      <c r="O762" s="14">
        <v>0</v>
      </c>
      <c r="P762" s="14">
        <v>0</v>
      </c>
      <c r="Q762" s="14">
        <v>0.115085938311085</v>
      </c>
      <c r="R762" s="14"/>
      <c r="S762" s="14">
        <v>3.3115122239595403E-2</v>
      </c>
      <c r="T762" s="14">
        <v>0</v>
      </c>
      <c r="U762" s="14">
        <v>0.18362258252816799</v>
      </c>
      <c r="V762" s="14">
        <v>0</v>
      </c>
      <c r="W762" s="14">
        <v>0</v>
      </c>
      <c r="X762" s="14">
        <v>0</v>
      </c>
      <c r="Y762" s="14">
        <v>0.117457664992445</v>
      </c>
      <c r="Z762" s="14">
        <v>0</v>
      </c>
      <c r="AA762" s="14">
        <v>0</v>
      </c>
      <c r="AB762" s="14"/>
      <c r="AC762" s="14">
        <v>0</v>
      </c>
      <c r="AD762" s="14">
        <v>6.1816688632724201E-2</v>
      </c>
      <c r="AE762" s="14">
        <v>2.3661522228714399E-2</v>
      </c>
      <c r="AF762" s="14">
        <v>0</v>
      </c>
      <c r="AG762" s="14">
        <v>0</v>
      </c>
      <c r="AH762" s="14"/>
      <c r="AI762" s="14">
        <v>5.58555138825646E-2</v>
      </c>
      <c r="AJ762" s="14">
        <v>0</v>
      </c>
      <c r="AK762" s="14">
        <v>0.19207792842346799</v>
      </c>
      <c r="AL762" s="14">
        <v>0</v>
      </c>
      <c r="AM762" s="14">
        <v>0</v>
      </c>
      <c r="AN762" s="14">
        <v>0</v>
      </c>
      <c r="AO762" s="14"/>
      <c r="AP762" s="14">
        <v>5.2704048395507699E-2</v>
      </c>
      <c r="AQ762" s="14">
        <v>2.1104434701472399E-2</v>
      </c>
      <c r="AR762" s="14"/>
      <c r="AS762" s="14">
        <v>3.9613739718262E-2</v>
      </c>
      <c r="AT762" s="14" t="s">
        <v>88</v>
      </c>
      <c r="AU762" s="14">
        <v>0</v>
      </c>
      <c r="AV762" s="14"/>
      <c r="AW762" s="14">
        <v>5.8718444958575401E-2</v>
      </c>
      <c r="AX762" s="14">
        <v>0</v>
      </c>
      <c r="AY762" s="14"/>
      <c r="AZ762" s="14">
        <v>4.2976710440598399E-2</v>
      </c>
      <c r="BA762" s="14">
        <v>0</v>
      </c>
    </row>
    <row r="763" spans="2:53" x14ac:dyDescent="0.35">
      <c r="B763" t="s">
        <v>116</v>
      </c>
      <c r="C763" s="14">
        <v>4.3828493029994899E-2</v>
      </c>
      <c r="D763" s="14">
        <v>5.2071491438869202E-2</v>
      </c>
      <c r="E763" s="14">
        <v>2.9367236519249801E-2</v>
      </c>
      <c r="F763" s="14"/>
      <c r="G763" s="14">
        <v>0</v>
      </c>
      <c r="H763" s="14">
        <v>0</v>
      </c>
      <c r="I763" s="14">
        <v>5.9680850075010901E-2</v>
      </c>
      <c r="J763" s="14">
        <v>8.3240773316814398E-2</v>
      </c>
      <c r="K763" s="14">
        <v>0</v>
      </c>
      <c r="L763" s="14" t="s">
        <v>88</v>
      </c>
      <c r="M763" s="14"/>
      <c r="N763" s="14">
        <v>0</v>
      </c>
      <c r="O763" s="14">
        <v>7.1631392076331998E-2</v>
      </c>
      <c r="P763" s="14">
        <v>0.150796719910927</v>
      </c>
      <c r="Q763" s="14">
        <v>0</v>
      </c>
      <c r="R763" s="14"/>
      <c r="S763" s="14">
        <v>3.8334384787820003E-2</v>
      </c>
      <c r="T763" s="14">
        <v>0</v>
      </c>
      <c r="U763" s="14">
        <v>0.13200445046834999</v>
      </c>
      <c r="V763" s="14">
        <v>0</v>
      </c>
      <c r="W763" s="14">
        <v>0.23566625696298499</v>
      </c>
      <c r="X763" s="14">
        <v>0</v>
      </c>
      <c r="Y763" s="14">
        <v>0</v>
      </c>
      <c r="Z763" s="14">
        <v>0</v>
      </c>
      <c r="AA763" s="14">
        <v>0</v>
      </c>
      <c r="AB763" s="14"/>
      <c r="AC763" s="14">
        <v>0</v>
      </c>
      <c r="AD763" s="14">
        <v>0.124177301904695</v>
      </c>
      <c r="AE763" s="14">
        <v>0</v>
      </c>
      <c r="AF763" s="14">
        <v>0.13529554074976899</v>
      </c>
      <c r="AG763" s="14">
        <v>0</v>
      </c>
      <c r="AH763" s="14"/>
      <c r="AI763" s="14">
        <v>8.8016932412103802E-2</v>
      </c>
      <c r="AJ763" s="14">
        <v>0</v>
      </c>
      <c r="AK763" s="14">
        <v>0</v>
      </c>
      <c r="AL763" s="14">
        <v>0</v>
      </c>
      <c r="AM763" s="14">
        <v>0</v>
      </c>
      <c r="AN763" s="14">
        <v>0.12699860779233499</v>
      </c>
      <c r="AO763" s="14"/>
      <c r="AP763" s="14">
        <v>7.5760769162454805E-2</v>
      </c>
      <c r="AQ763" s="14">
        <v>0</v>
      </c>
      <c r="AR763" s="14"/>
      <c r="AS763" s="14">
        <v>4.40828363121228E-2</v>
      </c>
      <c r="AT763" s="14" t="s">
        <v>88</v>
      </c>
      <c r="AU763" s="14">
        <v>0</v>
      </c>
      <c r="AV763" s="14"/>
      <c r="AW763" s="14">
        <v>6.5342873861969103E-2</v>
      </c>
      <c r="AX763" s="14">
        <v>0</v>
      </c>
      <c r="AY763" s="14"/>
      <c r="AZ763" s="14">
        <v>4.7825206735354203E-2</v>
      </c>
      <c r="BA763" s="14">
        <v>0</v>
      </c>
    </row>
    <row r="764" spans="2:53" x14ac:dyDescent="0.35">
      <c r="B764" t="s">
        <v>224</v>
      </c>
      <c r="C764" s="14">
        <v>0.79309101391319703</v>
      </c>
      <c r="D764" s="14">
        <v>0.85390647343028103</v>
      </c>
      <c r="E764" s="14">
        <v>0.68639828921867796</v>
      </c>
      <c r="F764" s="14"/>
      <c r="G764" s="14">
        <v>0.58808842997294097</v>
      </c>
      <c r="H764" s="14">
        <v>0.83980158598417598</v>
      </c>
      <c r="I764" s="14">
        <v>0.80004230268673804</v>
      </c>
      <c r="J764" s="14">
        <v>0.74347192900819103</v>
      </c>
      <c r="K764" s="14">
        <v>0.67062966049727502</v>
      </c>
      <c r="L764" s="14" t="s">
        <v>88</v>
      </c>
      <c r="M764" s="14"/>
      <c r="N764" s="14">
        <v>0.86447722298990004</v>
      </c>
      <c r="O764" s="14">
        <v>0.67723436508709201</v>
      </c>
      <c r="P764" s="14">
        <v>0.78741621472211598</v>
      </c>
      <c r="Q764" s="14">
        <v>0.80033160493309596</v>
      </c>
      <c r="R764" s="14"/>
      <c r="S764" s="14">
        <v>0.80934462025445297</v>
      </c>
      <c r="T764" s="14">
        <v>0.90121282968206196</v>
      </c>
      <c r="U764" s="14">
        <v>0.37296148529397799</v>
      </c>
      <c r="V764" s="14">
        <v>0.83430045956276999</v>
      </c>
      <c r="W764" s="14">
        <v>0.68823938822927999</v>
      </c>
      <c r="X764" s="14">
        <v>0.85832150015240105</v>
      </c>
      <c r="Y764" s="14">
        <v>0.88254233500755497</v>
      </c>
      <c r="Z764" s="14">
        <v>1</v>
      </c>
      <c r="AA764" s="14">
        <v>0.92764439508255203</v>
      </c>
      <c r="AB764" s="14"/>
      <c r="AC764" s="14">
        <v>1</v>
      </c>
      <c r="AD764" s="14">
        <v>0.70674364381200905</v>
      </c>
      <c r="AE764" s="14">
        <v>0.81383184718095802</v>
      </c>
      <c r="AF764" s="14">
        <v>0.70099114336254698</v>
      </c>
      <c r="AG764" s="14">
        <v>0.80526848508072102</v>
      </c>
      <c r="AH764" s="14"/>
      <c r="AI764" s="14">
        <v>0.79300137548678395</v>
      </c>
      <c r="AJ764" s="14">
        <v>0.99158943667563204</v>
      </c>
      <c r="AK764" s="14">
        <v>0.42198166457502201</v>
      </c>
      <c r="AL764" s="14">
        <v>0.751548747526946</v>
      </c>
      <c r="AM764" s="14">
        <v>1</v>
      </c>
      <c r="AN764" s="14">
        <v>0.82250793605885997</v>
      </c>
      <c r="AO764" s="14"/>
      <c r="AP764" s="14">
        <v>0.76713260291616803</v>
      </c>
      <c r="AQ764" s="14">
        <v>0.82872010689528197</v>
      </c>
      <c r="AR764" s="14"/>
      <c r="AS764" s="14">
        <v>0.79769343935745696</v>
      </c>
      <c r="AT764" s="14" t="s">
        <v>88</v>
      </c>
      <c r="AU764" s="14">
        <v>0</v>
      </c>
      <c r="AV764" s="14"/>
      <c r="AW764" s="14">
        <v>0.77031061485360997</v>
      </c>
      <c r="AX764" s="14">
        <v>0.83938820621830901</v>
      </c>
      <c r="AY764" s="14"/>
      <c r="AZ764" s="14">
        <v>0.78840688135028703</v>
      </c>
      <c r="BA764" s="14">
        <v>0.84445783338534997</v>
      </c>
    </row>
    <row r="765" spans="2:53" x14ac:dyDescent="0.35"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</row>
    <row r="766" spans="2:53" x14ac:dyDescent="0.35">
      <c r="B766" s="6" t="s">
        <v>269</v>
      </c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</row>
    <row r="767" spans="2:53" x14ac:dyDescent="0.35">
      <c r="B767" s="24" t="s">
        <v>213</v>
      </c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</row>
    <row r="768" spans="2:53" x14ac:dyDescent="0.35">
      <c r="B768" t="s">
        <v>154</v>
      </c>
      <c r="C768" s="14">
        <v>0.59378191066117803</v>
      </c>
      <c r="D768" s="14">
        <v>0.54895361452526903</v>
      </c>
      <c r="E768" s="14">
        <v>0.65097617653665296</v>
      </c>
      <c r="F768" s="14"/>
      <c r="G768" s="14">
        <v>0.45144339706928199</v>
      </c>
      <c r="H768" s="14">
        <v>0.56995089905580898</v>
      </c>
      <c r="I768" s="14">
        <v>0.66329827902078198</v>
      </c>
      <c r="J768" s="14">
        <v>0.45243312299159599</v>
      </c>
      <c r="K768" s="14">
        <v>0.322788380584975</v>
      </c>
      <c r="L768" s="14" t="s">
        <v>88</v>
      </c>
      <c r="M768" s="14"/>
      <c r="N768" s="14">
        <v>0.60253230949244196</v>
      </c>
      <c r="O768" s="14">
        <v>0.60335459642564204</v>
      </c>
      <c r="P768" s="14">
        <v>0.66903809389106195</v>
      </c>
      <c r="Q768" s="14">
        <v>0.50906190812965502</v>
      </c>
      <c r="R768" s="14"/>
      <c r="S768" s="14">
        <v>0.66236780033583598</v>
      </c>
      <c r="T768" s="14">
        <v>0.54344617541126194</v>
      </c>
      <c r="U768" s="14">
        <v>0.51945513945892097</v>
      </c>
      <c r="V768" s="14">
        <v>0.61655697730449999</v>
      </c>
      <c r="W768" s="14">
        <v>0.61380056630636204</v>
      </c>
      <c r="X768" s="14">
        <v>0.72560842278834203</v>
      </c>
      <c r="Y768" s="14">
        <v>0.61687997514203097</v>
      </c>
      <c r="Z768" s="14">
        <v>0.52256645808004998</v>
      </c>
      <c r="AA768" s="14">
        <v>0.53705438631485702</v>
      </c>
      <c r="AB768" s="14"/>
      <c r="AC768" s="14">
        <v>0.55087006560673901</v>
      </c>
      <c r="AD768" s="14">
        <v>0.61563348404721396</v>
      </c>
      <c r="AE768" s="14">
        <v>0.63050030780761201</v>
      </c>
      <c r="AF768" s="14">
        <v>0.57595888368814196</v>
      </c>
      <c r="AG768" s="14">
        <v>0.58657378328620502</v>
      </c>
      <c r="AH768" s="14"/>
      <c r="AI768" s="14">
        <v>0.63469273692610495</v>
      </c>
      <c r="AJ768" s="14">
        <v>0.72434853586618797</v>
      </c>
      <c r="AK768" s="14">
        <v>0.482788889080561</v>
      </c>
      <c r="AL768" s="14">
        <v>0.53154456843396103</v>
      </c>
      <c r="AM768" s="14">
        <v>0.71232939342745305</v>
      </c>
      <c r="AN768" s="14">
        <v>0.41710714175199198</v>
      </c>
      <c r="AO768" s="14"/>
      <c r="AP768" s="14">
        <v>0.56295050752568598</v>
      </c>
      <c r="AQ768" s="14">
        <v>0.62110213142682202</v>
      </c>
      <c r="AR768" s="14"/>
      <c r="AS768" s="14">
        <v>0.59378191066117803</v>
      </c>
      <c r="AT768" s="14" t="s">
        <v>88</v>
      </c>
      <c r="AU768" s="14" t="s">
        <v>88</v>
      </c>
      <c r="AV768" s="14"/>
      <c r="AW768" s="14">
        <v>0.58603445345255001</v>
      </c>
      <c r="AX768" s="14">
        <v>0.70461174255820802</v>
      </c>
      <c r="AY768" s="14"/>
      <c r="AZ768" s="14">
        <v>0.58309700319067304</v>
      </c>
      <c r="BA768" s="14">
        <v>0.65486913932060498</v>
      </c>
    </row>
    <row r="769" spans="2:53" x14ac:dyDescent="0.35">
      <c r="B769" t="s">
        <v>155</v>
      </c>
      <c r="C769" s="14">
        <v>0.237372023263037</v>
      </c>
      <c r="D769" s="14">
        <v>0.25738693691708098</v>
      </c>
      <c r="E769" s="14">
        <v>0.211835958061419</v>
      </c>
      <c r="F769" s="14"/>
      <c r="G769" s="14">
        <v>0.54855660293071795</v>
      </c>
      <c r="H769" s="14">
        <v>0.22856869591672499</v>
      </c>
      <c r="I769" s="14">
        <v>0.20948109237420801</v>
      </c>
      <c r="J769" s="14">
        <v>0.23433780539228899</v>
      </c>
      <c r="K769" s="14">
        <v>0.58707685829160094</v>
      </c>
      <c r="L769" s="14" t="s">
        <v>88</v>
      </c>
      <c r="M769" s="14"/>
      <c r="N769" s="14">
        <v>0.31674737363443001</v>
      </c>
      <c r="O769" s="14">
        <v>0.25294275882929101</v>
      </c>
      <c r="P769" s="14">
        <v>0.158073323227056</v>
      </c>
      <c r="Q769" s="14">
        <v>0.190734685821113</v>
      </c>
      <c r="R769" s="14"/>
      <c r="S769" s="14">
        <v>0.18102200047757999</v>
      </c>
      <c r="T769" s="14">
        <v>0.24072855410763999</v>
      </c>
      <c r="U769" s="14">
        <v>0.15488567923128499</v>
      </c>
      <c r="V769" s="14">
        <v>0.285693689321186</v>
      </c>
      <c r="W769" s="14">
        <v>0.35425035992250198</v>
      </c>
      <c r="X769" s="14">
        <v>0.16233376900067401</v>
      </c>
      <c r="Y769" s="14">
        <v>0.34319662904745402</v>
      </c>
      <c r="Z769" s="14">
        <v>0.29513154822765802</v>
      </c>
      <c r="AA769" s="14">
        <v>0.23934427164818201</v>
      </c>
      <c r="AB769" s="14"/>
      <c r="AC769" s="14">
        <v>0.235249107018597</v>
      </c>
      <c r="AD769" s="14">
        <v>0.14887589309420701</v>
      </c>
      <c r="AE769" s="14">
        <v>0.22601970686288</v>
      </c>
      <c r="AF769" s="14">
        <v>0.29292991441489502</v>
      </c>
      <c r="AG769" s="14">
        <v>0.36896917048671701</v>
      </c>
      <c r="AH769" s="14"/>
      <c r="AI769" s="14">
        <v>0.21933510524101099</v>
      </c>
      <c r="AJ769" s="14">
        <v>0.22794404924551101</v>
      </c>
      <c r="AK769" s="14">
        <v>0.37273351446509301</v>
      </c>
      <c r="AL769" s="14">
        <v>0.28385267244103801</v>
      </c>
      <c r="AM769" s="14">
        <v>5.6545942394071097E-2</v>
      </c>
      <c r="AN769" s="14">
        <v>0.23738495869930201</v>
      </c>
      <c r="AO769" s="14"/>
      <c r="AP769" s="14">
        <v>0.23201437422122401</v>
      </c>
      <c r="AQ769" s="14">
        <v>0.24211952547576299</v>
      </c>
      <c r="AR769" s="14"/>
      <c r="AS769" s="14">
        <v>0.237372023263037</v>
      </c>
      <c r="AT769" s="14" t="s">
        <v>88</v>
      </c>
      <c r="AU769" s="14" t="s">
        <v>88</v>
      </c>
      <c r="AV769" s="14"/>
      <c r="AW769" s="14">
        <v>0.21458525052348301</v>
      </c>
      <c r="AX769" s="14">
        <v>0.27218575775959802</v>
      </c>
      <c r="AY769" s="14"/>
      <c r="AZ769" s="14">
        <v>0.26019700265909301</v>
      </c>
      <c r="BA769" s="14">
        <v>0.117528648177743</v>
      </c>
    </row>
    <row r="770" spans="2:53" x14ac:dyDescent="0.35">
      <c r="B770" t="s">
        <v>116</v>
      </c>
      <c r="C770" s="14">
        <v>0.16884606607578501</v>
      </c>
      <c r="D770" s="14">
        <v>0.19365944855764999</v>
      </c>
      <c r="E770" s="14">
        <v>0.13718786540192801</v>
      </c>
      <c r="F770" s="14"/>
      <c r="G770" s="14">
        <v>0</v>
      </c>
      <c r="H770" s="14">
        <v>0.201480405027466</v>
      </c>
      <c r="I770" s="14">
        <v>0.12722062860500999</v>
      </c>
      <c r="J770" s="14">
        <v>0.31322907161611602</v>
      </c>
      <c r="K770" s="14">
        <v>9.0134761123424098E-2</v>
      </c>
      <c r="L770" s="14" t="s">
        <v>88</v>
      </c>
      <c r="M770" s="14"/>
      <c r="N770" s="14">
        <v>8.0720316873128195E-2</v>
      </c>
      <c r="O770" s="14">
        <v>0.143702644745067</v>
      </c>
      <c r="P770" s="14">
        <v>0.172888582881882</v>
      </c>
      <c r="Q770" s="14">
        <v>0.30020340604923201</v>
      </c>
      <c r="R770" s="14"/>
      <c r="S770" s="14">
        <v>0.156610199186584</v>
      </c>
      <c r="T770" s="14">
        <v>0.21582527048109901</v>
      </c>
      <c r="U770" s="14">
        <v>0.32565918130979399</v>
      </c>
      <c r="V770" s="14">
        <v>9.7749333374313394E-2</v>
      </c>
      <c r="W770" s="14">
        <v>3.1949073771135802E-2</v>
      </c>
      <c r="X770" s="14">
        <v>0.112057808210984</v>
      </c>
      <c r="Y770" s="14">
        <v>3.9923395810514802E-2</v>
      </c>
      <c r="Z770" s="14">
        <v>0.182301993692293</v>
      </c>
      <c r="AA770" s="14">
        <v>0.22360134203696</v>
      </c>
      <c r="AB770" s="14"/>
      <c r="AC770" s="14">
        <v>0.21388082737466499</v>
      </c>
      <c r="AD770" s="14">
        <v>0.23549062285858</v>
      </c>
      <c r="AE770" s="14">
        <v>0.14347998532950801</v>
      </c>
      <c r="AF770" s="14">
        <v>0.13111120189696299</v>
      </c>
      <c r="AG770" s="14">
        <v>4.4457046227077301E-2</v>
      </c>
      <c r="AH770" s="14"/>
      <c r="AI770" s="14">
        <v>0.145972157832884</v>
      </c>
      <c r="AJ770" s="14">
        <v>4.7707414888301103E-2</v>
      </c>
      <c r="AK770" s="14">
        <v>0.14447759645434599</v>
      </c>
      <c r="AL770" s="14">
        <v>0.18460275912500099</v>
      </c>
      <c r="AM770" s="14">
        <v>0.23112466417847599</v>
      </c>
      <c r="AN770" s="14">
        <v>0.34550789954870598</v>
      </c>
      <c r="AO770" s="14"/>
      <c r="AP770" s="14">
        <v>0.20503511825309001</v>
      </c>
      <c r="AQ770" s="14">
        <v>0.13677834309741499</v>
      </c>
      <c r="AR770" s="14"/>
      <c r="AS770" s="14">
        <v>0.16884606607578501</v>
      </c>
      <c r="AT770" s="14" t="s">
        <v>88</v>
      </c>
      <c r="AU770" s="14" t="s">
        <v>88</v>
      </c>
      <c r="AV770" s="14"/>
      <c r="AW770" s="14">
        <v>0.19938029602396601</v>
      </c>
      <c r="AX770" s="14">
        <v>2.32024996821934E-2</v>
      </c>
      <c r="AY770" s="14"/>
      <c r="AZ770" s="14">
        <v>0.15670599415023401</v>
      </c>
      <c r="BA770" s="14">
        <v>0.227602212501653</v>
      </c>
    </row>
    <row r="771" spans="2:53" x14ac:dyDescent="0.35"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</row>
    <row r="772" spans="2:53" x14ac:dyDescent="0.35">
      <c r="B772" s="6" t="s">
        <v>270</v>
      </c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</row>
    <row r="773" spans="2:53" x14ac:dyDescent="0.35">
      <c r="B773" s="24" t="s">
        <v>219</v>
      </c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</row>
    <row r="774" spans="2:53" x14ac:dyDescent="0.35">
      <c r="B774" t="s">
        <v>214</v>
      </c>
      <c r="C774" s="14">
        <v>0.184162775346709</v>
      </c>
      <c r="D774" s="14">
        <v>0.191661387523611</v>
      </c>
      <c r="E774" s="14">
        <v>0.176095038865899</v>
      </c>
      <c r="F774" s="14"/>
      <c r="G774" s="14">
        <v>0.37716264988800002</v>
      </c>
      <c r="H774" s="14">
        <v>0.26123595448586601</v>
      </c>
      <c r="I774" s="14">
        <v>0.1422076306999</v>
      </c>
      <c r="J774" s="14">
        <v>0.24199882170963299</v>
      </c>
      <c r="K774" s="14">
        <v>0</v>
      </c>
      <c r="L774" s="14" t="s">
        <v>88</v>
      </c>
      <c r="M774" s="14"/>
      <c r="N774" s="14">
        <v>0.17354525230138201</v>
      </c>
      <c r="O774" s="14">
        <v>0.123333658356126</v>
      </c>
      <c r="P774" s="14">
        <v>0.12715185335951401</v>
      </c>
      <c r="Q774" s="14">
        <v>0.342833776952021</v>
      </c>
      <c r="R774" s="14"/>
      <c r="S774" s="14">
        <v>0.27358785930111301</v>
      </c>
      <c r="T774" s="14">
        <v>0.117055179465544</v>
      </c>
      <c r="U774" s="14">
        <v>0.13452234188883899</v>
      </c>
      <c r="V774" s="14">
        <v>0.15940302826407099</v>
      </c>
      <c r="W774" s="14">
        <v>0.17494531099661501</v>
      </c>
      <c r="X774" s="14">
        <v>0.19202271256619199</v>
      </c>
      <c r="Y774" s="14">
        <v>0.23603098397647401</v>
      </c>
      <c r="Z774" s="14">
        <v>0</v>
      </c>
      <c r="AA774" s="14">
        <v>0.22579298948784701</v>
      </c>
      <c r="AB774" s="14"/>
      <c r="AC774" s="14">
        <v>0.184643299225343</v>
      </c>
      <c r="AD774" s="14">
        <v>0.121410448304824</v>
      </c>
      <c r="AE774" s="14">
        <v>0.22327158641605799</v>
      </c>
      <c r="AF774" s="14">
        <v>0.21190302163621599</v>
      </c>
      <c r="AG774" s="14">
        <v>0.18950680678943799</v>
      </c>
      <c r="AH774" s="14"/>
      <c r="AI774" s="14">
        <v>0.26007050349023397</v>
      </c>
      <c r="AJ774" s="14">
        <v>0.233456180013106</v>
      </c>
      <c r="AK774" s="14">
        <v>3.65885188595024E-2</v>
      </c>
      <c r="AL774" s="14">
        <v>7.7246289507574797E-2</v>
      </c>
      <c r="AM774" s="14">
        <v>7.7795171547724307E-2</v>
      </c>
      <c r="AN774" s="14">
        <v>9.2557695532714396E-2</v>
      </c>
      <c r="AO774" s="14"/>
      <c r="AP774" s="14">
        <v>0.18317495304131301</v>
      </c>
      <c r="AQ774" s="14">
        <v>0.18495614747324499</v>
      </c>
      <c r="AR774" s="14"/>
      <c r="AS774" s="14">
        <v>0.184162775346709</v>
      </c>
      <c r="AT774" s="14" t="s">
        <v>88</v>
      </c>
      <c r="AU774" s="14" t="s">
        <v>88</v>
      </c>
      <c r="AV774" s="14"/>
      <c r="AW774" s="14">
        <v>0.137637386060633</v>
      </c>
      <c r="AX774" s="14">
        <v>0.33329921971906801</v>
      </c>
      <c r="AY774" s="14"/>
      <c r="AZ774" s="14">
        <v>0.191126040196755</v>
      </c>
      <c r="BA774" s="14">
        <v>0.155970931303967</v>
      </c>
    </row>
    <row r="775" spans="2:53" x14ac:dyDescent="0.35">
      <c r="B775" t="s">
        <v>215</v>
      </c>
      <c r="C775" s="14">
        <v>0.47521439887843397</v>
      </c>
      <c r="D775" s="14">
        <v>0.46962431587037801</v>
      </c>
      <c r="E775" s="14">
        <v>0.48122875400854198</v>
      </c>
      <c r="F775" s="14"/>
      <c r="G775" s="14">
        <v>0.43660713958931302</v>
      </c>
      <c r="H775" s="14">
        <v>0.46792528808432199</v>
      </c>
      <c r="I775" s="14">
        <v>0.47488705095122302</v>
      </c>
      <c r="J775" s="14">
        <v>0.46284107991513301</v>
      </c>
      <c r="K775" s="14">
        <v>0.67691524361666799</v>
      </c>
      <c r="L775" s="14" t="s">
        <v>88</v>
      </c>
      <c r="M775" s="14"/>
      <c r="N775" s="14">
        <v>0.58282782030376901</v>
      </c>
      <c r="O775" s="14">
        <v>0.45285591349773902</v>
      </c>
      <c r="P775" s="14">
        <v>0.43820285916597002</v>
      </c>
      <c r="Q775" s="14">
        <v>0.391406042147597</v>
      </c>
      <c r="R775" s="14"/>
      <c r="S775" s="14">
        <v>0.37416414516135699</v>
      </c>
      <c r="T775" s="14">
        <v>0.64743263769932802</v>
      </c>
      <c r="U775" s="14">
        <v>0.35773418752462299</v>
      </c>
      <c r="V775" s="14">
        <v>0.47265653802107999</v>
      </c>
      <c r="W775" s="14">
        <v>0.52330185755655401</v>
      </c>
      <c r="X775" s="14">
        <v>0.46861925287777501</v>
      </c>
      <c r="Y775" s="14">
        <v>0.50458435603436202</v>
      </c>
      <c r="Z775" s="14">
        <v>0.48783958105096897</v>
      </c>
      <c r="AA775" s="14">
        <v>0.50040677744819395</v>
      </c>
      <c r="AB775" s="14"/>
      <c r="AC775" s="14">
        <v>0.46964171022010798</v>
      </c>
      <c r="AD775" s="14">
        <v>0.40590755968360498</v>
      </c>
      <c r="AE775" s="14">
        <v>0.47782842730099301</v>
      </c>
      <c r="AF775" s="14">
        <v>0.48305336577651597</v>
      </c>
      <c r="AG775" s="14">
        <v>0.71814783784222003</v>
      </c>
      <c r="AH775" s="14"/>
      <c r="AI775" s="14">
        <v>0.486631883501352</v>
      </c>
      <c r="AJ775" s="14">
        <v>0.52728257205402596</v>
      </c>
      <c r="AK775" s="14">
        <v>0.28122125369203199</v>
      </c>
      <c r="AL775" s="14">
        <v>0.444357256314312</v>
      </c>
      <c r="AM775" s="14">
        <v>0.60173743779668598</v>
      </c>
      <c r="AN775" s="14">
        <v>0.55879661998086305</v>
      </c>
      <c r="AO775" s="14"/>
      <c r="AP775" s="14">
        <v>0.477741625979482</v>
      </c>
      <c r="AQ775" s="14">
        <v>0.47318464967308899</v>
      </c>
      <c r="AR775" s="14"/>
      <c r="AS775" s="14">
        <v>0.47521439887843397</v>
      </c>
      <c r="AT775" s="14" t="s">
        <v>88</v>
      </c>
      <c r="AU775" s="14" t="s">
        <v>88</v>
      </c>
      <c r="AV775" s="14"/>
      <c r="AW775" s="14">
        <v>0.46814631772140097</v>
      </c>
      <c r="AX775" s="14">
        <v>0.46972637164826397</v>
      </c>
      <c r="AY775" s="14"/>
      <c r="AZ775" s="14">
        <v>0.46641463270904998</v>
      </c>
      <c r="BA775" s="14">
        <v>0.51084159973927801</v>
      </c>
    </row>
    <row r="776" spans="2:53" x14ac:dyDescent="0.35">
      <c r="B776" t="s">
        <v>216</v>
      </c>
      <c r="C776" s="14">
        <v>0.14959892872778199</v>
      </c>
      <c r="D776" s="14">
        <v>0.18467316637537801</v>
      </c>
      <c r="E776" s="14">
        <v>0.111862651676714</v>
      </c>
      <c r="F776" s="14"/>
      <c r="G776" s="14">
        <v>0</v>
      </c>
      <c r="H776" s="14">
        <v>0.11715281262920001</v>
      </c>
      <c r="I776" s="14">
        <v>0.16170991528678699</v>
      </c>
      <c r="J776" s="14">
        <v>0.21050848652426801</v>
      </c>
      <c r="K776" s="14">
        <v>0</v>
      </c>
      <c r="L776" s="14" t="s">
        <v>88</v>
      </c>
      <c r="M776" s="14"/>
      <c r="N776" s="14">
        <v>9.8667529065337503E-2</v>
      </c>
      <c r="O776" s="14">
        <v>0.25638037003071101</v>
      </c>
      <c r="P776" s="14">
        <v>0.157493779361386</v>
      </c>
      <c r="Q776" s="14">
        <v>7.2997025174785096E-2</v>
      </c>
      <c r="R776" s="14"/>
      <c r="S776" s="14">
        <v>0.18688511817109199</v>
      </c>
      <c r="T776" s="14">
        <v>0.165592200378471</v>
      </c>
      <c r="U776" s="14">
        <v>0.28123990617399802</v>
      </c>
      <c r="V776" s="14">
        <v>9.9391977107994203E-2</v>
      </c>
      <c r="W776" s="14">
        <v>0.14054878005032001</v>
      </c>
      <c r="X776" s="14">
        <v>3.1284794205947299E-2</v>
      </c>
      <c r="Y776" s="14">
        <v>0.21981746617511999</v>
      </c>
      <c r="Z776" s="14">
        <v>0.16174650843861901</v>
      </c>
      <c r="AA776" s="14">
        <v>0</v>
      </c>
      <c r="AB776" s="14"/>
      <c r="AC776" s="14">
        <v>0.23027731763142001</v>
      </c>
      <c r="AD776" s="14">
        <v>0.147979734371918</v>
      </c>
      <c r="AE776" s="14">
        <v>0.118769276527186</v>
      </c>
      <c r="AF776" s="14">
        <v>0.212067305424155</v>
      </c>
      <c r="AG776" s="14">
        <v>5.49841580931449E-2</v>
      </c>
      <c r="AH776" s="14"/>
      <c r="AI776" s="14">
        <v>0.101316262305835</v>
      </c>
      <c r="AJ776" s="14">
        <v>0.209116371867064</v>
      </c>
      <c r="AK776" s="14">
        <v>0.335033304829428</v>
      </c>
      <c r="AL776" s="14">
        <v>0.12997636688762501</v>
      </c>
      <c r="AM776" s="14">
        <v>0.109886347768714</v>
      </c>
      <c r="AN776" s="14">
        <v>0.19248691145611399</v>
      </c>
      <c r="AO776" s="14"/>
      <c r="AP776" s="14">
        <v>0.16698810940154399</v>
      </c>
      <c r="AQ776" s="14">
        <v>0.13563276176180999</v>
      </c>
      <c r="AR776" s="14"/>
      <c r="AS776" s="14">
        <v>0.14959892872778199</v>
      </c>
      <c r="AT776" s="14" t="s">
        <v>88</v>
      </c>
      <c r="AU776" s="14" t="s">
        <v>88</v>
      </c>
      <c r="AV776" s="14"/>
      <c r="AW776" s="14">
        <v>0.163183838341352</v>
      </c>
      <c r="AX776" s="14">
        <v>0.11640767238739599</v>
      </c>
      <c r="AY776" s="14"/>
      <c r="AZ776" s="14">
        <v>0.16678309963061499</v>
      </c>
      <c r="BA776" s="14">
        <v>8.0026181384522596E-2</v>
      </c>
    </row>
    <row r="777" spans="2:53" x14ac:dyDescent="0.35">
      <c r="B777" t="s">
        <v>217</v>
      </c>
      <c r="C777" s="14">
        <v>6.1595956872204198E-2</v>
      </c>
      <c r="D777" s="14">
        <v>8.8039697693857805E-2</v>
      </c>
      <c r="E777" s="14">
        <v>3.3145207922541997E-2</v>
      </c>
      <c r="F777" s="14"/>
      <c r="G777" s="14">
        <v>0</v>
      </c>
      <c r="H777" s="14">
        <v>4.4303014924023998E-2</v>
      </c>
      <c r="I777" s="14">
        <v>7.3748906860158503E-2</v>
      </c>
      <c r="J777" s="14">
        <v>5.4347188286721602E-2</v>
      </c>
      <c r="K777" s="14">
        <v>0</v>
      </c>
      <c r="L777" s="14" t="s">
        <v>88</v>
      </c>
      <c r="M777" s="14"/>
      <c r="N777" s="14">
        <v>3.97778222780069E-2</v>
      </c>
      <c r="O777" s="14">
        <v>2.1706709817812999E-2</v>
      </c>
      <c r="P777" s="14">
        <v>4.6416321278598398E-2</v>
      </c>
      <c r="Q777" s="14">
        <v>0.16234027070155399</v>
      </c>
      <c r="R777" s="14"/>
      <c r="S777" s="14">
        <v>0.12823011718316099</v>
      </c>
      <c r="T777" s="14">
        <v>0</v>
      </c>
      <c r="U777" s="14">
        <v>5.6978282299925E-2</v>
      </c>
      <c r="V777" s="14">
        <v>3.9680203163450903E-2</v>
      </c>
      <c r="W777" s="14">
        <v>0</v>
      </c>
      <c r="X777" s="14">
        <v>0</v>
      </c>
      <c r="Y777" s="14">
        <v>0</v>
      </c>
      <c r="Z777" s="14">
        <v>0.22812974219212301</v>
      </c>
      <c r="AA777" s="14">
        <v>0.10871513363807001</v>
      </c>
      <c r="AB777" s="14"/>
      <c r="AC777" s="14">
        <v>5.1324126324536201E-2</v>
      </c>
      <c r="AD777" s="14">
        <v>0.15616123494273099</v>
      </c>
      <c r="AE777" s="14">
        <v>3.1432670881672203E-2</v>
      </c>
      <c r="AF777" s="14">
        <v>0</v>
      </c>
      <c r="AG777" s="14">
        <v>0</v>
      </c>
      <c r="AH777" s="14"/>
      <c r="AI777" s="14">
        <v>5.3642863199931598E-2</v>
      </c>
      <c r="AJ777" s="14">
        <v>0</v>
      </c>
      <c r="AK777" s="14">
        <v>7.3322046590377304E-2</v>
      </c>
      <c r="AL777" s="14">
        <v>0.24498634691379401</v>
      </c>
      <c r="AM777" s="14">
        <v>0</v>
      </c>
      <c r="AN777" s="14">
        <v>0</v>
      </c>
      <c r="AO777" s="14"/>
      <c r="AP777" s="14">
        <v>5.51416559215663E-2</v>
      </c>
      <c r="AQ777" s="14">
        <v>6.6779745942913499E-2</v>
      </c>
      <c r="AR777" s="14"/>
      <c r="AS777" s="14">
        <v>6.1595956872204198E-2</v>
      </c>
      <c r="AT777" s="14" t="s">
        <v>88</v>
      </c>
      <c r="AU777" s="14" t="s">
        <v>88</v>
      </c>
      <c r="AV777" s="14"/>
      <c r="AW777" s="14">
        <v>7.5718610114167098E-2</v>
      </c>
      <c r="AX777" s="14">
        <v>2.2308565873408501E-2</v>
      </c>
      <c r="AY777" s="14"/>
      <c r="AZ777" s="14">
        <v>6.3735165694225299E-2</v>
      </c>
      <c r="BA777" s="14">
        <v>5.2935042375339102E-2</v>
      </c>
    </row>
    <row r="778" spans="2:53" x14ac:dyDescent="0.35">
      <c r="B778" t="s">
        <v>116</v>
      </c>
      <c r="C778" s="14">
        <v>4.7222172261087499E-2</v>
      </c>
      <c r="D778" s="14">
        <v>7.8192346290195305E-3</v>
      </c>
      <c r="E778" s="14">
        <v>8.9615685872111397E-2</v>
      </c>
      <c r="F778" s="14"/>
      <c r="G778" s="14">
        <v>0</v>
      </c>
      <c r="H778" s="14">
        <v>2.72845263673142E-2</v>
      </c>
      <c r="I778" s="14">
        <v>6.13851085945957E-2</v>
      </c>
      <c r="J778" s="14">
        <v>3.0304423564244301E-2</v>
      </c>
      <c r="K778" s="14">
        <v>0</v>
      </c>
      <c r="L778" s="14" t="s">
        <v>88</v>
      </c>
      <c r="M778" s="14"/>
      <c r="N778" s="14">
        <v>4.2353509720866302E-2</v>
      </c>
      <c r="O778" s="14">
        <v>3.09844445246522E-2</v>
      </c>
      <c r="P778" s="14">
        <v>0.115462979678913</v>
      </c>
      <c r="Q778" s="14">
        <v>0</v>
      </c>
      <c r="R778" s="14"/>
      <c r="S778" s="14">
        <v>1.40468871265781E-2</v>
      </c>
      <c r="T778" s="14">
        <v>0</v>
      </c>
      <c r="U778" s="14">
        <v>0.11254699981268999</v>
      </c>
      <c r="V778" s="14">
        <v>0.13780256709201</v>
      </c>
      <c r="W778" s="14">
        <v>0</v>
      </c>
      <c r="X778" s="14">
        <v>0.124296016613874</v>
      </c>
      <c r="Y778" s="14">
        <v>0</v>
      </c>
      <c r="Z778" s="14">
        <v>0</v>
      </c>
      <c r="AA778" s="14">
        <v>2.8961277245630499E-2</v>
      </c>
      <c r="AB778" s="14"/>
      <c r="AC778" s="14">
        <v>0</v>
      </c>
      <c r="AD778" s="14">
        <v>3.54871636074479E-2</v>
      </c>
      <c r="AE778" s="14">
        <v>7.1649183574795702E-2</v>
      </c>
      <c r="AF778" s="14">
        <v>6.0365226042873303E-2</v>
      </c>
      <c r="AG778" s="14">
        <v>0</v>
      </c>
      <c r="AH778" s="14"/>
      <c r="AI778" s="14">
        <v>0</v>
      </c>
      <c r="AJ778" s="14">
        <v>1.46701820562472E-2</v>
      </c>
      <c r="AK778" s="14">
        <v>5.9951897938923998E-2</v>
      </c>
      <c r="AL778" s="14">
        <v>2.77525211001871E-2</v>
      </c>
      <c r="AM778" s="14">
        <v>0.21058104288687601</v>
      </c>
      <c r="AN778" s="14">
        <v>9.6588636186012697E-2</v>
      </c>
      <c r="AO778" s="14"/>
      <c r="AP778" s="14">
        <v>4.3258034932526897E-2</v>
      </c>
      <c r="AQ778" s="14">
        <v>5.0405979758714699E-2</v>
      </c>
      <c r="AR778" s="14"/>
      <c r="AS778" s="14">
        <v>4.7222172261087499E-2</v>
      </c>
      <c r="AT778" s="14" t="s">
        <v>88</v>
      </c>
      <c r="AU778" s="14" t="s">
        <v>88</v>
      </c>
      <c r="AV778" s="14"/>
      <c r="AW778" s="14">
        <v>6.3742648805778498E-2</v>
      </c>
      <c r="AX778" s="14">
        <v>0</v>
      </c>
      <c r="AY778" s="14"/>
      <c r="AZ778" s="14">
        <v>2.6064647283327601E-2</v>
      </c>
      <c r="BA778" s="14">
        <v>0.13288165202357899</v>
      </c>
    </row>
    <row r="779" spans="2:53" x14ac:dyDescent="0.35"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</row>
    <row r="780" spans="2:53" x14ac:dyDescent="0.35">
      <c r="B780" s="6" t="s">
        <v>271</v>
      </c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</row>
    <row r="781" spans="2:53" x14ac:dyDescent="0.35">
      <c r="B781" s="24" t="s">
        <v>219</v>
      </c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</row>
    <row r="782" spans="2:53" x14ac:dyDescent="0.35">
      <c r="B782" t="s">
        <v>220</v>
      </c>
      <c r="C782" s="14">
        <v>0.29548917085796</v>
      </c>
      <c r="D782" s="14">
        <v>0.34020614185418602</v>
      </c>
      <c r="E782" s="14">
        <v>0.24737830317916401</v>
      </c>
      <c r="F782" s="14"/>
      <c r="G782" s="14">
        <v>0.18623021052268701</v>
      </c>
      <c r="H782" s="14">
        <v>0.26484142935824601</v>
      </c>
      <c r="I782" s="14">
        <v>0.32659282465843897</v>
      </c>
      <c r="J782" s="14">
        <v>0.21993777737086301</v>
      </c>
      <c r="K782" s="14">
        <v>0.21705384553578599</v>
      </c>
      <c r="L782" s="14" t="s">
        <v>88</v>
      </c>
      <c r="M782" s="14"/>
      <c r="N782" s="14">
        <v>0.30731713837733299</v>
      </c>
      <c r="O782" s="14">
        <v>0.16986286505763201</v>
      </c>
      <c r="P782" s="14">
        <v>0.30219818162001499</v>
      </c>
      <c r="Q782" s="14">
        <v>0.436849020486134</v>
      </c>
      <c r="R782" s="14"/>
      <c r="S782" s="14">
        <v>0.301423474313957</v>
      </c>
      <c r="T782" s="14">
        <v>0.28892213964207802</v>
      </c>
      <c r="U782" s="14">
        <v>0.127790520067907</v>
      </c>
      <c r="V782" s="14">
        <v>0.243086364057823</v>
      </c>
      <c r="W782" s="14">
        <v>0.53652890734426495</v>
      </c>
      <c r="X782" s="14">
        <v>0.39581254916686598</v>
      </c>
      <c r="Y782" s="14">
        <v>0.27559817779051798</v>
      </c>
      <c r="Z782" s="14">
        <v>0.14733553971039301</v>
      </c>
      <c r="AA782" s="14">
        <v>0.41287344490282402</v>
      </c>
      <c r="AB782" s="14"/>
      <c r="AC782" s="14">
        <v>0.184643299225343</v>
      </c>
      <c r="AD782" s="14">
        <v>0.302371905152652</v>
      </c>
      <c r="AE782" s="14">
        <v>0.29425549218837999</v>
      </c>
      <c r="AF782" s="14">
        <v>0.44609675287908501</v>
      </c>
      <c r="AG782" s="14">
        <v>0.17406876810722599</v>
      </c>
      <c r="AH782" s="14"/>
      <c r="AI782" s="14">
        <v>0.37586288054226202</v>
      </c>
      <c r="AJ782" s="14">
        <v>0.27003376031966297</v>
      </c>
      <c r="AK782" s="14">
        <v>0.17128871405932899</v>
      </c>
      <c r="AL782" s="14">
        <v>0.24161086829200801</v>
      </c>
      <c r="AM782" s="14">
        <v>6.4906609737644394E-2</v>
      </c>
      <c r="AN782" s="14">
        <v>0.27471269093726502</v>
      </c>
      <c r="AO782" s="14"/>
      <c r="AP782" s="14">
        <v>0.31331311543885498</v>
      </c>
      <c r="AQ782" s="14">
        <v>0.281173822097187</v>
      </c>
      <c r="AR782" s="14"/>
      <c r="AS782" s="14">
        <v>0.29548917085796</v>
      </c>
      <c r="AT782" s="14" t="s">
        <v>88</v>
      </c>
      <c r="AU782" s="14" t="s">
        <v>88</v>
      </c>
      <c r="AV782" s="14"/>
      <c r="AW782" s="14">
        <v>0.26290452140166698</v>
      </c>
      <c r="AX782" s="14">
        <v>0.40841677055415698</v>
      </c>
      <c r="AY782" s="14"/>
      <c r="AZ782" s="14">
        <v>0.33288899763511098</v>
      </c>
      <c r="BA782" s="14">
        <v>0.14407024504760901</v>
      </c>
    </row>
    <row r="783" spans="2:53" x14ac:dyDescent="0.35">
      <c r="B783" t="s">
        <v>221</v>
      </c>
      <c r="C783" s="14">
        <v>0.429824299561201</v>
      </c>
      <c r="D783" s="14">
        <v>0.38575066442421302</v>
      </c>
      <c r="E783" s="14">
        <v>0.47724300393583502</v>
      </c>
      <c r="F783" s="14"/>
      <c r="G783" s="14">
        <v>0.81376978947731304</v>
      </c>
      <c r="H783" s="14">
        <v>0.47401200170422803</v>
      </c>
      <c r="I783" s="14">
        <v>0.38060611254865301</v>
      </c>
      <c r="J783" s="14">
        <v>0.550817904371527</v>
      </c>
      <c r="K783" s="14">
        <v>0.459861398080882</v>
      </c>
      <c r="L783" s="14" t="s">
        <v>88</v>
      </c>
      <c r="M783" s="14"/>
      <c r="N783" s="14">
        <v>0.50016288984808999</v>
      </c>
      <c r="O783" s="14">
        <v>0.47939508482287502</v>
      </c>
      <c r="P783" s="14">
        <v>0.35874684046729</v>
      </c>
      <c r="Q783" s="14">
        <v>0.34231874208170798</v>
      </c>
      <c r="R783" s="14"/>
      <c r="S783" s="14">
        <v>0.44931445773654299</v>
      </c>
      <c r="T783" s="14">
        <v>0.39183797752230798</v>
      </c>
      <c r="U783" s="14">
        <v>0.409901778128203</v>
      </c>
      <c r="V783" s="14">
        <v>0.43246374942306798</v>
      </c>
      <c r="W783" s="14">
        <v>0.463471092655735</v>
      </c>
      <c r="X783" s="14">
        <v>0.35184310571463101</v>
      </c>
      <c r="Y783" s="14">
        <v>0.50880356139522198</v>
      </c>
      <c r="Z783" s="14">
        <v>0.53333444603903102</v>
      </c>
      <c r="AA783" s="14">
        <v>0.38735290498182301</v>
      </c>
      <c r="AB783" s="14"/>
      <c r="AC783" s="14">
        <v>0.47884761411935201</v>
      </c>
      <c r="AD783" s="14">
        <v>0.40548220991029998</v>
      </c>
      <c r="AE783" s="14">
        <v>0.41417873292194701</v>
      </c>
      <c r="AF783" s="14">
        <v>0.39488276187385202</v>
      </c>
      <c r="AG783" s="14">
        <v>0.75476335803208405</v>
      </c>
      <c r="AH783" s="14"/>
      <c r="AI783" s="14">
        <v>0.427272363125903</v>
      </c>
      <c r="AJ783" s="14">
        <v>0.36217860423470399</v>
      </c>
      <c r="AK783" s="14">
        <v>0.36448538258826702</v>
      </c>
      <c r="AL783" s="14">
        <v>0.56246527244366795</v>
      </c>
      <c r="AM783" s="14">
        <v>0.72451234737547998</v>
      </c>
      <c r="AN783" s="14">
        <v>0.38124739590586498</v>
      </c>
      <c r="AO783" s="14"/>
      <c r="AP783" s="14">
        <v>0.47173317454330899</v>
      </c>
      <c r="AQ783" s="14">
        <v>0.39616507453288702</v>
      </c>
      <c r="AR783" s="14"/>
      <c r="AS783" s="14">
        <v>0.429824299561201</v>
      </c>
      <c r="AT783" s="14" t="s">
        <v>88</v>
      </c>
      <c r="AU783" s="14" t="s">
        <v>88</v>
      </c>
      <c r="AV783" s="14"/>
      <c r="AW783" s="14">
        <v>0.44853454158913098</v>
      </c>
      <c r="AX783" s="14">
        <v>0.36028852014811202</v>
      </c>
      <c r="AY783" s="14"/>
      <c r="AZ783" s="14">
        <v>0.423227554882665</v>
      </c>
      <c r="BA783" s="14">
        <v>0.45653223056368297</v>
      </c>
    </row>
    <row r="784" spans="2:53" x14ac:dyDescent="0.35">
      <c r="B784" t="s">
        <v>222</v>
      </c>
      <c r="C784" s="14">
        <v>0.192809941373324</v>
      </c>
      <c r="D784" s="14">
        <v>0.216312338854871</v>
      </c>
      <c r="E784" s="14">
        <v>0.16752377573691299</v>
      </c>
      <c r="F784" s="14"/>
      <c r="G784" s="14">
        <v>0</v>
      </c>
      <c r="H784" s="14">
        <v>0.16429649854403999</v>
      </c>
      <c r="I784" s="14">
        <v>0.21474842715699399</v>
      </c>
      <c r="J784" s="14">
        <v>0.19893989469336601</v>
      </c>
      <c r="K784" s="14">
        <v>0</v>
      </c>
      <c r="L784" s="14" t="s">
        <v>88</v>
      </c>
      <c r="M784" s="14"/>
      <c r="N784" s="14">
        <v>0.13892126718654399</v>
      </c>
      <c r="O784" s="14">
        <v>0.27325945047870598</v>
      </c>
      <c r="P784" s="14">
        <v>0.16522405902484799</v>
      </c>
      <c r="Q784" s="14">
        <v>0.19451493523323299</v>
      </c>
      <c r="R784" s="14"/>
      <c r="S784" s="14">
        <v>0.16862572340762999</v>
      </c>
      <c r="T784" s="14">
        <v>0.24931990037895799</v>
      </c>
      <c r="U784" s="14">
        <v>0.33937081055090201</v>
      </c>
      <c r="V784" s="14">
        <v>0.232581514992592</v>
      </c>
      <c r="W784" s="14">
        <v>0</v>
      </c>
      <c r="X784" s="14">
        <v>0.15224737629004001</v>
      </c>
      <c r="Y784" s="14">
        <v>0.154120355796762</v>
      </c>
      <c r="Z784" s="14">
        <v>0.197045808261646</v>
      </c>
      <c r="AA784" s="14">
        <v>0.121572382426356</v>
      </c>
      <c r="AB784" s="14"/>
      <c r="AC784" s="14">
        <v>0.27239554005671301</v>
      </c>
      <c r="AD784" s="14">
        <v>0.245147589120321</v>
      </c>
      <c r="AE784" s="14">
        <v>0.17938775392733</v>
      </c>
      <c r="AF784" s="14">
        <v>0.104752382934544</v>
      </c>
      <c r="AG784" s="14">
        <v>3.3806676585493099E-2</v>
      </c>
      <c r="AH784" s="14"/>
      <c r="AI784" s="14">
        <v>0.122692043994162</v>
      </c>
      <c r="AJ784" s="14">
        <v>0.34949084949072501</v>
      </c>
      <c r="AK784" s="14">
        <v>0.25034292526266799</v>
      </c>
      <c r="AL784" s="14">
        <v>0.14942120982725901</v>
      </c>
      <c r="AM784" s="14">
        <v>0</v>
      </c>
      <c r="AN784" s="14">
        <v>0.20218430053955999</v>
      </c>
      <c r="AO784" s="14"/>
      <c r="AP784" s="14">
        <v>0.17281225618659099</v>
      </c>
      <c r="AQ784" s="14">
        <v>0.208871135715404</v>
      </c>
      <c r="AR784" s="14"/>
      <c r="AS784" s="14">
        <v>0.192809941373324</v>
      </c>
      <c r="AT784" s="14" t="s">
        <v>88</v>
      </c>
      <c r="AU784" s="14" t="s">
        <v>88</v>
      </c>
      <c r="AV784" s="14"/>
      <c r="AW784" s="14">
        <v>0.19743407988193201</v>
      </c>
      <c r="AX784" s="14">
        <v>0.17303653892586801</v>
      </c>
      <c r="AY784" s="14"/>
      <c r="AZ784" s="14">
        <v>0.170691767137432</v>
      </c>
      <c r="BA784" s="14">
        <v>0.28235875676331801</v>
      </c>
    </row>
    <row r="785" spans="2:53" x14ac:dyDescent="0.35">
      <c r="B785" t="s">
        <v>223</v>
      </c>
      <c r="C785" s="14">
        <v>5.8909938472613598E-3</v>
      </c>
      <c r="D785" s="14">
        <v>1.13664178775587E-2</v>
      </c>
      <c r="E785" s="14">
        <v>0</v>
      </c>
      <c r="F785" s="14"/>
      <c r="G785" s="14">
        <v>0</v>
      </c>
      <c r="H785" s="14">
        <v>0</v>
      </c>
      <c r="I785" s="14">
        <v>9.7892119819497601E-3</v>
      </c>
      <c r="J785" s="14">
        <v>0</v>
      </c>
      <c r="K785" s="14">
        <v>0</v>
      </c>
      <c r="L785" s="14" t="s">
        <v>88</v>
      </c>
      <c r="M785" s="14"/>
      <c r="N785" s="14">
        <v>0</v>
      </c>
      <c r="O785" s="14">
        <v>2.1706709817812999E-2</v>
      </c>
      <c r="P785" s="14">
        <v>0</v>
      </c>
      <c r="Q785" s="14">
        <v>0</v>
      </c>
      <c r="R785" s="14"/>
      <c r="S785" s="14">
        <v>0</v>
      </c>
      <c r="T785" s="14">
        <v>0</v>
      </c>
      <c r="U785" s="14">
        <v>0</v>
      </c>
      <c r="V785" s="14">
        <v>0</v>
      </c>
      <c r="W785" s="14">
        <v>0</v>
      </c>
      <c r="X785" s="14">
        <v>0</v>
      </c>
      <c r="Y785" s="14">
        <v>0</v>
      </c>
      <c r="Z785" s="14">
        <v>0.12228420598893</v>
      </c>
      <c r="AA785" s="14">
        <v>0</v>
      </c>
      <c r="AB785" s="14"/>
      <c r="AC785" s="14">
        <v>0</v>
      </c>
      <c r="AD785" s="14">
        <v>2.6163249989381299E-2</v>
      </c>
      <c r="AE785" s="14">
        <v>0</v>
      </c>
      <c r="AF785" s="14">
        <v>0</v>
      </c>
      <c r="AG785" s="14">
        <v>0</v>
      </c>
      <c r="AH785" s="14"/>
      <c r="AI785" s="14">
        <v>1.5245795319222301E-2</v>
      </c>
      <c r="AJ785" s="14">
        <v>0</v>
      </c>
      <c r="AK785" s="14">
        <v>0</v>
      </c>
      <c r="AL785" s="14">
        <v>0</v>
      </c>
      <c r="AM785" s="14">
        <v>0</v>
      </c>
      <c r="AN785" s="14">
        <v>0</v>
      </c>
      <c r="AO785" s="14"/>
      <c r="AP785" s="14">
        <v>1.3225830714645399E-2</v>
      </c>
      <c r="AQ785" s="14">
        <v>0</v>
      </c>
      <c r="AR785" s="14"/>
      <c r="AS785" s="14">
        <v>5.8909938472613598E-3</v>
      </c>
      <c r="AT785" s="14" t="s">
        <v>88</v>
      </c>
      <c r="AU785" s="14" t="s">
        <v>88</v>
      </c>
      <c r="AV785" s="14"/>
      <c r="AW785" s="14">
        <v>7.9519330421064099E-3</v>
      </c>
      <c r="AX785" s="14">
        <v>0</v>
      </c>
      <c r="AY785" s="14"/>
      <c r="AZ785" s="14">
        <v>7.34604412088956E-3</v>
      </c>
      <c r="BA785" s="14">
        <v>0</v>
      </c>
    </row>
    <row r="786" spans="2:53" x14ac:dyDescent="0.35">
      <c r="B786" t="s">
        <v>116</v>
      </c>
      <c r="C786" s="14">
        <v>3.1564459443119301E-2</v>
      </c>
      <c r="D786" s="14">
        <v>1.8331792832033601E-2</v>
      </c>
      <c r="E786" s="14">
        <v>4.5801449520495002E-2</v>
      </c>
      <c r="F786" s="14"/>
      <c r="G786" s="14">
        <v>0</v>
      </c>
      <c r="H786" s="14">
        <v>2.72845263673142E-2</v>
      </c>
      <c r="I786" s="14">
        <v>3.5366295147890303E-2</v>
      </c>
      <c r="J786" s="14">
        <v>3.0304423564244301E-2</v>
      </c>
      <c r="K786" s="14">
        <v>0</v>
      </c>
      <c r="L786" s="14" t="s">
        <v>88</v>
      </c>
      <c r="M786" s="14"/>
      <c r="N786" s="14">
        <v>1.04002821091802E-2</v>
      </c>
      <c r="O786" s="14">
        <v>0</v>
      </c>
      <c r="P786" s="14">
        <v>0.10126446703570301</v>
      </c>
      <c r="Q786" s="14">
        <v>2.6317302198924399E-2</v>
      </c>
      <c r="R786" s="14"/>
      <c r="S786" s="14">
        <v>5.7550471485169799E-2</v>
      </c>
      <c r="T786" s="14">
        <v>0</v>
      </c>
      <c r="U786" s="14">
        <v>6.5958608953062797E-2</v>
      </c>
      <c r="V786" s="14">
        <v>4.5934185763258903E-2</v>
      </c>
      <c r="W786" s="14">
        <v>0</v>
      </c>
      <c r="X786" s="14">
        <v>0</v>
      </c>
      <c r="Y786" s="14">
        <v>6.1477905017497801E-2</v>
      </c>
      <c r="Z786" s="14">
        <v>0</v>
      </c>
      <c r="AA786" s="14">
        <v>0</v>
      </c>
      <c r="AB786" s="14"/>
      <c r="AC786" s="14">
        <v>0</v>
      </c>
      <c r="AD786" s="14">
        <v>0</v>
      </c>
      <c r="AE786" s="14">
        <v>4.52239281896539E-2</v>
      </c>
      <c r="AF786" s="14">
        <v>3.9706580602844502E-2</v>
      </c>
      <c r="AG786" s="14">
        <v>0</v>
      </c>
      <c r="AH786" s="14"/>
      <c r="AI786" s="14">
        <v>2.45884644012049E-2</v>
      </c>
      <c r="AJ786" s="14">
        <v>1.46701820562472E-2</v>
      </c>
      <c r="AK786" s="14">
        <v>0</v>
      </c>
      <c r="AL786" s="14">
        <v>0</v>
      </c>
      <c r="AM786" s="14">
        <v>0.21058104288687601</v>
      </c>
      <c r="AN786" s="14">
        <v>9.73136959119075E-2</v>
      </c>
      <c r="AO786" s="14"/>
      <c r="AP786" s="14">
        <v>0</v>
      </c>
      <c r="AQ786" s="14">
        <v>5.6915539464871101E-2</v>
      </c>
      <c r="AR786" s="14"/>
      <c r="AS786" s="14">
        <v>3.1564459443119301E-2</v>
      </c>
      <c r="AT786" s="14" t="s">
        <v>88</v>
      </c>
      <c r="AU786" s="14" t="s">
        <v>88</v>
      </c>
      <c r="AV786" s="14"/>
      <c r="AW786" s="14">
        <v>4.2607151613076898E-2</v>
      </c>
      <c r="AX786" s="14">
        <v>0</v>
      </c>
      <c r="AY786" s="14"/>
      <c r="AZ786" s="14">
        <v>1.5673236957737102E-2</v>
      </c>
      <c r="BA786" s="14">
        <v>9.5902507126802705E-2</v>
      </c>
    </row>
    <row r="787" spans="2:53" x14ac:dyDescent="0.35">
      <c r="B787" t="s">
        <v>224</v>
      </c>
      <c r="C787" s="14">
        <v>0.72531347041916105</v>
      </c>
      <c r="D787" s="14">
        <v>0.72595680627839898</v>
      </c>
      <c r="E787" s="14">
        <v>0.72462130711499895</v>
      </c>
      <c r="F787" s="14"/>
      <c r="G787" s="14">
        <v>1</v>
      </c>
      <c r="H787" s="14">
        <v>0.73885343106247503</v>
      </c>
      <c r="I787" s="14">
        <v>0.70719893720709204</v>
      </c>
      <c r="J787" s="14">
        <v>0.77075568174238995</v>
      </c>
      <c r="K787" s="14">
        <v>0.67691524361666799</v>
      </c>
      <c r="L787" s="14" t="s">
        <v>88</v>
      </c>
      <c r="M787" s="14"/>
      <c r="N787" s="14">
        <v>0.80748002822542297</v>
      </c>
      <c r="O787" s="14">
        <v>0.649257949880507</v>
      </c>
      <c r="P787" s="14">
        <v>0.66094502208730499</v>
      </c>
      <c r="Q787" s="14">
        <v>0.77916776256784204</v>
      </c>
      <c r="R787" s="14"/>
      <c r="S787" s="14">
        <v>0.75073793205050099</v>
      </c>
      <c r="T787" s="14">
        <v>0.680760117164386</v>
      </c>
      <c r="U787" s="14">
        <v>0.53769229819611097</v>
      </c>
      <c r="V787" s="14">
        <v>0.675550113480891</v>
      </c>
      <c r="W787" s="14">
        <v>1</v>
      </c>
      <c r="X787" s="14">
        <v>0.74765565488149599</v>
      </c>
      <c r="Y787" s="14">
        <v>0.78440173918573997</v>
      </c>
      <c r="Z787" s="14">
        <v>0.68066998574942394</v>
      </c>
      <c r="AA787" s="14">
        <v>0.80022634988464703</v>
      </c>
      <c r="AB787" s="14"/>
      <c r="AC787" s="14">
        <v>0.66349091334469501</v>
      </c>
      <c r="AD787" s="14">
        <v>0.70785411506295204</v>
      </c>
      <c r="AE787" s="14">
        <v>0.70843422511032705</v>
      </c>
      <c r="AF787" s="14">
        <v>0.84097951475293697</v>
      </c>
      <c r="AG787" s="14">
        <v>0.92883212613930999</v>
      </c>
      <c r="AH787" s="14"/>
      <c r="AI787" s="14">
        <v>0.80313524366816402</v>
      </c>
      <c r="AJ787" s="14">
        <v>0.63221236455436702</v>
      </c>
      <c r="AK787" s="14">
        <v>0.53577409664759601</v>
      </c>
      <c r="AL787" s="14">
        <v>0.80407614073567601</v>
      </c>
      <c r="AM787" s="14">
        <v>0.78941895711312404</v>
      </c>
      <c r="AN787" s="14">
        <v>0.65596008684313001</v>
      </c>
      <c r="AO787" s="14"/>
      <c r="AP787" s="14">
        <v>0.78504628998216397</v>
      </c>
      <c r="AQ787" s="14">
        <v>0.67733889663007396</v>
      </c>
      <c r="AR787" s="14"/>
      <c r="AS787" s="14">
        <v>0.72531347041916105</v>
      </c>
      <c r="AT787" s="14" t="s">
        <v>88</v>
      </c>
      <c r="AU787" s="14" t="s">
        <v>88</v>
      </c>
      <c r="AV787" s="14"/>
      <c r="AW787" s="14">
        <v>0.71143906299079795</v>
      </c>
      <c r="AX787" s="14">
        <v>0.76870529070226901</v>
      </c>
      <c r="AY787" s="14"/>
      <c r="AZ787" s="14">
        <v>0.75611655251777699</v>
      </c>
      <c r="BA787" s="14">
        <v>0.60060247561129199</v>
      </c>
    </row>
    <row r="788" spans="2:53" x14ac:dyDescent="0.35"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</row>
    <row r="789" spans="2:53" x14ac:dyDescent="0.35">
      <c r="B789" s="6" t="s">
        <v>272</v>
      </c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</row>
    <row r="790" spans="2:53" x14ac:dyDescent="0.35">
      <c r="B790" s="24" t="s">
        <v>219</v>
      </c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</row>
    <row r="791" spans="2:53" x14ac:dyDescent="0.35">
      <c r="B791" t="s">
        <v>226</v>
      </c>
      <c r="C791" s="14">
        <v>0.332817701580506</v>
      </c>
      <c r="D791" s="14">
        <v>0.35307199906627401</v>
      </c>
      <c r="E791" s="14">
        <v>0.31102615791027499</v>
      </c>
      <c r="F791" s="14"/>
      <c r="G791" s="14">
        <v>0.56339286041068704</v>
      </c>
      <c r="H791" s="14">
        <v>0.34893362566820602</v>
      </c>
      <c r="I791" s="14">
        <v>0.334865514102414</v>
      </c>
      <c r="J791" s="14">
        <v>0.270307778296481</v>
      </c>
      <c r="K791" s="14">
        <v>0.21705384553578599</v>
      </c>
      <c r="L791" s="14" t="s">
        <v>88</v>
      </c>
      <c r="M791" s="14"/>
      <c r="N791" s="14">
        <v>0.281244037116055</v>
      </c>
      <c r="O791" s="14">
        <v>0.25060295054626702</v>
      </c>
      <c r="P791" s="14">
        <v>0.340637172896253</v>
      </c>
      <c r="Q791" s="14">
        <v>0.50659151737806696</v>
      </c>
      <c r="R791" s="14"/>
      <c r="S791" s="14">
        <v>0.42095634054133502</v>
      </c>
      <c r="T791" s="14">
        <v>0.22387723349567001</v>
      </c>
      <c r="U791" s="14">
        <v>0.174332904658756</v>
      </c>
      <c r="V791" s="14">
        <v>0.41751282305404003</v>
      </c>
      <c r="W791" s="14">
        <v>0.47325526105667798</v>
      </c>
      <c r="X791" s="14">
        <v>0.44571773554880301</v>
      </c>
      <c r="Y791" s="14">
        <v>0.27559817881131699</v>
      </c>
      <c r="Z791" s="14">
        <v>0.30127607910017101</v>
      </c>
      <c r="AA791" s="14">
        <v>0.25947808804547701</v>
      </c>
      <c r="AB791" s="14"/>
      <c r="AC791" s="14">
        <v>0.23155058081515301</v>
      </c>
      <c r="AD791" s="14">
        <v>0.31581126017859001</v>
      </c>
      <c r="AE791" s="14">
        <v>0.35584427363619198</v>
      </c>
      <c r="AF791" s="14">
        <v>0.30539014850430302</v>
      </c>
      <c r="AG791" s="14">
        <v>0.62068079630380102</v>
      </c>
      <c r="AH791" s="14"/>
      <c r="AI791" s="14">
        <v>0.362365769157656</v>
      </c>
      <c r="AJ791" s="14">
        <v>0.31502798053837</v>
      </c>
      <c r="AK791" s="14">
        <v>0.30724534561126698</v>
      </c>
      <c r="AL791" s="14">
        <v>0.212432298452566</v>
      </c>
      <c r="AM791" s="14">
        <v>0.384395932433092</v>
      </c>
      <c r="AN791" s="14">
        <v>0.35482861744623201</v>
      </c>
      <c r="AO791" s="14"/>
      <c r="AP791" s="14">
        <v>0.35340177887617003</v>
      </c>
      <c r="AQ791" s="14">
        <v>0.31628554484781601</v>
      </c>
      <c r="AR791" s="14"/>
      <c r="AS791" s="14">
        <v>0.332817701580506</v>
      </c>
      <c r="AT791" s="14" t="s">
        <v>88</v>
      </c>
      <c r="AU791" s="14" t="s">
        <v>88</v>
      </c>
      <c r="AV791" s="14"/>
      <c r="AW791" s="14">
        <v>0.31039333901720201</v>
      </c>
      <c r="AX791" s="14">
        <v>0.41712502098743298</v>
      </c>
      <c r="AY791" s="14"/>
      <c r="AZ791" s="14">
        <v>0.36570158055642699</v>
      </c>
      <c r="BA791" s="14">
        <v>0.19968228197868401</v>
      </c>
    </row>
    <row r="792" spans="2:53" x14ac:dyDescent="0.35">
      <c r="B792" t="s">
        <v>227</v>
      </c>
      <c r="C792" s="14">
        <v>0.355356562165415</v>
      </c>
      <c r="D792" s="14">
        <v>0.32762729990514999</v>
      </c>
      <c r="E792" s="14">
        <v>0.385190400140416</v>
      </c>
      <c r="F792" s="14"/>
      <c r="G792" s="14">
        <v>0</v>
      </c>
      <c r="H792" s="14">
        <v>0.39033163083148398</v>
      </c>
      <c r="I792" s="14">
        <v>0.31859069561551401</v>
      </c>
      <c r="J792" s="14">
        <v>0.509359415162704</v>
      </c>
      <c r="K792" s="14">
        <v>0.459861398080882</v>
      </c>
      <c r="L792" s="14" t="s">
        <v>88</v>
      </c>
      <c r="M792" s="14"/>
      <c r="N792" s="14">
        <v>0.51411674064343704</v>
      </c>
      <c r="O792" s="14">
        <v>0.33879854325192599</v>
      </c>
      <c r="P792" s="14">
        <v>0.27392575277765902</v>
      </c>
      <c r="Q792" s="14">
        <v>0.23977390424783901</v>
      </c>
      <c r="R792" s="14"/>
      <c r="S792" s="14">
        <v>0.287820750088773</v>
      </c>
      <c r="T792" s="14">
        <v>0.49390042494258102</v>
      </c>
      <c r="U792" s="14">
        <v>0.210770818332431</v>
      </c>
      <c r="V792" s="14">
        <v>0.27477322965187401</v>
      </c>
      <c r="W792" s="14">
        <v>0.251677824844182</v>
      </c>
      <c r="X792" s="14">
        <v>0.294094866037305</v>
      </c>
      <c r="Y792" s="14">
        <v>0.52427568536791702</v>
      </c>
      <c r="Z792" s="14">
        <v>0.32349296507813702</v>
      </c>
      <c r="AA792" s="14">
        <v>0.53188345071888499</v>
      </c>
      <c r="AB792" s="14"/>
      <c r="AC792" s="14">
        <v>0.431940332529542</v>
      </c>
      <c r="AD792" s="14">
        <v>0.24466886162726101</v>
      </c>
      <c r="AE792" s="14">
        <v>0.35113650180169398</v>
      </c>
      <c r="AF792" s="14">
        <v>0.46305284527611101</v>
      </c>
      <c r="AG792" s="14">
        <v>0.27559731937512499</v>
      </c>
      <c r="AH792" s="14"/>
      <c r="AI792" s="14">
        <v>0.382779462363391</v>
      </c>
      <c r="AJ792" s="14">
        <v>0.31876866735168602</v>
      </c>
      <c r="AK792" s="14">
        <v>0.37767143202964498</v>
      </c>
      <c r="AL792" s="14">
        <v>0.37332987731160899</v>
      </c>
      <c r="AM792" s="14">
        <v>0.385791341803701</v>
      </c>
      <c r="AN792" s="14">
        <v>0.41697770780855797</v>
      </c>
      <c r="AO792" s="14"/>
      <c r="AP792" s="14">
        <v>0.41354027132505</v>
      </c>
      <c r="AQ792" s="14">
        <v>0.30862616053993203</v>
      </c>
      <c r="AR792" s="14"/>
      <c r="AS792" s="14">
        <v>0.355356562165415</v>
      </c>
      <c r="AT792" s="14" t="s">
        <v>88</v>
      </c>
      <c r="AU792" s="14" t="s">
        <v>88</v>
      </c>
      <c r="AV792" s="14"/>
      <c r="AW792" s="14">
        <v>0.36390152035156897</v>
      </c>
      <c r="AX792" s="14">
        <v>0.329540805923971</v>
      </c>
      <c r="AY792" s="14"/>
      <c r="AZ792" s="14">
        <v>0.345212784375244</v>
      </c>
      <c r="BA792" s="14">
        <v>0.39642519988394498</v>
      </c>
    </row>
    <row r="793" spans="2:53" x14ac:dyDescent="0.35">
      <c r="B793" t="s">
        <v>228</v>
      </c>
      <c r="C793" s="14">
        <v>0.21863442222533999</v>
      </c>
      <c r="D793" s="14">
        <v>0.26170219490412799</v>
      </c>
      <c r="E793" s="14">
        <v>0.17229792253835199</v>
      </c>
      <c r="F793" s="14"/>
      <c r="G793" s="14">
        <v>0.43660713958931302</v>
      </c>
      <c r="H793" s="14">
        <v>0.195541188182111</v>
      </c>
      <c r="I793" s="14">
        <v>0.24543348654066799</v>
      </c>
      <c r="J793" s="14">
        <v>0.13264851144144299</v>
      </c>
      <c r="K793" s="14">
        <v>0</v>
      </c>
      <c r="L793" s="14" t="s">
        <v>88</v>
      </c>
      <c r="M793" s="14"/>
      <c r="N793" s="14">
        <v>0.135579212337154</v>
      </c>
      <c r="O793" s="14">
        <v>0.33008426448350803</v>
      </c>
      <c r="P793" s="14">
        <v>0.21303710201953699</v>
      </c>
      <c r="Q793" s="14">
        <v>0.196894391151127</v>
      </c>
      <c r="R793" s="14"/>
      <c r="S793" s="14">
        <v>0.20597377186422999</v>
      </c>
      <c r="T793" s="14">
        <v>0.238830873461153</v>
      </c>
      <c r="U793" s="14">
        <v>0.49195938575582399</v>
      </c>
      <c r="V793" s="14">
        <v>0.21664826094269099</v>
      </c>
      <c r="W793" s="14">
        <v>0.11386286270262901</v>
      </c>
      <c r="X793" s="14">
        <v>6.7079207177502306E-2</v>
      </c>
      <c r="Y793" s="14">
        <v>9.0025226415499301E-2</v>
      </c>
      <c r="Z793" s="14">
        <v>0.37523095582169202</v>
      </c>
      <c r="AA793" s="14">
        <v>0.13930200466692499</v>
      </c>
      <c r="AB793" s="14"/>
      <c r="AC793" s="14">
        <v>0.27239554005671301</v>
      </c>
      <c r="AD793" s="14">
        <v>0.35302118675045302</v>
      </c>
      <c r="AE793" s="14">
        <v>0.208425233401934</v>
      </c>
      <c r="AF793" s="14">
        <v>0.122028886011771</v>
      </c>
      <c r="AG793" s="14">
        <v>8.7029286719085899E-2</v>
      </c>
      <c r="AH793" s="14"/>
      <c r="AI793" s="14">
        <v>0.191714168114448</v>
      </c>
      <c r="AJ793" s="14">
        <v>0.30585298794634003</v>
      </c>
      <c r="AK793" s="14">
        <v>0.24176117576871101</v>
      </c>
      <c r="AL793" s="14">
        <v>0.26215401669286498</v>
      </c>
      <c r="AM793" s="14">
        <v>1.9231682876331799E-2</v>
      </c>
      <c r="AN793" s="14">
        <v>8.6338062127900503E-2</v>
      </c>
      <c r="AO793" s="14"/>
      <c r="AP793" s="14">
        <v>0.16978219837988101</v>
      </c>
      <c r="AQ793" s="14">
        <v>0.257870216463429</v>
      </c>
      <c r="AR793" s="14"/>
      <c r="AS793" s="14">
        <v>0.21863442222533999</v>
      </c>
      <c r="AT793" s="14" t="s">
        <v>88</v>
      </c>
      <c r="AU793" s="14" t="s">
        <v>88</v>
      </c>
      <c r="AV793" s="14"/>
      <c r="AW793" s="14">
        <v>0.218914679633643</v>
      </c>
      <c r="AX793" s="14">
        <v>0.19624894958771</v>
      </c>
      <c r="AY793" s="14"/>
      <c r="AZ793" s="14">
        <v>0.210217074126545</v>
      </c>
      <c r="BA793" s="14">
        <v>0.25271334496703401</v>
      </c>
    </row>
    <row r="794" spans="2:53" x14ac:dyDescent="0.35">
      <c r="B794" t="s">
        <v>229</v>
      </c>
      <c r="C794" s="14">
        <v>1.86163699197581E-2</v>
      </c>
      <c r="D794" s="14">
        <v>2.9634879637152399E-3</v>
      </c>
      <c r="E794" s="14">
        <v>3.5457263115376003E-2</v>
      </c>
      <c r="F794" s="14"/>
      <c r="G794" s="14">
        <v>0</v>
      </c>
      <c r="H794" s="14">
        <v>5.8092598671595601E-3</v>
      </c>
      <c r="I794" s="14">
        <v>1.8730562108017101E-2</v>
      </c>
      <c r="J794" s="14">
        <v>5.7379871535128898E-2</v>
      </c>
      <c r="K794" s="14">
        <v>0</v>
      </c>
      <c r="L794" s="14" t="s">
        <v>88</v>
      </c>
      <c r="M794" s="14"/>
      <c r="N794" s="14">
        <v>1.3606596222989299E-2</v>
      </c>
      <c r="O794" s="14">
        <v>1.5117850458816201E-2</v>
      </c>
      <c r="P794" s="14">
        <v>4.6061861546766503E-2</v>
      </c>
      <c r="Q794" s="14">
        <v>0</v>
      </c>
      <c r="R794" s="14"/>
      <c r="S794" s="14">
        <v>5.2416014828600303E-2</v>
      </c>
      <c r="T794" s="14">
        <v>0</v>
      </c>
      <c r="U794" s="14">
        <v>0</v>
      </c>
      <c r="V794" s="14">
        <v>0</v>
      </c>
      <c r="W794" s="14">
        <v>0</v>
      </c>
      <c r="X794" s="14">
        <v>9.0520948088061298E-2</v>
      </c>
      <c r="Y794" s="14">
        <v>0</v>
      </c>
      <c r="Z794" s="14">
        <v>0</v>
      </c>
      <c r="AA794" s="14">
        <v>0</v>
      </c>
      <c r="AB794" s="14"/>
      <c r="AC794" s="14">
        <v>0</v>
      </c>
      <c r="AD794" s="14">
        <v>0</v>
      </c>
      <c r="AE794" s="14">
        <v>2.2419670835775202E-2</v>
      </c>
      <c r="AF794" s="14">
        <v>3.5155061476347303E-2</v>
      </c>
      <c r="AG794" s="14">
        <v>0</v>
      </c>
      <c r="AH794" s="14"/>
      <c r="AI794" s="14">
        <v>3.9749313646988303E-3</v>
      </c>
      <c r="AJ794" s="14">
        <v>4.2053578208695999E-2</v>
      </c>
      <c r="AK794" s="14">
        <v>0</v>
      </c>
      <c r="AL794" s="14">
        <v>4.8650067166265201E-2</v>
      </c>
      <c r="AM794" s="14">
        <v>0</v>
      </c>
      <c r="AN794" s="14">
        <v>4.4541916705402002E-2</v>
      </c>
      <c r="AO794" s="14"/>
      <c r="AP794" s="14">
        <v>1.95431682989562E-2</v>
      </c>
      <c r="AQ794" s="14">
        <v>1.7872009322757398E-2</v>
      </c>
      <c r="AR794" s="14"/>
      <c r="AS794" s="14">
        <v>1.86163699197581E-2</v>
      </c>
      <c r="AT794" s="14" t="s">
        <v>88</v>
      </c>
      <c r="AU794" s="14" t="s">
        <v>88</v>
      </c>
      <c r="AV794" s="14"/>
      <c r="AW794" s="14">
        <v>2.30559751096138E-2</v>
      </c>
      <c r="AX794" s="14">
        <v>6.2279307469426297E-3</v>
      </c>
      <c r="AY794" s="14"/>
      <c r="AZ794" s="14">
        <v>1.73645277675075E-2</v>
      </c>
      <c r="BA794" s="14">
        <v>2.3684644569995E-2</v>
      </c>
    </row>
    <row r="795" spans="2:53" x14ac:dyDescent="0.35">
      <c r="B795" t="s">
        <v>116</v>
      </c>
      <c r="C795" s="14">
        <v>2.94295846825567E-2</v>
      </c>
      <c r="D795" s="14">
        <v>7.8192346290195305E-3</v>
      </c>
      <c r="E795" s="14">
        <v>5.26801016284816E-2</v>
      </c>
      <c r="F795" s="14"/>
      <c r="G795" s="14">
        <v>0</v>
      </c>
      <c r="H795" s="14">
        <v>2.72845263673142E-2</v>
      </c>
      <c r="I795" s="14">
        <v>3.1818720302641199E-2</v>
      </c>
      <c r="J795" s="14">
        <v>3.0304423564244301E-2</v>
      </c>
      <c r="K795" s="14">
        <v>0</v>
      </c>
      <c r="L795" s="14" t="s">
        <v>88</v>
      </c>
      <c r="M795" s="14"/>
      <c r="N795" s="14">
        <v>2.41391001732345E-2</v>
      </c>
      <c r="O795" s="14">
        <v>1.22096415967245E-2</v>
      </c>
      <c r="P795" s="14">
        <v>5.9584903074288702E-2</v>
      </c>
      <c r="Q795" s="14">
        <v>2.6317302198924399E-2</v>
      </c>
      <c r="R795" s="14"/>
      <c r="S795" s="14">
        <v>1.40468871265781E-2</v>
      </c>
      <c r="T795" s="14">
        <v>0</v>
      </c>
      <c r="U795" s="14">
        <v>6.5958608953062797E-2</v>
      </c>
      <c r="V795" s="14">
        <v>4.5934185763258903E-2</v>
      </c>
      <c r="W795" s="14">
        <v>0</v>
      </c>
      <c r="X795" s="14">
        <v>9.3011222407926405E-2</v>
      </c>
      <c r="Y795" s="14">
        <v>6.1477905017497801E-2</v>
      </c>
      <c r="Z795" s="14">
        <v>0</v>
      </c>
      <c r="AA795" s="14">
        <v>0</v>
      </c>
      <c r="AB795" s="14"/>
      <c r="AC795" s="14">
        <v>0</v>
      </c>
      <c r="AD795" s="14">
        <v>0</v>
      </c>
      <c r="AE795" s="14">
        <v>3.0482475134959101E-2</v>
      </c>
      <c r="AF795" s="14">
        <v>6.0365226042873303E-2</v>
      </c>
      <c r="AG795" s="14">
        <v>0</v>
      </c>
      <c r="AH795" s="14"/>
      <c r="AI795" s="14">
        <v>0</v>
      </c>
      <c r="AJ795" s="14">
        <v>1.46701820562472E-2</v>
      </c>
      <c r="AK795" s="14">
        <v>0</v>
      </c>
      <c r="AL795" s="14">
        <v>2.77525211001871E-2</v>
      </c>
      <c r="AM795" s="14">
        <v>0.21058104288687601</v>
      </c>
      <c r="AN795" s="14">
        <v>9.73136959119075E-2</v>
      </c>
      <c r="AO795" s="14"/>
      <c r="AP795" s="14">
        <v>9.0983698325648107E-3</v>
      </c>
      <c r="AQ795" s="14">
        <v>4.57586542657182E-2</v>
      </c>
      <c r="AR795" s="14"/>
      <c r="AS795" s="14">
        <v>2.94295846825567E-2</v>
      </c>
      <c r="AT795" s="14" t="s">
        <v>88</v>
      </c>
      <c r="AU795" s="14" t="s">
        <v>88</v>
      </c>
      <c r="AV795" s="14"/>
      <c r="AW795" s="14">
        <v>3.9725399978389898E-2</v>
      </c>
      <c r="AX795" s="14">
        <v>0</v>
      </c>
      <c r="AY795" s="14"/>
      <c r="AZ795" s="14">
        <v>1.3011057266112199E-2</v>
      </c>
      <c r="BA795" s="14">
        <v>9.5902507126802705E-2</v>
      </c>
    </row>
    <row r="796" spans="2:53" x14ac:dyDescent="0.35"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</row>
    <row r="797" spans="2:53" x14ac:dyDescent="0.35">
      <c r="B797" s="6" t="s">
        <v>273</v>
      </c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</row>
    <row r="798" spans="2:53" x14ac:dyDescent="0.35">
      <c r="B798" s="24" t="s">
        <v>219</v>
      </c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</row>
    <row r="799" spans="2:53" x14ac:dyDescent="0.35">
      <c r="B799" t="s">
        <v>231</v>
      </c>
      <c r="C799" s="14">
        <v>0.11573534040940101</v>
      </c>
      <c r="D799" s="14">
        <v>0.12739577684787201</v>
      </c>
      <c r="E799" s="14">
        <v>0.10318990850580401</v>
      </c>
      <c r="F799" s="14"/>
      <c r="G799" s="14">
        <v>0.37716264988800002</v>
      </c>
      <c r="H799" s="14">
        <v>0.119643516302897</v>
      </c>
      <c r="I799" s="14">
        <v>0.11596410604973099</v>
      </c>
      <c r="J799" s="14">
        <v>3.0304423564244301E-2</v>
      </c>
      <c r="K799" s="14">
        <v>0.32308475638333201</v>
      </c>
      <c r="L799" s="14" t="s">
        <v>88</v>
      </c>
      <c r="M799" s="14"/>
      <c r="N799" s="14">
        <v>0.13870170886841501</v>
      </c>
      <c r="O799" s="14">
        <v>8.9833606482246503E-2</v>
      </c>
      <c r="P799" s="14">
        <v>0.12901875184950601</v>
      </c>
      <c r="Q799" s="14">
        <v>0.10225381407276</v>
      </c>
      <c r="R799" s="14"/>
      <c r="S799" s="14">
        <v>0.149088642786534</v>
      </c>
      <c r="T799" s="14">
        <v>0.108281012707407</v>
      </c>
      <c r="U799" s="14">
        <v>0.39393294451327399</v>
      </c>
      <c r="V799" s="14">
        <v>0</v>
      </c>
      <c r="W799" s="14">
        <v>7.8111218052948198E-2</v>
      </c>
      <c r="X799" s="14">
        <v>0.109372116669017</v>
      </c>
      <c r="Y799" s="14">
        <v>0</v>
      </c>
      <c r="Z799" s="14">
        <v>5.5900941571115803E-2</v>
      </c>
      <c r="AA799" s="14">
        <v>6.9336456568712498E-2</v>
      </c>
      <c r="AB799" s="14"/>
      <c r="AC799" s="14">
        <v>7.8030980062482699E-2</v>
      </c>
      <c r="AD799" s="14">
        <v>7.6048459999620302E-2</v>
      </c>
      <c r="AE799" s="14">
        <v>0.15580348851546999</v>
      </c>
      <c r="AF799" s="14">
        <v>0.19424868084762401</v>
      </c>
      <c r="AG799" s="14">
        <v>3.3806675766566902E-2</v>
      </c>
      <c r="AH799" s="14"/>
      <c r="AI799" s="14">
        <v>7.8875891627125896E-2</v>
      </c>
      <c r="AJ799" s="14">
        <v>0.20397873318304599</v>
      </c>
      <c r="AK799" s="14">
        <v>0.172409478792175</v>
      </c>
      <c r="AL799" s="14">
        <v>9.7698312415872998E-2</v>
      </c>
      <c r="AM799" s="14">
        <v>0.25246568985391998</v>
      </c>
      <c r="AN799" s="14">
        <v>0</v>
      </c>
      <c r="AO799" s="14"/>
      <c r="AP799" s="14">
        <v>4.5414797288420801E-2</v>
      </c>
      <c r="AQ799" s="14">
        <v>0.17221347269123299</v>
      </c>
      <c r="AR799" s="14"/>
      <c r="AS799" s="14">
        <v>0.11573534040940101</v>
      </c>
      <c r="AT799" s="14" t="s">
        <v>88</v>
      </c>
      <c r="AU799" s="14" t="s">
        <v>88</v>
      </c>
      <c r="AV799" s="14"/>
      <c r="AW799" s="14">
        <v>7.9717085601563903E-2</v>
      </c>
      <c r="AX799" s="14">
        <v>0.22982489399945799</v>
      </c>
      <c r="AY799" s="14"/>
      <c r="AZ799" s="14">
        <v>0.122972166915516</v>
      </c>
      <c r="BA799" s="14">
        <v>8.6435940111074097E-2</v>
      </c>
    </row>
    <row r="800" spans="2:53" x14ac:dyDescent="0.35">
      <c r="B800" t="s">
        <v>232</v>
      </c>
      <c r="C800" s="14">
        <v>0.72084279246079797</v>
      </c>
      <c r="D800" s="14">
        <v>0.70628613977566201</v>
      </c>
      <c r="E800" s="14">
        <v>0.73650425556034105</v>
      </c>
      <c r="F800" s="14"/>
      <c r="G800" s="14">
        <v>0.62283735011200003</v>
      </c>
      <c r="H800" s="14">
        <v>0.685246156379414</v>
      </c>
      <c r="I800" s="14">
        <v>0.73803232559990894</v>
      </c>
      <c r="J800" s="14">
        <v>0.73287655234757798</v>
      </c>
      <c r="K800" s="14">
        <v>0.67691524361666799</v>
      </c>
      <c r="L800" s="14" t="s">
        <v>88</v>
      </c>
      <c r="M800" s="14"/>
      <c r="N800" s="14">
        <v>0.70718413343800102</v>
      </c>
      <c r="O800" s="14">
        <v>0.842384662533472</v>
      </c>
      <c r="P800" s="14">
        <v>0.60358764853542002</v>
      </c>
      <c r="Q800" s="14">
        <v>0.71001240867932103</v>
      </c>
      <c r="R800" s="14"/>
      <c r="S800" s="14">
        <v>0.62917826445678904</v>
      </c>
      <c r="T800" s="14">
        <v>0.87188302687077601</v>
      </c>
      <c r="U800" s="14">
        <v>0.496813014570744</v>
      </c>
      <c r="V800" s="14">
        <v>0.79165514297455497</v>
      </c>
      <c r="W800" s="14">
        <v>0.80802591924442202</v>
      </c>
      <c r="X800" s="14">
        <v>0.76633186671710896</v>
      </c>
      <c r="Y800" s="14">
        <v>0.65343989556642801</v>
      </c>
      <c r="Z800" s="14">
        <v>0.83825352222569105</v>
      </c>
      <c r="AA800" s="14">
        <v>0.74363019150778598</v>
      </c>
      <c r="AB800" s="14"/>
      <c r="AC800" s="14">
        <v>0.72447678049092001</v>
      </c>
      <c r="AD800" s="14">
        <v>0.80974522251075598</v>
      </c>
      <c r="AE800" s="14">
        <v>0.73182885394916997</v>
      </c>
      <c r="AF800" s="14">
        <v>0.54215489579931997</v>
      </c>
      <c r="AG800" s="14">
        <v>0.86341649403982501</v>
      </c>
      <c r="AH800" s="14"/>
      <c r="AI800" s="14">
        <v>0.756545750037241</v>
      </c>
      <c r="AJ800" s="14">
        <v>0.58769998726148098</v>
      </c>
      <c r="AK800" s="14">
        <v>0.73619668762506496</v>
      </c>
      <c r="AL800" s="14">
        <v>0.74882954845320104</v>
      </c>
      <c r="AM800" s="14">
        <v>0.64879401031094097</v>
      </c>
      <c r="AN800" s="14">
        <v>0.64490758227497502</v>
      </c>
      <c r="AO800" s="14"/>
      <c r="AP800" s="14">
        <v>0.8442151893516</v>
      </c>
      <c r="AQ800" s="14">
        <v>0.62175592193509899</v>
      </c>
      <c r="AR800" s="14"/>
      <c r="AS800" s="14">
        <v>0.72084279246079797</v>
      </c>
      <c r="AT800" s="14" t="s">
        <v>88</v>
      </c>
      <c r="AU800" s="14" t="s">
        <v>88</v>
      </c>
      <c r="AV800" s="14"/>
      <c r="AW800" s="14">
        <v>0.75217947921185302</v>
      </c>
      <c r="AX800" s="14">
        <v>0.61249556291779494</v>
      </c>
      <c r="AY800" s="14"/>
      <c r="AZ800" s="14">
        <v>0.69940051090175803</v>
      </c>
      <c r="BA800" s="14">
        <v>0.80765515284788902</v>
      </c>
    </row>
    <row r="801" spans="2:53" x14ac:dyDescent="0.35">
      <c r="B801" t="s">
        <v>233</v>
      </c>
      <c r="C801" s="14">
        <v>0.12186863663144799</v>
      </c>
      <c r="D801" s="14">
        <v>0.14320477902150999</v>
      </c>
      <c r="E801" s="14">
        <v>9.8913138966125094E-2</v>
      </c>
      <c r="F801" s="14"/>
      <c r="G801" s="14">
        <v>0</v>
      </c>
      <c r="H801" s="14">
        <v>0.191558683715919</v>
      </c>
      <c r="I801" s="14">
        <v>9.67836021447918E-2</v>
      </c>
      <c r="J801" s="14">
        <v>0.12821327736921301</v>
      </c>
      <c r="K801" s="14">
        <v>0</v>
      </c>
      <c r="L801" s="14" t="s">
        <v>88</v>
      </c>
      <c r="M801" s="14"/>
      <c r="N801" s="14">
        <v>0.108577206500675</v>
      </c>
      <c r="O801" s="14">
        <v>5.5572089387557103E-2</v>
      </c>
      <c r="P801" s="14">
        <v>0.21708569539724401</v>
      </c>
      <c r="Q801" s="14">
        <v>0.122878709514711</v>
      </c>
      <c r="R801" s="14"/>
      <c r="S801" s="14">
        <v>0.203386568123883</v>
      </c>
      <c r="T801" s="14">
        <v>1.9835960421817199E-2</v>
      </c>
      <c r="U801" s="14">
        <v>0.109254040915982</v>
      </c>
      <c r="V801" s="14">
        <v>0.162410671262187</v>
      </c>
      <c r="W801" s="14">
        <v>0.11386286270262901</v>
      </c>
      <c r="X801" s="14">
        <v>0</v>
      </c>
      <c r="Y801" s="14">
        <v>0.19505697300057401</v>
      </c>
      <c r="Z801" s="14">
        <v>0</v>
      </c>
      <c r="AA801" s="14">
        <v>0.15807207467787099</v>
      </c>
      <c r="AB801" s="14"/>
      <c r="AC801" s="14">
        <v>7.5535331827203206E-2</v>
      </c>
      <c r="AD801" s="14">
        <v>0.10134855587941601</v>
      </c>
      <c r="AE801" s="14">
        <v>9.2158782605096801E-2</v>
      </c>
      <c r="AF801" s="14">
        <v>0.20323119731018299</v>
      </c>
      <c r="AG801" s="14">
        <v>0.102776830193608</v>
      </c>
      <c r="AH801" s="14"/>
      <c r="AI801" s="14">
        <v>0.16214817964304001</v>
      </c>
      <c r="AJ801" s="14">
        <v>0.155745916313726</v>
      </c>
      <c r="AK801" s="14">
        <v>9.1393833582760806E-2</v>
      </c>
      <c r="AL801" s="14">
        <v>8.3012948379774798E-2</v>
      </c>
      <c r="AM801" s="14">
        <v>0</v>
      </c>
      <c r="AN801" s="14">
        <v>0.16119008562710499</v>
      </c>
      <c r="AO801" s="14"/>
      <c r="AP801" s="14">
        <v>8.4261234069194099E-2</v>
      </c>
      <c r="AQ801" s="14">
        <v>0.15207312258135</v>
      </c>
      <c r="AR801" s="14"/>
      <c r="AS801" s="14">
        <v>0.12186863663144799</v>
      </c>
      <c r="AT801" s="14" t="s">
        <v>88</v>
      </c>
      <c r="AU801" s="14" t="s">
        <v>88</v>
      </c>
      <c r="AV801" s="14"/>
      <c r="AW801" s="14">
        <v>0.113280520921978</v>
      </c>
      <c r="AX801" s="14">
        <v>0.153871934042104</v>
      </c>
      <c r="AY801" s="14"/>
      <c r="AZ801" s="14">
        <v>0.14050256027060701</v>
      </c>
      <c r="BA801" s="14">
        <v>4.6426343331915802E-2</v>
      </c>
    </row>
    <row r="802" spans="2:53" x14ac:dyDescent="0.35">
      <c r="B802" t="s">
        <v>116</v>
      </c>
      <c r="C802" s="14">
        <v>4.1553230498352897E-2</v>
      </c>
      <c r="D802" s="14">
        <v>2.3113304354956701E-2</v>
      </c>
      <c r="E802" s="14">
        <v>6.1392696967729199E-2</v>
      </c>
      <c r="F802" s="14"/>
      <c r="G802" s="14">
        <v>0</v>
      </c>
      <c r="H802" s="14">
        <v>3.5516436017694799E-3</v>
      </c>
      <c r="I802" s="14">
        <v>4.9219966205567803E-2</v>
      </c>
      <c r="J802" s="14">
        <v>0.108605746718965</v>
      </c>
      <c r="K802" s="14">
        <v>0</v>
      </c>
      <c r="L802" s="14" t="s">
        <v>88</v>
      </c>
      <c r="M802" s="14"/>
      <c r="N802" s="14">
        <v>4.5536951192909E-2</v>
      </c>
      <c r="O802" s="14">
        <v>1.22096415967245E-2</v>
      </c>
      <c r="P802" s="14">
        <v>5.0307904217830102E-2</v>
      </c>
      <c r="Q802" s="14">
        <v>6.4855067733208094E-2</v>
      </c>
      <c r="R802" s="14"/>
      <c r="S802" s="14">
        <v>1.8346524632793501E-2</v>
      </c>
      <c r="T802" s="14">
        <v>0</v>
      </c>
      <c r="U802" s="14">
        <v>0</v>
      </c>
      <c r="V802" s="14">
        <v>4.5934185763258903E-2</v>
      </c>
      <c r="W802" s="14">
        <v>0</v>
      </c>
      <c r="X802" s="14">
        <v>0.124296016613874</v>
      </c>
      <c r="Y802" s="14">
        <v>0.15150313143299701</v>
      </c>
      <c r="Z802" s="14">
        <v>0.10584553620319299</v>
      </c>
      <c r="AA802" s="14">
        <v>2.8961277245630499E-2</v>
      </c>
      <c r="AB802" s="14"/>
      <c r="AC802" s="14">
        <v>0.121956907619395</v>
      </c>
      <c r="AD802" s="14">
        <v>1.28577616102073E-2</v>
      </c>
      <c r="AE802" s="14">
        <v>2.0208874930262601E-2</v>
      </c>
      <c r="AF802" s="14">
        <v>6.0365226042873303E-2</v>
      </c>
      <c r="AG802" s="14">
        <v>0</v>
      </c>
      <c r="AH802" s="14"/>
      <c r="AI802" s="14">
        <v>2.4301786925927599E-3</v>
      </c>
      <c r="AJ802" s="14">
        <v>5.2575363241746602E-2</v>
      </c>
      <c r="AK802" s="14">
        <v>0</v>
      </c>
      <c r="AL802" s="14">
        <v>7.0459190751150994E-2</v>
      </c>
      <c r="AM802" s="14">
        <v>9.8740299835138504E-2</v>
      </c>
      <c r="AN802" s="14">
        <v>0.19390233209791999</v>
      </c>
      <c r="AO802" s="14"/>
      <c r="AP802" s="14">
        <v>2.6108779290785498E-2</v>
      </c>
      <c r="AQ802" s="14">
        <v>5.39574827923179E-2</v>
      </c>
      <c r="AR802" s="14"/>
      <c r="AS802" s="14">
        <v>4.1553230498352897E-2</v>
      </c>
      <c r="AT802" s="14" t="s">
        <v>88</v>
      </c>
      <c r="AU802" s="14" t="s">
        <v>88</v>
      </c>
      <c r="AV802" s="14"/>
      <c r="AW802" s="14">
        <v>5.4822914264604901E-2</v>
      </c>
      <c r="AX802" s="14">
        <v>3.8076090406431598E-3</v>
      </c>
      <c r="AY802" s="14"/>
      <c r="AZ802" s="14">
        <v>3.7124761912118102E-2</v>
      </c>
      <c r="BA802" s="14">
        <v>5.9482563709120903E-2</v>
      </c>
    </row>
    <row r="803" spans="2:53" x14ac:dyDescent="0.35"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</row>
    <row r="804" spans="2:53" x14ac:dyDescent="0.35">
      <c r="B804" s="6" t="s">
        <v>274</v>
      </c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</row>
    <row r="805" spans="2:53" x14ac:dyDescent="0.35">
      <c r="B805" s="24" t="s">
        <v>219</v>
      </c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</row>
    <row r="806" spans="2:53" x14ac:dyDescent="0.35">
      <c r="B806" t="s">
        <v>235</v>
      </c>
      <c r="C806" s="14">
        <v>0.30814181846600203</v>
      </c>
      <c r="D806" s="14">
        <v>0.34259710407108201</v>
      </c>
      <c r="E806" s="14">
        <v>0.27107147023689199</v>
      </c>
      <c r="F806" s="14"/>
      <c r="G806" s="14">
        <v>0.18623021052268701</v>
      </c>
      <c r="H806" s="14">
        <v>0.32618948290357802</v>
      </c>
      <c r="I806" s="14">
        <v>0.30571103863500099</v>
      </c>
      <c r="J806" s="14">
        <v>0.288630963946651</v>
      </c>
      <c r="K806" s="14">
        <v>0.32308475638333201</v>
      </c>
      <c r="L806" s="14" t="s">
        <v>88</v>
      </c>
      <c r="M806" s="14"/>
      <c r="N806" s="14">
        <v>0.40047765144717801</v>
      </c>
      <c r="O806" s="14">
        <v>0.227699264363799</v>
      </c>
      <c r="P806" s="14">
        <v>0.31412707436826198</v>
      </c>
      <c r="Q806" s="14">
        <v>0.27523002447619299</v>
      </c>
      <c r="R806" s="14"/>
      <c r="S806" s="14">
        <v>0.34058752903899597</v>
      </c>
      <c r="T806" s="14">
        <v>0.38101732949794498</v>
      </c>
      <c r="U806" s="14">
        <v>0.296959056715213</v>
      </c>
      <c r="V806" s="14">
        <v>0.253758345769794</v>
      </c>
      <c r="W806" s="14">
        <v>0.392353625706717</v>
      </c>
      <c r="X806" s="14">
        <v>0.40506755105373499</v>
      </c>
      <c r="Y806" s="14">
        <v>0.104837398343441</v>
      </c>
      <c r="Z806" s="14">
        <v>0.35902664278108998</v>
      </c>
      <c r="AA806" s="14">
        <v>0.236760956520465</v>
      </c>
      <c r="AB806" s="14"/>
      <c r="AC806" s="14">
        <v>0.25078958804382401</v>
      </c>
      <c r="AD806" s="14">
        <v>0.24782022164251599</v>
      </c>
      <c r="AE806" s="14">
        <v>0.366977576598783</v>
      </c>
      <c r="AF806" s="14">
        <v>0.28593042751138298</v>
      </c>
      <c r="AG806" s="14">
        <v>0.29814674064149399</v>
      </c>
      <c r="AH806" s="14"/>
      <c r="AI806" s="14">
        <v>0.34531577356764698</v>
      </c>
      <c r="AJ806" s="14">
        <v>0.30722954041759598</v>
      </c>
      <c r="AK806" s="14">
        <v>0.42642768898093902</v>
      </c>
      <c r="AL806" s="14">
        <v>0.15583492601517601</v>
      </c>
      <c r="AM806" s="14">
        <v>0.17467051830619601</v>
      </c>
      <c r="AN806" s="14">
        <v>0.37851371243166299</v>
      </c>
      <c r="AO806" s="14"/>
      <c r="AP806" s="14">
        <v>0.301417678183452</v>
      </c>
      <c r="AQ806" s="14">
        <v>0.31354232971782903</v>
      </c>
      <c r="AR806" s="14"/>
      <c r="AS806" s="14">
        <v>0.30814181846600203</v>
      </c>
      <c r="AT806" s="14" t="s">
        <v>88</v>
      </c>
      <c r="AU806" s="14" t="s">
        <v>88</v>
      </c>
      <c r="AV806" s="14"/>
      <c r="AW806" s="14">
        <v>0.26924286777302098</v>
      </c>
      <c r="AX806" s="14">
        <v>0.44068143721694097</v>
      </c>
      <c r="AY806" s="14"/>
      <c r="AZ806" s="14">
        <v>0.32165785765425098</v>
      </c>
      <c r="BA806" s="14">
        <v>0.25342006407687401</v>
      </c>
    </row>
    <row r="807" spans="2:53" x14ac:dyDescent="0.35">
      <c r="B807" t="s">
        <v>236</v>
      </c>
      <c r="C807" s="14">
        <v>0.56978658316277997</v>
      </c>
      <c r="D807" s="14">
        <v>0.60159358047894396</v>
      </c>
      <c r="E807" s="14">
        <v>0.535565521113051</v>
      </c>
      <c r="F807" s="14"/>
      <c r="G807" s="14">
        <v>0.37716264988800002</v>
      </c>
      <c r="H807" s="14">
        <v>0.60143016332633004</v>
      </c>
      <c r="I807" s="14">
        <v>0.55802469620580397</v>
      </c>
      <c r="J807" s="14">
        <v>0.56196537429423399</v>
      </c>
      <c r="K807" s="14">
        <v>0.67691524361666799</v>
      </c>
      <c r="L807" s="14" t="s">
        <v>88</v>
      </c>
      <c r="M807" s="14"/>
      <c r="N807" s="14">
        <v>0.53403520053803499</v>
      </c>
      <c r="O807" s="14">
        <v>0.59352669615083598</v>
      </c>
      <c r="P807" s="14">
        <v>0.53626697765543996</v>
      </c>
      <c r="Q807" s="14">
        <v>0.62688235289961203</v>
      </c>
      <c r="R807" s="14"/>
      <c r="S807" s="14">
        <v>0.46014731262527903</v>
      </c>
      <c r="T807" s="14">
        <v>0.59914671008023701</v>
      </c>
      <c r="U807" s="14">
        <v>0.57305335525966705</v>
      </c>
      <c r="V807" s="14">
        <v>0.71379707414709503</v>
      </c>
      <c r="W807" s="14">
        <v>0.60764637429328305</v>
      </c>
      <c r="X807" s="14">
        <v>0.41017591111129698</v>
      </c>
      <c r="Y807" s="14">
        <v>0.71614096972408803</v>
      </c>
      <c r="Z807" s="14">
        <v>0.47922687944460102</v>
      </c>
      <c r="AA807" s="14">
        <v>0.57796513637172697</v>
      </c>
      <c r="AB807" s="14"/>
      <c r="AC807" s="14">
        <v>0.65576806320634695</v>
      </c>
      <c r="AD807" s="14">
        <v>0.62329626836797702</v>
      </c>
      <c r="AE807" s="14">
        <v>0.48240400986679299</v>
      </c>
      <c r="AF807" s="14">
        <v>0.63180014179979804</v>
      </c>
      <c r="AG807" s="14">
        <v>0.70185325935850595</v>
      </c>
      <c r="AH807" s="14"/>
      <c r="AI807" s="14">
        <v>0.57234814479194496</v>
      </c>
      <c r="AJ807" s="14">
        <v>0.591253411964902</v>
      </c>
      <c r="AK807" s="14">
        <v>0.49461197109684202</v>
      </c>
      <c r="AL807" s="14">
        <v>0.45722817969872598</v>
      </c>
      <c r="AM807" s="14">
        <v>0.75927123151342701</v>
      </c>
      <c r="AN807" s="14">
        <v>0.46460245481213402</v>
      </c>
      <c r="AO807" s="14"/>
      <c r="AP807" s="14">
        <v>0.59872971708874301</v>
      </c>
      <c r="AQ807" s="14">
        <v>0.54654082774093804</v>
      </c>
      <c r="AR807" s="14"/>
      <c r="AS807" s="14">
        <v>0.56978658316277997</v>
      </c>
      <c r="AT807" s="14" t="s">
        <v>88</v>
      </c>
      <c r="AU807" s="14" t="s">
        <v>88</v>
      </c>
      <c r="AV807" s="14"/>
      <c r="AW807" s="14">
        <v>0.59215046194031995</v>
      </c>
      <c r="AX807" s="14">
        <v>0.49640185073736498</v>
      </c>
      <c r="AY807" s="14"/>
      <c r="AZ807" s="14">
        <v>0.57404020159593006</v>
      </c>
      <c r="BA807" s="14">
        <v>0.55256515757189495</v>
      </c>
    </row>
    <row r="808" spans="2:53" x14ac:dyDescent="0.35">
      <c r="B808" t="s">
        <v>237</v>
      </c>
      <c r="C808" s="14">
        <v>0.103335665049488</v>
      </c>
      <c r="D808" s="14">
        <v>5.58093154499745E-2</v>
      </c>
      <c r="E808" s="14">
        <v>0.154469135539504</v>
      </c>
      <c r="F808" s="14"/>
      <c r="G808" s="14">
        <v>0.43660713958931302</v>
      </c>
      <c r="H808" s="14">
        <v>4.8457707966699702E-2</v>
      </c>
      <c r="I808" s="14">
        <v>0.115640609557449</v>
      </c>
      <c r="J808" s="14">
        <v>0.14940366175911499</v>
      </c>
      <c r="K808" s="14">
        <v>0</v>
      </c>
      <c r="L808" s="14" t="s">
        <v>88</v>
      </c>
      <c r="M808" s="14"/>
      <c r="N808" s="14">
        <v>5.2488884616851299E-2</v>
      </c>
      <c r="O808" s="14">
        <v>0.16365618902654899</v>
      </c>
      <c r="P808" s="14">
        <v>0.149605947976298</v>
      </c>
      <c r="Q808" s="14">
        <v>4.5384980058554097E-2</v>
      </c>
      <c r="R808" s="14"/>
      <c r="S808" s="14">
        <v>0.17617928527902599</v>
      </c>
      <c r="T808" s="14">
        <v>1.9835960421817199E-2</v>
      </c>
      <c r="U808" s="14">
        <v>0.129987588025121</v>
      </c>
      <c r="V808" s="14">
        <v>3.2444580083110797E-2</v>
      </c>
      <c r="W808" s="14">
        <v>0</v>
      </c>
      <c r="X808" s="14">
        <v>0.18475653783496801</v>
      </c>
      <c r="Y808" s="14">
        <v>0.117543726914973</v>
      </c>
      <c r="Z808" s="14">
        <v>0.16174647777430901</v>
      </c>
      <c r="AA808" s="14">
        <v>0.10243416994823</v>
      </c>
      <c r="AB808" s="14"/>
      <c r="AC808" s="14">
        <v>9.3442348749828805E-2</v>
      </c>
      <c r="AD808" s="14">
        <v>0.12888350998950701</v>
      </c>
      <c r="AE808" s="14">
        <v>0.12567250082662601</v>
      </c>
      <c r="AF808" s="14">
        <v>5.6690112084753302E-2</v>
      </c>
      <c r="AG808" s="14">
        <v>0</v>
      </c>
      <c r="AH808" s="14"/>
      <c r="AI808" s="14">
        <v>5.8474788054848001E-2</v>
      </c>
      <c r="AJ808" s="14">
        <v>8.1897220591507294E-2</v>
      </c>
      <c r="AK808" s="14">
        <v>7.8960339922218806E-2</v>
      </c>
      <c r="AL808" s="14">
        <v>0.38693689428609901</v>
      </c>
      <c r="AM808" s="14">
        <v>6.6058250180376699E-2</v>
      </c>
      <c r="AN808" s="14">
        <v>5.9570136844295102E-2</v>
      </c>
      <c r="AO808" s="14"/>
      <c r="AP808" s="14">
        <v>9.77444082499178E-2</v>
      </c>
      <c r="AQ808" s="14">
        <v>0.10782629790203301</v>
      </c>
      <c r="AR808" s="14"/>
      <c r="AS808" s="14">
        <v>0.103335665049488</v>
      </c>
      <c r="AT808" s="14" t="s">
        <v>88</v>
      </c>
      <c r="AU808" s="14" t="s">
        <v>88</v>
      </c>
      <c r="AV808" s="14"/>
      <c r="AW808" s="14">
        <v>0.113316050211572</v>
      </c>
      <c r="AX808" s="14">
        <v>6.2916712045694295E-2</v>
      </c>
      <c r="AY808" s="14"/>
      <c r="AZ808" s="14">
        <v>9.8014757526879104E-2</v>
      </c>
      <c r="BA808" s="14">
        <v>0.124878173954956</v>
      </c>
    </row>
    <row r="809" spans="2:53" x14ac:dyDescent="0.35">
      <c r="B809" t="s">
        <v>238</v>
      </c>
      <c r="C809" s="14">
        <v>9.2200328521398409E-3</v>
      </c>
      <c r="D809" s="14">
        <v>0</v>
      </c>
      <c r="E809" s="14">
        <v>1.9139841163415799E-2</v>
      </c>
      <c r="F809" s="14"/>
      <c r="G809" s="14">
        <v>0</v>
      </c>
      <c r="H809" s="14">
        <v>2.3922645803392598E-2</v>
      </c>
      <c r="I809" s="14">
        <v>4.8108455205977899E-3</v>
      </c>
      <c r="J809" s="14">
        <v>0</v>
      </c>
      <c r="K809" s="14">
        <v>0</v>
      </c>
      <c r="L809" s="14" t="s">
        <v>88</v>
      </c>
      <c r="M809" s="14"/>
      <c r="N809" s="14">
        <v>1.2998263397935399E-2</v>
      </c>
      <c r="O809" s="14">
        <v>0</v>
      </c>
      <c r="P809" s="14">
        <v>0</v>
      </c>
      <c r="Q809" s="14">
        <v>2.6185340366715899E-2</v>
      </c>
      <c r="R809" s="14"/>
      <c r="S809" s="14">
        <v>4.2996375062153303E-3</v>
      </c>
      <c r="T809" s="14">
        <v>0</v>
      </c>
      <c r="U809" s="14">
        <v>0</v>
      </c>
      <c r="V809" s="14">
        <v>0</v>
      </c>
      <c r="W809" s="14">
        <v>0</v>
      </c>
      <c r="X809" s="14">
        <v>0</v>
      </c>
      <c r="Y809" s="14">
        <v>0</v>
      </c>
      <c r="Z809" s="14">
        <v>0</v>
      </c>
      <c r="AA809" s="14">
        <v>8.2839737159578597E-2</v>
      </c>
      <c r="AB809" s="14"/>
      <c r="AC809" s="14">
        <v>0</v>
      </c>
      <c r="AD809" s="14">
        <v>0</v>
      </c>
      <c r="AE809" s="14">
        <v>2.49459127077983E-2</v>
      </c>
      <c r="AF809" s="14">
        <v>0</v>
      </c>
      <c r="AG809" s="14">
        <v>0</v>
      </c>
      <c r="AH809" s="14"/>
      <c r="AI809" s="14">
        <v>2.38612935855597E-2</v>
      </c>
      <c r="AJ809" s="14">
        <v>0</v>
      </c>
      <c r="AK809" s="14">
        <v>0</v>
      </c>
      <c r="AL809" s="14">
        <v>0</v>
      </c>
      <c r="AM809" s="14">
        <v>0</v>
      </c>
      <c r="AN809" s="14">
        <v>0</v>
      </c>
      <c r="AO809" s="14"/>
      <c r="AP809" s="14">
        <v>2.1081964778869701E-3</v>
      </c>
      <c r="AQ809" s="14">
        <v>1.4931923256922001E-2</v>
      </c>
      <c r="AR809" s="14"/>
      <c r="AS809" s="14">
        <v>9.2200328521398409E-3</v>
      </c>
      <c r="AT809" s="14" t="s">
        <v>88</v>
      </c>
      <c r="AU809" s="14" t="s">
        <v>88</v>
      </c>
      <c r="AV809" s="14"/>
      <c r="AW809" s="14">
        <v>1.24456222136985E-2</v>
      </c>
      <c r="AX809" s="14">
        <v>0</v>
      </c>
      <c r="AY809" s="14"/>
      <c r="AZ809" s="14">
        <v>1.1709589118596899E-3</v>
      </c>
      <c r="BA809" s="14">
        <v>4.1807941268600601E-2</v>
      </c>
    </row>
    <row r="810" spans="2:53" x14ac:dyDescent="0.35">
      <c r="B810" t="s">
        <v>116</v>
      </c>
      <c r="C810" s="14">
        <v>9.5159004695900707E-3</v>
      </c>
      <c r="D810" s="14">
        <v>0</v>
      </c>
      <c r="E810" s="14">
        <v>1.9754031947137499E-2</v>
      </c>
      <c r="F810" s="14"/>
      <c r="G810" s="14">
        <v>0</v>
      </c>
      <c r="H810" s="14">
        <v>0</v>
      </c>
      <c r="I810" s="14">
        <v>1.5812810081147499E-2</v>
      </c>
      <c r="J810" s="14">
        <v>0</v>
      </c>
      <c r="K810" s="14">
        <v>0</v>
      </c>
      <c r="L810" s="14" t="s">
        <v>88</v>
      </c>
      <c r="M810" s="14"/>
      <c r="N810" s="14">
        <v>0</v>
      </c>
      <c r="O810" s="14">
        <v>1.5117850458816201E-2</v>
      </c>
      <c r="P810" s="14">
        <v>0</v>
      </c>
      <c r="Q810" s="14">
        <v>2.6317302198924399E-2</v>
      </c>
      <c r="R810" s="14"/>
      <c r="S810" s="14">
        <v>1.8786235550483799E-2</v>
      </c>
      <c r="T810" s="14">
        <v>0</v>
      </c>
      <c r="U810" s="14">
        <v>0</v>
      </c>
      <c r="V810" s="14">
        <v>0</v>
      </c>
      <c r="W810" s="14">
        <v>0</v>
      </c>
      <c r="X810" s="14">
        <v>0</v>
      </c>
      <c r="Y810" s="14">
        <v>6.1477905017497801E-2</v>
      </c>
      <c r="Z810" s="14">
        <v>0</v>
      </c>
      <c r="AA810" s="14">
        <v>0</v>
      </c>
      <c r="AB810" s="14"/>
      <c r="AC810" s="14">
        <v>0</v>
      </c>
      <c r="AD810" s="14">
        <v>0</v>
      </c>
      <c r="AE810" s="14">
        <v>0</v>
      </c>
      <c r="AF810" s="14">
        <v>2.5579318604064899E-2</v>
      </c>
      <c r="AG810" s="14">
        <v>0</v>
      </c>
      <c r="AH810" s="14"/>
      <c r="AI810" s="14">
        <v>0</v>
      </c>
      <c r="AJ810" s="14">
        <v>1.9619827025995101E-2</v>
      </c>
      <c r="AK810" s="14">
        <v>0</v>
      </c>
      <c r="AL810" s="14">
        <v>0</v>
      </c>
      <c r="AM810" s="14">
        <v>0</v>
      </c>
      <c r="AN810" s="14">
        <v>9.73136959119075E-2</v>
      </c>
      <c r="AO810" s="14"/>
      <c r="AP810" s="14">
        <v>0</v>
      </c>
      <c r="AQ810" s="14">
        <v>1.71586213822775E-2</v>
      </c>
      <c r="AR810" s="14"/>
      <c r="AS810" s="14">
        <v>9.5159004695900707E-3</v>
      </c>
      <c r="AT810" s="14" t="s">
        <v>88</v>
      </c>
      <c r="AU810" s="14" t="s">
        <v>88</v>
      </c>
      <c r="AV810" s="14"/>
      <c r="AW810" s="14">
        <v>1.28449978613892E-2</v>
      </c>
      <c r="AX810" s="14">
        <v>0</v>
      </c>
      <c r="AY810" s="14"/>
      <c r="AZ810" s="14">
        <v>5.1162243110809604E-3</v>
      </c>
      <c r="BA810" s="14">
        <v>2.7328663127674301E-2</v>
      </c>
    </row>
    <row r="811" spans="2:53" x14ac:dyDescent="0.35"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</row>
    <row r="812" spans="2:53" x14ac:dyDescent="0.35">
      <c r="B812" s="6" t="s">
        <v>275</v>
      </c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</row>
    <row r="813" spans="2:53" x14ac:dyDescent="0.35">
      <c r="B813" s="24" t="s">
        <v>219</v>
      </c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</row>
    <row r="814" spans="2:53" x14ac:dyDescent="0.35">
      <c r="B814" t="s">
        <v>220</v>
      </c>
      <c r="C814" s="14">
        <v>0.43434515248477501</v>
      </c>
      <c r="D814" s="14">
        <v>0.50486649404167105</v>
      </c>
      <c r="E814" s="14">
        <v>0.35847143258408298</v>
      </c>
      <c r="F814" s="14"/>
      <c r="G814" s="14">
        <v>0.18623021052268701</v>
      </c>
      <c r="H814" s="14">
        <v>0.45924777501305097</v>
      </c>
      <c r="I814" s="14">
        <v>0.448087257384222</v>
      </c>
      <c r="J814" s="14">
        <v>0.36162362212572202</v>
      </c>
      <c r="K814" s="14">
        <v>0.21705384553578599</v>
      </c>
      <c r="L814" s="14" t="s">
        <v>88</v>
      </c>
      <c r="M814" s="14"/>
      <c r="N814" s="14">
        <v>0.53383050890211803</v>
      </c>
      <c r="O814" s="14">
        <v>0.369823144374477</v>
      </c>
      <c r="P814" s="14">
        <v>0.35608315603727297</v>
      </c>
      <c r="Q814" s="14">
        <v>0.46354251087973403</v>
      </c>
      <c r="R814" s="14"/>
      <c r="S814" s="14">
        <v>0.49749355850468802</v>
      </c>
      <c r="T814" s="14">
        <v>0.40294600741615</v>
      </c>
      <c r="U814" s="14">
        <v>0.50222752182901897</v>
      </c>
      <c r="V814" s="14">
        <v>0.42809274513482898</v>
      </c>
      <c r="W814" s="14">
        <v>0.53762521950952102</v>
      </c>
      <c r="X814" s="14">
        <v>0.51556430439090895</v>
      </c>
      <c r="Y814" s="14">
        <v>0.30470821719902202</v>
      </c>
      <c r="Z814" s="14">
        <v>0.265742401397218</v>
      </c>
      <c r="AA814" s="14">
        <v>0.349055007773383</v>
      </c>
      <c r="AB814" s="14"/>
      <c r="AC814" s="14">
        <v>0.462388778154667</v>
      </c>
      <c r="AD814" s="14">
        <v>0.401193384429266</v>
      </c>
      <c r="AE814" s="14">
        <v>0.395519871733858</v>
      </c>
      <c r="AF814" s="14">
        <v>0.64651429377257796</v>
      </c>
      <c r="AG814" s="14">
        <v>0.31144570341279099</v>
      </c>
      <c r="AH814" s="14"/>
      <c r="AI814" s="14">
        <v>0.45354614785510999</v>
      </c>
      <c r="AJ814" s="14">
        <v>0.35824769665913597</v>
      </c>
      <c r="AK814" s="14">
        <v>0.63111054539301803</v>
      </c>
      <c r="AL814" s="14">
        <v>0.51541036324118905</v>
      </c>
      <c r="AM814" s="14">
        <v>0.373062221822273</v>
      </c>
      <c r="AN814" s="14">
        <v>0.22517634302848399</v>
      </c>
      <c r="AO814" s="14"/>
      <c r="AP814" s="14">
        <v>0.50556224727132104</v>
      </c>
      <c r="AQ814" s="14">
        <v>0.37714695233489198</v>
      </c>
      <c r="AR814" s="14"/>
      <c r="AS814" s="14">
        <v>0.43434515248477501</v>
      </c>
      <c r="AT814" s="14" t="s">
        <v>88</v>
      </c>
      <c r="AU814" s="14" t="s">
        <v>88</v>
      </c>
      <c r="AV814" s="14"/>
      <c r="AW814" s="14">
        <v>0.43167610434019499</v>
      </c>
      <c r="AX814" s="14">
        <v>0.46447805786155499</v>
      </c>
      <c r="AY814" s="14"/>
      <c r="AZ814" s="14">
        <v>0.48599117472076397</v>
      </c>
      <c r="BA814" s="14">
        <v>0.22524832281366799</v>
      </c>
    </row>
    <row r="815" spans="2:53" x14ac:dyDescent="0.35">
      <c r="B815" t="s">
        <v>221</v>
      </c>
      <c r="C815" s="14">
        <v>0.425401063512652</v>
      </c>
      <c r="D815" s="14">
        <v>0.35712147721427101</v>
      </c>
      <c r="E815" s="14">
        <v>0.498862885017548</v>
      </c>
      <c r="F815" s="14"/>
      <c r="G815" s="14">
        <v>0.81376978947731304</v>
      </c>
      <c r="H815" s="14">
        <v>0.42560860074372903</v>
      </c>
      <c r="I815" s="14">
        <v>0.41325834344008699</v>
      </c>
      <c r="J815" s="14">
        <v>0.439436483180913</v>
      </c>
      <c r="K815" s="14">
        <v>0.459861398080882</v>
      </c>
      <c r="L815" s="14" t="s">
        <v>88</v>
      </c>
      <c r="M815" s="14"/>
      <c r="N815" s="14">
        <v>0.36958321644690501</v>
      </c>
      <c r="O815" s="14">
        <v>0.445950703532356</v>
      </c>
      <c r="P815" s="14">
        <v>0.45892673554611402</v>
      </c>
      <c r="Q815" s="14">
        <v>0.44117953636301499</v>
      </c>
      <c r="R815" s="14"/>
      <c r="S815" s="14">
        <v>0.35639440776892001</v>
      </c>
      <c r="T815" s="14">
        <v>0.51027105638265702</v>
      </c>
      <c r="U815" s="14">
        <v>0.26228858710530301</v>
      </c>
      <c r="V815" s="14">
        <v>0.48709555111358499</v>
      </c>
      <c r="W815" s="14">
        <v>0.46237478049047898</v>
      </c>
      <c r="X815" s="14">
        <v>0.34249859932675297</v>
      </c>
      <c r="Y815" s="14">
        <v>0.40353925618202202</v>
      </c>
      <c r="Z815" s="14">
        <v>0.53721179034113598</v>
      </c>
      <c r="AA815" s="14">
        <v>0.54378244729198999</v>
      </c>
      <c r="AB815" s="14"/>
      <c r="AC815" s="14">
        <v>0.32374698591308299</v>
      </c>
      <c r="AD815" s="14">
        <v>0.49376297803501901</v>
      </c>
      <c r="AE815" s="14">
        <v>0.45108245728212198</v>
      </c>
      <c r="AF815" s="14">
        <v>0.280748429501957</v>
      </c>
      <c r="AG815" s="14">
        <v>0.65119309931201197</v>
      </c>
      <c r="AH815" s="14"/>
      <c r="AI815" s="14">
        <v>0.40132614137129702</v>
      </c>
      <c r="AJ815" s="14">
        <v>0.49092477502723603</v>
      </c>
      <c r="AK815" s="14">
        <v>0.285140704995408</v>
      </c>
      <c r="AL815" s="14">
        <v>0.31002750486361702</v>
      </c>
      <c r="AM815" s="14">
        <v>0.51509703512599003</v>
      </c>
      <c r="AN815" s="14">
        <v>0.57339790750991104</v>
      </c>
      <c r="AO815" s="14"/>
      <c r="AP815" s="14">
        <v>0.39149604873270299</v>
      </c>
      <c r="AQ815" s="14">
        <v>0.45263196681305801</v>
      </c>
      <c r="AR815" s="14"/>
      <c r="AS815" s="14">
        <v>0.425401063512652</v>
      </c>
      <c r="AT815" s="14" t="s">
        <v>88</v>
      </c>
      <c r="AU815" s="14" t="s">
        <v>88</v>
      </c>
      <c r="AV815" s="14"/>
      <c r="AW815" s="14">
        <v>0.42687734542751299</v>
      </c>
      <c r="AX815" s="14">
        <v>0.39170995726637498</v>
      </c>
      <c r="AY815" s="14"/>
      <c r="AZ815" s="14">
        <v>0.38199845572451702</v>
      </c>
      <c r="BA815" s="14">
        <v>0.60112316746267203</v>
      </c>
    </row>
    <row r="816" spans="2:53" x14ac:dyDescent="0.35">
      <c r="B816" t="s">
        <v>222</v>
      </c>
      <c r="C816" s="14">
        <v>4.7245128497066101E-2</v>
      </c>
      <c r="D816" s="14">
        <v>5.9491310482711598E-2</v>
      </c>
      <c r="E816" s="14">
        <v>3.4069494549687003E-2</v>
      </c>
      <c r="F816" s="14"/>
      <c r="G816" s="14">
        <v>0</v>
      </c>
      <c r="H816" s="14">
        <v>3.6323113591989101E-2</v>
      </c>
      <c r="I816" s="14">
        <v>5.13984575785085E-2</v>
      </c>
      <c r="J816" s="14">
        <v>6.62913832519232E-2</v>
      </c>
      <c r="K816" s="14">
        <v>0</v>
      </c>
      <c r="L816" s="14" t="s">
        <v>88</v>
      </c>
      <c r="M816" s="14"/>
      <c r="N816" s="14">
        <v>2.2218269644718999E-2</v>
      </c>
      <c r="O816" s="14">
        <v>5.8620222710793701E-2</v>
      </c>
      <c r="P816" s="14">
        <v>0.108716824132688</v>
      </c>
      <c r="Q816" s="14">
        <v>0</v>
      </c>
      <c r="R816" s="14"/>
      <c r="S816" s="14">
        <v>0.123026160669693</v>
      </c>
      <c r="T816" s="14">
        <v>0</v>
      </c>
      <c r="U816" s="14">
        <v>0.11254699981268999</v>
      </c>
      <c r="V816" s="14">
        <v>0</v>
      </c>
      <c r="W816" s="14">
        <v>0</v>
      </c>
      <c r="X816" s="14">
        <v>0</v>
      </c>
      <c r="Y816" s="14">
        <v>9.1626390798190793E-2</v>
      </c>
      <c r="Z816" s="14">
        <v>0</v>
      </c>
      <c r="AA816" s="14">
        <v>0</v>
      </c>
      <c r="AB816" s="14"/>
      <c r="AC816" s="14">
        <v>7.5535331827203206E-2</v>
      </c>
      <c r="AD816" s="14">
        <v>2.26294019972406E-2</v>
      </c>
      <c r="AE816" s="14">
        <v>7.6957236789466393E-2</v>
      </c>
      <c r="AF816" s="14">
        <v>9.5757428722823695E-3</v>
      </c>
      <c r="AG816" s="14">
        <v>0</v>
      </c>
      <c r="AH816" s="14"/>
      <c r="AI816" s="14">
        <v>6.2428286105132201E-2</v>
      </c>
      <c r="AJ816" s="14">
        <v>3.4496441198673601E-2</v>
      </c>
      <c r="AK816" s="14">
        <v>0</v>
      </c>
      <c r="AL816" s="14">
        <v>0.13324379383219601</v>
      </c>
      <c r="AM816" s="14">
        <v>0</v>
      </c>
      <c r="AN816" s="14">
        <v>0</v>
      </c>
      <c r="AO816" s="14"/>
      <c r="AP816" s="14">
        <v>4.1219646373088302E-2</v>
      </c>
      <c r="AQ816" s="14">
        <v>5.2084510580255698E-2</v>
      </c>
      <c r="AR816" s="14"/>
      <c r="AS816" s="14">
        <v>4.7245128497066101E-2</v>
      </c>
      <c r="AT816" s="14" t="s">
        <v>88</v>
      </c>
      <c r="AU816" s="14" t="s">
        <v>88</v>
      </c>
      <c r="AV816" s="14"/>
      <c r="AW816" s="14">
        <v>4.6424672643160803E-2</v>
      </c>
      <c r="AX816" s="14">
        <v>5.2115276386160703E-2</v>
      </c>
      <c r="AY816" s="14"/>
      <c r="AZ816" s="14">
        <v>4.9918902892392703E-2</v>
      </c>
      <c r="BA816" s="14">
        <v>3.6419943417681802E-2</v>
      </c>
    </row>
    <row r="817" spans="2:53" x14ac:dyDescent="0.35">
      <c r="B817" t="s">
        <v>223</v>
      </c>
      <c r="C817" s="14">
        <v>4.6912798228857903E-3</v>
      </c>
      <c r="D817" s="14">
        <v>0</v>
      </c>
      <c r="E817" s="14">
        <v>9.7386150465106399E-3</v>
      </c>
      <c r="F817" s="14"/>
      <c r="G817" s="14">
        <v>0</v>
      </c>
      <c r="H817" s="14">
        <v>0</v>
      </c>
      <c r="I817" s="14">
        <v>7.7956171477283204E-3</v>
      </c>
      <c r="J817" s="14">
        <v>0</v>
      </c>
      <c r="K817" s="14">
        <v>0</v>
      </c>
      <c r="L817" s="14" t="s">
        <v>88</v>
      </c>
      <c r="M817" s="14"/>
      <c r="N817" s="14">
        <v>0</v>
      </c>
      <c r="O817" s="14">
        <v>0</v>
      </c>
      <c r="P817" s="14">
        <v>2.0579964148868E-2</v>
      </c>
      <c r="Q817" s="14">
        <v>0</v>
      </c>
      <c r="R817" s="14"/>
      <c r="S817" s="14">
        <v>0</v>
      </c>
      <c r="T817" s="14">
        <v>0</v>
      </c>
      <c r="U817" s="14">
        <v>0</v>
      </c>
      <c r="V817" s="14">
        <v>0</v>
      </c>
      <c r="W817" s="14">
        <v>0</v>
      </c>
      <c r="X817" s="14">
        <v>5.9236153882114E-2</v>
      </c>
      <c r="Y817" s="14">
        <v>0</v>
      </c>
      <c r="Z817" s="14">
        <v>0</v>
      </c>
      <c r="AA817" s="14">
        <v>0</v>
      </c>
      <c r="AB817" s="14"/>
      <c r="AC817" s="14">
        <v>0</v>
      </c>
      <c r="AD817" s="14">
        <v>0</v>
      </c>
      <c r="AE817" s="14">
        <v>0</v>
      </c>
      <c r="AF817" s="14">
        <v>0</v>
      </c>
      <c r="AG817" s="14">
        <v>0</v>
      </c>
      <c r="AH817" s="14"/>
      <c r="AI817" s="14">
        <v>0</v>
      </c>
      <c r="AJ817" s="14">
        <v>2.2433751182700901E-2</v>
      </c>
      <c r="AK817" s="14">
        <v>0</v>
      </c>
      <c r="AL817" s="14">
        <v>0</v>
      </c>
      <c r="AM817" s="14">
        <v>0</v>
      </c>
      <c r="AN817" s="14">
        <v>0</v>
      </c>
      <c r="AO817" s="14"/>
      <c r="AP817" s="14">
        <v>1.05323608174134E-2</v>
      </c>
      <c r="AQ817" s="14">
        <v>0</v>
      </c>
      <c r="AR817" s="14"/>
      <c r="AS817" s="14">
        <v>4.6912798228857903E-3</v>
      </c>
      <c r="AT817" s="14" t="s">
        <v>88</v>
      </c>
      <c r="AU817" s="14" t="s">
        <v>88</v>
      </c>
      <c r="AV817" s="14"/>
      <c r="AW817" s="14">
        <v>6.33250415814218E-3</v>
      </c>
      <c r="AX817" s="14">
        <v>0</v>
      </c>
      <c r="AY817" s="14"/>
      <c r="AZ817" s="14">
        <v>0</v>
      </c>
      <c r="BA817" s="14">
        <v>2.3684644569995E-2</v>
      </c>
    </row>
    <row r="818" spans="2:53" x14ac:dyDescent="0.35">
      <c r="B818" t="s">
        <v>116</v>
      </c>
      <c r="C818" s="14">
        <v>2.1044132858005798E-2</v>
      </c>
      <c r="D818" s="14">
        <v>1.52940697259372E-2</v>
      </c>
      <c r="E818" s="14">
        <v>2.7230610169159598E-2</v>
      </c>
      <c r="F818" s="14"/>
      <c r="G818" s="14">
        <v>0</v>
      </c>
      <c r="H818" s="14">
        <v>0</v>
      </c>
      <c r="I818" s="14">
        <v>2.1797700244231898E-2</v>
      </c>
      <c r="J818" s="14">
        <v>7.8301323154721006E-2</v>
      </c>
      <c r="K818" s="14">
        <v>0</v>
      </c>
      <c r="L818" s="14" t="s">
        <v>88</v>
      </c>
      <c r="M818" s="14"/>
      <c r="N818" s="14">
        <v>0</v>
      </c>
      <c r="O818" s="14">
        <v>2.83888138725313E-2</v>
      </c>
      <c r="P818" s="14">
        <v>0</v>
      </c>
      <c r="Q818" s="14">
        <v>6.4855067733208094E-2</v>
      </c>
      <c r="R818" s="14"/>
      <c r="S818" s="14">
        <v>1.8786235550483799E-2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0.15150313143299701</v>
      </c>
      <c r="Z818" s="14">
        <v>7.4761639943358105E-2</v>
      </c>
      <c r="AA818" s="14">
        <v>0</v>
      </c>
      <c r="AB818" s="14"/>
      <c r="AC818" s="14">
        <v>7.4215357506454402E-2</v>
      </c>
      <c r="AD818" s="14">
        <v>0</v>
      </c>
      <c r="AE818" s="14">
        <v>0</v>
      </c>
      <c r="AF818" s="14">
        <v>2.5579318604064899E-2</v>
      </c>
      <c r="AG818" s="14">
        <v>0</v>
      </c>
      <c r="AH818" s="14"/>
      <c r="AI818" s="14">
        <v>9.3209147582723195E-3</v>
      </c>
      <c r="AJ818" s="14">
        <v>5.7525008211494498E-2</v>
      </c>
      <c r="AK818" s="14">
        <v>0</v>
      </c>
      <c r="AL818" s="14">
        <v>0</v>
      </c>
      <c r="AM818" s="14">
        <v>0</v>
      </c>
      <c r="AN818" s="14">
        <v>9.73136959119075E-2</v>
      </c>
      <c r="AO818" s="14"/>
      <c r="AP818" s="14">
        <v>8.0859566928016303E-3</v>
      </c>
      <c r="AQ818" s="14">
        <v>3.1451526702086299E-2</v>
      </c>
      <c r="AR818" s="14"/>
      <c r="AS818" s="14">
        <v>2.1044132858005798E-2</v>
      </c>
      <c r="AT818" s="14" t="s">
        <v>88</v>
      </c>
      <c r="AU818" s="14" t="s">
        <v>88</v>
      </c>
      <c r="AV818" s="14"/>
      <c r="AW818" s="14">
        <v>2.8406333422644502E-2</v>
      </c>
      <c r="AX818" s="14">
        <v>0</v>
      </c>
      <c r="AY818" s="14"/>
      <c r="AZ818" s="14">
        <v>1.5000685027285699E-2</v>
      </c>
      <c r="BA818" s="14">
        <v>4.5511956844762502E-2</v>
      </c>
    </row>
    <row r="819" spans="2:53" x14ac:dyDescent="0.35">
      <c r="B819" t="s">
        <v>224</v>
      </c>
      <c r="C819" s="14">
        <v>0.85974621599742695</v>
      </c>
      <c r="D819" s="14">
        <v>0.86198797125594195</v>
      </c>
      <c r="E819" s="14">
        <v>0.85733431760163104</v>
      </c>
      <c r="F819" s="14"/>
      <c r="G819" s="14">
        <v>1</v>
      </c>
      <c r="H819" s="14">
        <v>0.88485637575678</v>
      </c>
      <c r="I819" s="14">
        <v>0.861345600824309</v>
      </c>
      <c r="J819" s="14">
        <v>0.80106010530663396</v>
      </c>
      <c r="K819" s="14">
        <v>0.67691524361666799</v>
      </c>
      <c r="L819" s="14" t="s">
        <v>88</v>
      </c>
      <c r="M819" s="14"/>
      <c r="N819" s="14">
        <v>0.90341372534902298</v>
      </c>
      <c r="O819" s="14">
        <v>0.81577384790683405</v>
      </c>
      <c r="P819" s="14">
        <v>0.81500989158338699</v>
      </c>
      <c r="Q819" s="14">
        <v>0.90472204724274896</v>
      </c>
      <c r="R819" s="14"/>
      <c r="S819" s="14">
        <v>0.85388796627360797</v>
      </c>
      <c r="T819" s="14">
        <v>0.91321706379880696</v>
      </c>
      <c r="U819" s="14">
        <v>0.76451610893432198</v>
      </c>
      <c r="V819" s="14">
        <v>0.91518829624841402</v>
      </c>
      <c r="W819" s="14">
        <v>1</v>
      </c>
      <c r="X819" s="14">
        <v>0.85806290371766203</v>
      </c>
      <c r="Y819" s="14">
        <v>0.70824747338104399</v>
      </c>
      <c r="Z819" s="14">
        <v>0.80295419173835403</v>
      </c>
      <c r="AA819" s="14">
        <v>0.89283745506537304</v>
      </c>
      <c r="AB819" s="14"/>
      <c r="AC819" s="14">
        <v>0.78613576406774999</v>
      </c>
      <c r="AD819" s="14">
        <v>0.894956362464285</v>
      </c>
      <c r="AE819" s="14">
        <v>0.84660232901597998</v>
      </c>
      <c r="AF819" s="14">
        <v>0.92726272327453496</v>
      </c>
      <c r="AG819" s="14">
        <v>0.96263880272480296</v>
      </c>
      <c r="AH819" s="14"/>
      <c r="AI819" s="14">
        <v>0.85487228922640701</v>
      </c>
      <c r="AJ819" s="14">
        <v>0.849172471686372</v>
      </c>
      <c r="AK819" s="14">
        <v>0.91625125038842603</v>
      </c>
      <c r="AL819" s="14">
        <v>0.82543786810480602</v>
      </c>
      <c r="AM819" s="14">
        <v>0.88815925694826303</v>
      </c>
      <c r="AN819" s="14">
        <v>0.79857425053839504</v>
      </c>
      <c r="AO819" s="14"/>
      <c r="AP819" s="14">
        <v>0.89705829600402398</v>
      </c>
      <c r="AQ819" s="14">
        <v>0.82977891914794999</v>
      </c>
      <c r="AR819" s="14"/>
      <c r="AS819" s="14">
        <v>0.85974621599742695</v>
      </c>
      <c r="AT819" s="14" t="s">
        <v>88</v>
      </c>
      <c r="AU819" s="14" t="s">
        <v>88</v>
      </c>
      <c r="AV819" s="14"/>
      <c r="AW819" s="14">
        <v>0.85855344976770798</v>
      </c>
      <c r="AX819" s="14">
        <v>0.85618801512792997</v>
      </c>
      <c r="AY819" s="14"/>
      <c r="AZ819" s="14">
        <v>0.86798963044528099</v>
      </c>
      <c r="BA819" s="14">
        <v>0.82637149027634005</v>
      </c>
    </row>
    <row r="820" spans="2:53" x14ac:dyDescent="0.35"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</row>
    <row r="821" spans="2:53" x14ac:dyDescent="0.35">
      <c r="B821" s="6" t="s">
        <v>276</v>
      </c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</row>
    <row r="822" spans="2:53" x14ac:dyDescent="0.35">
      <c r="B822" s="24" t="s">
        <v>213</v>
      </c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</row>
    <row r="823" spans="2:53" x14ac:dyDescent="0.35">
      <c r="B823" t="s">
        <v>154</v>
      </c>
      <c r="C823" s="14">
        <v>0.51246079793817501</v>
      </c>
      <c r="D823" s="14">
        <v>0.50696691022578799</v>
      </c>
      <c r="E823" s="14">
        <v>0.51944053670402202</v>
      </c>
      <c r="F823" s="14"/>
      <c r="G823" s="14">
        <v>0.69667603271613798</v>
      </c>
      <c r="H823" s="14">
        <v>0.43407077413080603</v>
      </c>
      <c r="I823" s="14">
        <v>0.57747242392027898</v>
      </c>
      <c r="J823" s="14">
        <v>0.41792723369736201</v>
      </c>
      <c r="K823" s="14">
        <v>0.40203600326480499</v>
      </c>
      <c r="L823" s="14" t="s">
        <v>88</v>
      </c>
      <c r="M823" s="14"/>
      <c r="N823" s="14">
        <v>0.53512350969186395</v>
      </c>
      <c r="O823" s="14">
        <v>0.47533577360028401</v>
      </c>
      <c r="P823" s="14">
        <v>0.37007501055353298</v>
      </c>
      <c r="Q823" s="14">
        <v>0.64622424080058904</v>
      </c>
      <c r="R823" s="14"/>
      <c r="S823" s="14">
        <v>0.58557304755819795</v>
      </c>
      <c r="T823" s="14">
        <v>0.60426283918981505</v>
      </c>
      <c r="U823" s="14">
        <v>0.41822227343795199</v>
      </c>
      <c r="V823" s="14">
        <v>0.46726440245358702</v>
      </c>
      <c r="W823" s="14">
        <v>0.38472792593544403</v>
      </c>
      <c r="X823" s="14">
        <v>0.407328675906863</v>
      </c>
      <c r="Y823" s="14">
        <v>0.474005679403258</v>
      </c>
      <c r="Z823" s="14">
        <v>0.469594983576474</v>
      </c>
      <c r="AA823" s="14">
        <v>0.58296758030292795</v>
      </c>
      <c r="AB823" s="14"/>
      <c r="AC823" s="14">
        <v>0.38557011830627602</v>
      </c>
      <c r="AD823" s="14">
        <v>0.43311433985692899</v>
      </c>
      <c r="AE823" s="14">
        <v>0.52386712144292302</v>
      </c>
      <c r="AF823" s="14">
        <v>0.53056082244979896</v>
      </c>
      <c r="AG823" s="14">
        <v>0.73435232732192102</v>
      </c>
      <c r="AH823" s="14"/>
      <c r="AI823" s="14">
        <v>0.527544140017287</v>
      </c>
      <c r="AJ823" s="14">
        <v>0.60802765470937203</v>
      </c>
      <c r="AK823" s="14">
        <v>0.59673411935443299</v>
      </c>
      <c r="AL823" s="14">
        <v>0.38925242747949701</v>
      </c>
      <c r="AM823" s="14">
        <v>0.45778236825917801</v>
      </c>
      <c r="AN823" s="14">
        <v>0.528778728948048</v>
      </c>
      <c r="AO823" s="14"/>
      <c r="AP823" s="14">
        <v>0.51151700525219701</v>
      </c>
      <c r="AQ823" s="14">
        <v>0.51329417462214</v>
      </c>
      <c r="AR823" s="14"/>
      <c r="AS823" s="14">
        <v>0.511550832972957</v>
      </c>
      <c r="AT823" s="14" t="s">
        <v>88</v>
      </c>
      <c r="AU823" s="14">
        <v>1</v>
      </c>
      <c r="AV823" s="14"/>
      <c r="AW823" s="14">
        <v>0.47494438299945002</v>
      </c>
      <c r="AX823" s="14">
        <v>0.64639542097460601</v>
      </c>
      <c r="AY823" s="14"/>
      <c r="AZ823" s="14">
        <v>0.51136437880922203</v>
      </c>
      <c r="BA823" s="14">
        <v>0.50719168374342205</v>
      </c>
    </row>
    <row r="824" spans="2:53" x14ac:dyDescent="0.35">
      <c r="B824" t="s">
        <v>155</v>
      </c>
      <c r="C824" s="14">
        <v>0.299508651841419</v>
      </c>
      <c r="D824" s="14">
        <v>0.329982805166812</v>
      </c>
      <c r="E824" s="14">
        <v>0.26079260221374601</v>
      </c>
      <c r="F824" s="14"/>
      <c r="G824" s="14">
        <v>0.30332396728386202</v>
      </c>
      <c r="H824" s="14">
        <v>0.37820275901429201</v>
      </c>
      <c r="I824" s="14">
        <v>0.282786668164479</v>
      </c>
      <c r="J824" s="14">
        <v>0.17224053996897201</v>
      </c>
      <c r="K824" s="14">
        <v>0.42385438326603703</v>
      </c>
      <c r="L824" s="14" t="s">
        <v>88</v>
      </c>
      <c r="M824" s="14"/>
      <c r="N824" s="14">
        <v>0.27004825594989601</v>
      </c>
      <c r="O824" s="14">
        <v>0.37799760968138701</v>
      </c>
      <c r="P824" s="14">
        <v>0.37936194081668301</v>
      </c>
      <c r="Q824" s="14">
        <v>0.18071769757912601</v>
      </c>
      <c r="R824" s="14"/>
      <c r="S824" s="14">
        <v>0.23825543613124101</v>
      </c>
      <c r="T824" s="14">
        <v>0.19188931001583001</v>
      </c>
      <c r="U824" s="14">
        <v>0.35076465503682602</v>
      </c>
      <c r="V824" s="14">
        <v>0.34856148290297101</v>
      </c>
      <c r="W824" s="14">
        <v>0.53367240128902504</v>
      </c>
      <c r="X824" s="14">
        <v>0.277354715679758</v>
      </c>
      <c r="Y824" s="14">
        <v>0.36931667796190298</v>
      </c>
      <c r="Z824" s="14">
        <v>0.28611968189687598</v>
      </c>
      <c r="AA824" s="14">
        <v>0.297035130146797</v>
      </c>
      <c r="AB824" s="14"/>
      <c r="AC824" s="14">
        <v>0.39849987768004103</v>
      </c>
      <c r="AD824" s="14">
        <v>0.284555788056296</v>
      </c>
      <c r="AE824" s="14">
        <v>0.27679521061123502</v>
      </c>
      <c r="AF824" s="14">
        <v>0.29891402595282102</v>
      </c>
      <c r="AG824" s="14">
        <v>0.26564767267807898</v>
      </c>
      <c r="AH824" s="14"/>
      <c r="AI824" s="14">
        <v>0.29780331216992401</v>
      </c>
      <c r="AJ824" s="14">
        <v>0.33587290756314497</v>
      </c>
      <c r="AK824" s="14">
        <v>0.319247231414584</v>
      </c>
      <c r="AL824" s="14">
        <v>0.40989043494237298</v>
      </c>
      <c r="AM824" s="14">
        <v>0.195575744125871</v>
      </c>
      <c r="AN824" s="14">
        <v>0.31177952632205902</v>
      </c>
      <c r="AO824" s="14"/>
      <c r="AP824" s="14">
        <v>0.28371757787180102</v>
      </c>
      <c r="AQ824" s="14">
        <v>0.31345229969604299</v>
      </c>
      <c r="AR824" s="14"/>
      <c r="AS824" s="14">
        <v>0.30006766818062303</v>
      </c>
      <c r="AT824" s="14" t="s">
        <v>88</v>
      </c>
      <c r="AU824" s="14">
        <v>0</v>
      </c>
      <c r="AV824" s="14"/>
      <c r="AW824" s="14">
        <v>0.30098033193867002</v>
      </c>
      <c r="AX824" s="14">
        <v>0.283663233449852</v>
      </c>
      <c r="AY824" s="14"/>
      <c r="AZ824" s="14">
        <v>0.32356020342540898</v>
      </c>
      <c r="BA824" s="14">
        <v>0.196203094825943</v>
      </c>
    </row>
    <row r="825" spans="2:53" x14ac:dyDescent="0.35">
      <c r="B825" t="s">
        <v>116</v>
      </c>
      <c r="C825" s="14">
        <v>0.18803055022040699</v>
      </c>
      <c r="D825" s="14">
        <v>0.16305028460739901</v>
      </c>
      <c r="E825" s="14">
        <v>0.21976686108223201</v>
      </c>
      <c r="F825" s="14"/>
      <c r="G825" s="14">
        <v>0</v>
      </c>
      <c r="H825" s="14">
        <v>0.18772646685490199</v>
      </c>
      <c r="I825" s="14">
        <v>0.13974090791524199</v>
      </c>
      <c r="J825" s="14">
        <v>0.409832226333667</v>
      </c>
      <c r="K825" s="14">
        <v>0.17410961346915799</v>
      </c>
      <c r="L825" s="14" t="s">
        <v>88</v>
      </c>
      <c r="M825" s="14"/>
      <c r="N825" s="14">
        <v>0.19482823435824001</v>
      </c>
      <c r="O825" s="14">
        <v>0.14666661671833001</v>
      </c>
      <c r="P825" s="14">
        <v>0.25056304862978401</v>
      </c>
      <c r="Q825" s="14">
        <v>0.173058061620285</v>
      </c>
      <c r="R825" s="14"/>
      <c r="S825" s="14">
        <v>0.17617151631056099</v>
      </c>
      <c r="T825" s="14">
        <v>0.20384785079435599</v>
      </c>
      <c r="U825" s="14">
        <v>0.23101307152522199</v>
      </c>
      <c r="V825" s="14">
        <v>0.18417411464344199</v>
      </c>
      <c r="W825" s="14">
        <v>8.1599672775530999E-2</v>
      </c>
      <c r="X825" s="14">
        <v>0.315316608413378</v>
      </c>
      <c r="Y825" s="14">
        <v>0.15667764263483999</v>
      </c>
      <c r="Z825" s="14">
        <v>0.24428533452664999</v>
      </c>
      <c r="AA825" s="14">
        <v>0.119997289550275</v>
      </c>
      <c r="AB825" s="14"/>
      <c r="AC825" s="14">
        <v>0.21593000401368301</v>
      </c>
      <c r="AD825" s="14">
        <v>0.28232987208677601</v>
      </c>
      <c r="AE825" s="14">
        <v>0.19933766794584101</v>
      </c>
      <c r="AF825" s="14">
        <v>0.17052515159737999</v>
      </c>
      <c r="AG825" s="14">
        <v>0</v>
      </c>
      <c r="AH825" s="14"/>
      <c r="AI825" s="14">
        <v>0.17465254781278899</v>
      </c>
      <c r="AJ825" s="14">
        <v>5.6099437727483499E-2</v>
      </c>
      <c r="AK825" s="14">
        <v>8.40186492309829E-2</v>
      </c>
      <c r="AL825" s="14">
        <v>0.20085713757813001</v>
      </c>
      <c r="AM825" s="14">
        <v>0.34664188761495102</v>
      </c>
      <c r="AN825" s="14">
        <v>0.159441744729893</v>
      </c>
      <c r="AO825" s="14"/>
      <c r="AP825" s="14">
        <v>0.204765416876002</v>
      </c>
      <c r="AQ825" s="14">
        <v>0.17325352568181801</v>
      </c>
      <c r="AR825" s="14"/>
      <c r="AS825" s="14">
        <v>0.18838149884642</v>
      </c>
      <c r="AT825" s="14" t="s">
        <v>88</v>
      </c>
      <c r="AU825" s="14">
        <v>0</v>
      </c>
      <c r="AV825" s="14"/>
      <c r="AW825" s="14">
        <v>0.22407528506188101</v>
      </c>
      <c r="AX825" s="14">
        <v>6.9941345575541505E-2</v>
      </c>
      <c r="AY825" s="14"/>
      <c r="AZ825" s="14">
        <v>0.16507541776536999</v>
      </c>
      <c r="BA825" s="14">
        <v>0.296605221430635</v>
      </c>
    </row>
    <row r="826" spans="2:53" x14ac:dyDescent="0.35"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</row>
    <row r="827" spans="2:53" x14ac:dyDescent="0.35">
      <c r="B827" s="6" t="s">
        <v>277</v>
      </c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</row>
    <row r="828" spans="2:53" x14ac:dyDescent="0.35">
      <c r="B828" s="24" t="s">
        <v>219</v>
      </c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</row>
    <row r="829" spans="2:53" x14ac:dyDescent="0.35">
      <c r="B829" t="s">
        <v>214</v>
      </c>
      <c r="C829" s="14">
        <v>0.21055534119317201</v>
      </c>
      <c r="D829" s="14">
        <v>0.18467851958359699</v>
      </c>
      <c r="E829" s="14">
        <v>0.242641231667376</v>
      </c>
      <c r="F829" s="14"/>
      <c r="G829" s="14">
        <v>0.79247255257131499</v>
      </c>
      <c r="H829" s="14">
        <v>0.15676368407379801</v>
      </c>
      <c r="I829" s="14">
        <v>0.214075476473256</v>
      </c>
      <c r="J829" s="14">
        <v>0.16696222313279799</v>
      </c>
      <c r="K829" s="14">
        <v>0.25939966684022803</v>
      </c>
      <c r="L829" s="14" t="s">
        <v>88</v>
      </c>
      <c r="M829" s="14"/>
      <c r="N829" s="14">
        <v>0.234060349997749</v>
      </c>
      <c r="O829" s="14">
        <v>0.131226854734983</v>
      </c>
      <c r="P829" s="14">
        <v>0.19719852948557301</v>
      </c>
      <c r="Q829" s="14">
        <v>0.258229818758479</v>
      </c>
      <c r="R829" s="14"/>
      <c r="S829" s="14">
        <v>0.25718950642885702</v>
      </c>
      <c r="T829" s="14">
        <v>0.103320171793956</v>
      </c>
      <c r="U829" s="14">
        <v>0.21619216862615401</v>
      </c>
      <c r="V829" s="14">
        <v>0.25597425612943298</v>
      </c>
      <c r="W829" s="14">
        <v>0.18999679144825801</v>
      </c>
      <c r="X829" s="14">
        <v>0.25100037880166198</v>
      </c>
      <c r="Y829" s="14">
        <v>1.9276841286398401E-2</v>
      </c>
      <c r="Z829" s="14">
        <v>0.115726915476373</v>
      </c>
      <c r="AA829" s="14">
        <v>0.40035655630782802</v>
      </c>
      <c r="AB829" s="14"/>
      <c r="AC829" s="14">
        <v>0.24104476818078099</v>
      </c>
      <c r="AD829" s="14">
        <v>0.216047770993858</v>
      </c>
      <c r="AE829" s="14">
        <v>0.203142126449498</v>
      </c>
      <c r="AF829" s="14">
        <v>0.240260408093255</v>
      </c>
      <c r="AG829" s="14">
        <v>0.25760676541004901</v>
      </c>
      <c r="AH829" s="14"/>
      <c r="AI829" s="14">
        <v>0.16571926526592801</v>
      </c>
      <c r="AJ829" s="14">
        <v>0.22168393449511301</v>
      </c>
      <c r="AK829" s="14">
        <v>0.12629211196982501</v>
      </c>
      <c r="AL829" s="14">
        <v>0.19746971765158899</v>
      </c>
      <c r="AM829" s="14">
        <v>0.27915861956815602</v>
      </c>
      <c r="AN829" s="14">
        <v>0.336261292043461</v>
      </c>
      <c r="AO829" s="14"/>
      <c r="AP829" s="14">
        <v>0.236483805981827</v>
      </c>
      <c r="AQ829" s="14">
        <v>0.187739563202835</v>
      </c>
      <c r="AR829" s="14"/>
      <c r="AS829" s="14">
        <v>0.211323573551847</v>
      </c>
      <c r="AT829" s="14" t="s">
        <v>88</v>
      </c>
      <c r="AU829" s="14">
        <v>0</v>
      </c>
      <c r="AV829" s="14"/>
      <c r="AW829" s="14">
        <v>0.14779485979635501</v>
      </c>
      <c r="AX829" s="14">
        <v>0.39537866327668603</v>
      </c>
      <c r="AY829" s="14"/>
      <c r="AZ829" s="14">
        <v>0.23568262744212101</v>
      </c>
      <c r="BA829" s="14">
        <v>0.10383992175945</v>
      </c>
    </row>
    <row r="830" spans="2:53" x14ac:dyDescent="0.35">
      <c r="B830" t="s">
        <v>215</v>
      </c>
      <c r="C830" s="14">
        <v>0.50320002846476997</v>
      </c>
      <c r="D830" s="14">
        <v>0.50072535834249099</v>
      </c>
      <c r="E830" s="14">
        <v>0.50626848856011097</v>
      </c>
      <c r="F830" s="14"/>
      <c r="G830" s="14">
        <v>0</v>
      </c>
      <c r="H830" s="14">
        <v>0.60001909085026295</v>
      </c>
      <c r="I830" s="14">
        <v>0.49553082970638401</v>
      </c>
      <c r="J830" s="14">
        <v>0.48232604936488899</v>
      </c>
      <c r="K830" s="14">
        <v>0.37138493590083099</v>
      </c>
      <c r="L830" s="14" t="s">
        <v>88</v>
      </c>
      <c r="M830" s="14"/>
      <c r="N830" s="14">
        <v>0.59218729124665803</v>
      </c>
      <c r="O830" s="14">
        <v>0.45133869744039301</v>
      </c>
      <c r="P830" s="14">
        <v>0.50452097687780695</v>
      </c>
      <c r="Q830" s="14">
        <v>0.45517321094186802</v>
      </c>
      <c r="R830" s="14"/>
      <c r="S830" s="14">
        <v>0.45388294813389002</v>
      </c>
      <c r="T830" s="14">
        <v>0.59109544140422798</v>
      </c>
      <c r="U830" s="14">
        <v>0.39605031386696699</v>
      </c>
      <c r="V830" s="14">
        <v>0.45460665322352001</v>
      </c>
      <c r="W830" s="14">
        <v>0.52886467702339501</v>
      </c>
      <c r="X830" s="14">
        <v>0.62372717383032505</v>
      </c>
      <c r="Y830" s="14">
        <v>0.678321481057376</v>
      </c>
      <c r="Z830" s="14">
        <v>0.68598821202826199</v>
      </c>
      <c r="AA830" s="14">
        <v>0.34208880909623002</v>
      </c>
      <c r="AB830" s="14"/>
      <c r="AC830" s="14">
        <v>0.54035790698151998</v>
      </c>
      <c r="AD830" s="14">
        <v>0.45973848250806398</v>
      </c>
      <c r="AE830" s="14">
        <v>0.50345427421506805</v>
      </c>
      <c r="AF830" s="14">
        <v>0.55274258210086302</v>
      </c>
      <c r="AG830" s="14">
        <v>0.63265349126220205</v>
      </c>
      <c r="AH830" s="14"/>
      <c r="AI830" s="14">
        <v>0.56682818354134101</v>
      </c>
      <c r="AJ830" s="14">
        <v>0.58540304577829505</v>
      </c>
      <c r="AK830" s="14">
        <v>0.48450730425365701</v>
      </c>
      <c r="AL830" s="14">
        <v>0.47516768050201003</v>
      </c>
      <c r="AM830" s="14">
        <v>0.39316806457796</v>
      </c>
      <c r="AN830" s="14">
        <v>0.42709099684149998</v>
      </c>
      <c r="AO830" s="14"/>
      <c r="AP830" s="14">
        <v>0.49237595588761901</v>
      </c>
      <c r="AQ830" s="14">
        <v>0.51272468173231101</v>
      </c>
      <c r="AR830" s="14"/>
      <c r="AS830" s="14">
        <v>0.50503600442511398</v>
      </c>
      <c r="AT830" s="14" t="s">
        <v>88</v>
      </c>
      <c r="AU830" s="14">
        <v>0</v>
      </c>
      <c r="AV830" s="14"/>
      <c r="AW830" s="14">
        <v>0.532748895143487</v>
      </c>
      <c r="AX830" s="14">
        <v>0.48732219350718597</v>
      </c>
      <c r="AY830" s="14"/>
      <c r="AZ830" s="14">
        <v>0.48651767626853998</v>
      </c>
      <c r="BA830" s="14">
        <v>0.60074430759994901</v>
      </c>
    </row>
    <row r="831" spans="2:53" x14ac:dyDescent="0.35">
      <c r="B831" t="s">
        <v>216</v>
      </c>
      <c r="C831" s="14">
        <v>0.108021536598868</v>
      </c>
      <c r="D831" s="14">
        <v>0.13465590644522701</v>
      </c>
      <c r="E831" s="14">
        <v>7.49963263688955E-2</v>
      </c>
      <c r="F831" s="14"/>
      <c r="G831" s="14">
        <v>0</v>
      </c>
      <c r="H831" s="14">
        <v>7.0192915598539504E-2</v>
      </c>
      <c r="I831" s="14">
        <v>0.104923408539518</v>
      </c>
      <c r="J831" s="14">
        <v>0.21948226355836101</v>
      </c>
      <c r="K831" s="14">
        <v>0.145019652620479</v>
      </c>
      <c r="L831" s="14" t="s">
        <v>88</v>
      </c>
      <c r="M831" s="14"/>
      <c r="N831" s="14">
        <v>7.2876280594888904E-2</v>
      </c>
      <c r="O831" s="14">
        <v>0.20270576107371499</v>
      </c>
      <c r="P831" s="14">
        <v>9.6576751209294903E-2</v>
      </c>
      <c r="Q831" s="14">
        <v>7.1503862251936903E-2</v>
      </c>
      <c r="R831" s="14"/>
      <c r="S831" s="14">
        <v>0.18197696452857301</v>
      </c>
      <c r="T831" s="14">
        <v>0.13146498362783501</v>
      </c>
      <c r="U831" s="14">
        <v>0.116309856745874</v>
      </c>
      <c r="V831" s="14">
        <v>9.2620868058617994E-2</v>
      </c>
      <c r="W831" s="14">
        <v>0.281138531528347</v>
      </c>
      <c r="X831" s="14">
        <v>1.70585615917213E-2</v>
      </c>
      <c r="Y831" s="14">
        <v>5.1493495958055802E-2</v>
      </c>
      <c r="Z831" s="14">
        <v>0</v>
      </c>
      <c r="AA831" s="14">
        <v>0</v>
      </c>
      <c r="AB831" s="14"/>
      <c r="AC831" s="14">
        <v>2.0964653472006101E-2</v>
      </c>
      <c r="AD831" s="14">
        <v>9.9135085957533398E-2</v>
      </c>
      <c r="AE831" s="14">
        <v>0.112593487600695</v>
      </c>
      <c r="AF831" s="14">
        <v>0.13627040076677999</v>
      </c>
      <c r="AG831" s="14">
        <v>4.39193346756621E-2</v>
      </c>
      <c r="AH831" s="14"/>
      <c r="AI831" s="14">
        <v>0.12205248482138201</v>
      </c>
      <c r="AJ831" s="14">
        <v>4.7938615781235101E-2</v>
      </c>
      <c r="AK831" s="14">
        <v>0.17036178068487501</v>
      </c>
      <c r="AL831" s="14">
        <v>0.164175729532653</v>
      </c>
      <c r="AM831" s="14">
        <v>0</v>
      </c>
      <c r="AN831" s="14">
        <v>9.7106638505499193E-2</v>
      </c>
      <c r="AO831" s="14"/>
      <c r="AP831" s="14">
        <v>8.9702566577453402E-2</v>
      </c>
      <c r="AQ831" s="14">
        <v>0.12414133221450099</v>
      </c>
      <c r="AR831" s="14"/>
      <c r="AS831" s="14">
        <v>0.104767063380842</v>
      </c>
      <c r="AT831" s="14" t="s">
        <v>88</v>
      </c>
      <c r="AU831" s="14">
        <v>1</v>
      </c>
      <c r="AV831" s="14"/>
      <c r="AW831" s="14">
        <v>0.106087202420844</v>
      </c>
      <c r="AX831" s="14">
        <v>4.5886854477651298E-2</v>
      </c>
      <c r="AY831" s="14"/>
      <c r="AZ831" s="14">
        <v>0.110228028371467</v>
      </c>
      <c r="BA831" s="14">
        <v>6.0851539439760002E-2</v>
      </c>
    </row>
    <row r="832" spans="2:53" x14ac:dyDescent="0.35">
      <c r="B832" t="s">
        <v>217</v>
      </c>
      <c r="C832" s="14">
        <v>1.94652426609522E-2</v>
      </c>
      <c r="D832" s="14">
        <v>2.9537316886741799E-2</v>
      </c>
      <c r="E832" s="14">
        <v>6.9764032148761802E-3</v>
      </c>
      <c r="F832" s="14"/>
      <c r="G832" s="14">
        <v>0</v>
      </c>
      <c r="H832" s="14">
        <v>7.6277719705189397E-3</v>
      </c>
      <c r="I832" s="14">
        <v>2.9193175837442301E-2</v>
      </c>
      <c r="J832" s="14">
        <v>0</v>
      </c>
      <c r="K832" s="14">
        <v>0</v>
      </c>
      <c r="L832" s="14" t="s">
        <v>88</v>
      </c>
      <c r="M832" s="14"/>
      <c r="N832" s="14">
        <v>1.6039720595360098E-2</v>
      </c>
      <c r="O832" s="14">
        <v>5.8940097511279897E-2</v>
      </c>
      <c r="P832" s="14">
        <v>0</v>
      </c>
      <c r="Q832" s="14">
        <v>0</v>
      </c>
      <c r="R832" s="14"/>
      <c r="S832" s="14">
        <v>4.2712584693508499E-2</v>
      </c>
      <c r="T832" s="14">
        <v>0</v>
      </c>
      <c r="U832" s="14">
        <v>0</v>
      </c>
      <c r="V832" s="14">
        <v>0</v>
      </c>
      <c r="W832" s="14">
        <v>0</v>
      </c>
      <c r="X832" s="14">
        <v>0</v>
      </c>
      <c r="Y832" s="14">
        <v>0</v>
      </c>
      <c r="Z832" s="14">
        <v>0.198284872495365</v>
      </c>
      <c r="AA832" s="14">
        <v>0</v>
      </c>
      <c r="AB832" s="14"/>
      <c r="AC832" s="14">
        <v>0</v>
      </c>
      <c r="AD832" s="14">
        <v>5.4189169362479798E-2</v>
      </c>
      <c r="AE832" s="14">
        <v>2.18528014011494E-2</v>
      </c>
      <c r="AF832" s="14">
        <v>0</v>
      </c>
      <c r="AG832" s="14">
        <v>2.7003536922669599E-2</v>
      </c>
      <c r="AH832" s="14"/>
      <c r="AI832" s="14">
        <v>3.15096255520428E-2</v>
      </c>
      <c r="AJ832" s="14">
        <v>0</v>
      </c>
      <c r="AK832" s="14">
        <v>6.27623455875327E-2</v>
      </c>
      <c r="AL832" s="14">
        <v>0</v>
      </c>
      <c r="AM832" s="14">
        <v>0</v>
      </c>
      <c r="AN832" s="14">
        <v>0</v>
      </c>
      <c r="AO832" s="14"/>
      <c r="AP832" s="14">
        <v>3.4932083284892501E-2</v>
      </c>
      <c r="AQ832" s="14">
        <v>5.8551811025771899E-3</v>
      </c>
      <c r="AR832" s="14"/>
      <c r="AS832" s="14">
        <v>1.9536263558341201E-2</v>
      </c>
      <c r="AT832" s="14" t="s">
        <v>88</v>
      </c>
      <c r="AU832" s="14">
        <v>0</v>
      </c>
      <c r="AV832" s="14"/>
      <c r="AW832" s="14">
        <v>2.5474701140363001E-2</v>
      </c>
      <c r="AX832" s="14">
        <v>6.7888369777104104E-3</v>
      </c>
      <c r="AY832" s="14"/>
      <c r="AZ832" s="14">
        <v>2.0056898733015902E-2</v>
      </c>
      <c r="BA832" s="14">
        <v>1.7554774638863801E-2</v>
      </c>
    </row>
    <row r="833" spans="2:53" x14ac:dyDescent="0.35">
      <c r="B833" t="s">
        <v>116</v>
      </c>
      <c r="C833" s="14">
        <v>9.6865437770460999E-2</v>
      </c>
      <c r="D833" s="14">
        <v>9.2828269386178899E-2</v>
      </c>
      <c r="E833" s="14">
        <v>0.101871313088474</v>
      </c>
      <c r="F833" s="14"/>
      <c r="G833" s="14">
        <v>0</v>
      </c>
      <c r="H833" s="14">
        <v>0.113615284976887</v>
      </c>
      <c r="I833" s="14">
        <v>8.4932328083485595E-2</v>
      </c>
      <c r="J833" s="14">
        <v>0.11594389517871601</v>
      </c>
      <c r="K833" s="14">
        <v>0.22419574463846201</v>
      </c>
      <c r="L833" s="14" t="s">
        <v>88</v>
      </c>
      <c r="M833" s="14"/>
      <c r="N833" s="14">
        <v>3.3393729491615398E-2</v>
      </c>
      <c r="O833" s="14">
        <v>2.3831287844698401E-2</v>
      </c>
      <c r="P833" s="14">
        <v>0.15822968650406799</v>
      </c>
      <c r="Q833" s="14">
        <v>0.19112753863181001</v>
      </c>
      <c r="R833" s="14"/>
      <c r="S833" s="14">
        <v>6.4237996215171497E-2</v>
      </c>
      <c r="T833" s="14">
        <v>3.3188013226898301E-2</v>
      </c>
      <c r="U833" s="14">
        <v>0.27144766076100502</v>
      </c>
      <c r="V833" s="14">
        <v>0.137247053191139</v>
      </c>
      <c r="W833" s="14">
        <v>0</v>
      </c>
      <c r="X833" s="14">
        <v>9.1155324184570299E-2</v>
      </c>
      <c r="Y833" s="14">
        <v>0.11716053593126501</v>
      </c>
      <c r="Z833" s="14">
        <v>0</v>
      </c>
      <c r="AA833" s="14">
        <v>0.14031825233891301</v>
      </c>
      <c r="AB833" s="14"/>
      <c r="AC833" s="14">
        <v>0.106032643396221</v>
      </c>
      <c r="AD833" s="14">
        <v>6.61659488206853E-2</v>
      </c>
      <c r="AE833" s="14">
        <v>8.1873648909867106E-2</v>
      </c>
      <c r="AF833" s="14">
        <v>4.2623028710312601E-2</v>
      </c>
      <c r="AG833" s="14">
        <v>0</v>
      </c>
      <c r="AH833" s="14"/>
      <c r="AI833" s="14">
        <v>4.0145584229923099E-2</v>
      </c>
      <c r="AJ833" s="14">
        <v>6.2633479072584694E-2</v>
      </c>
      <c r="AK833" s="14">
        <v>0.156076457504111</v>
      </c>
      <c r="AL833" s="14">
        <v>0.106764518530838</v>
      </c>
      <c r="AM833" s="14">
        <v>0.32767331585388398</v>
      </c>
      <c r="AN833" s="14">
        <v>0.13954107260953999</v>
      </c>
      <c r="AO833" s="14"/>
      <c r="AP833" s="14">
        <v>0.101772598528859</v>
      </c>
      <c r="AQ833" s="14">
        <v>9.2547376854046903E-2</v>
      </c>
      <c r="AR833" s="14"/>
      <c r="AS833" s="14">
        <v>9.72188610714836E-2</v>
      </c>
      <c r="AT833" s="14" t="s">
        <v>88</v>
      </c>
      <c r="AU833" s="14">
        <v>0</v>
      </c>
      <c r="AV833" s="14"/>
      <c r="AW833" s="14">
        <v>0.123111511302952</v>
      </c>
      <c r="AX833" s="14">
        <v>0</v>
      </c>
      <c r="AY833" s="14"/>
      <c r="AZ833" s="14">
        <v>9.05171896079425E-2</v>
      </c>
      <c r="BA833" s="14">
        <v>0.13005634360120599</v>
      </c>
    </row>
    <row r="834" spans="2:53" x14ac:dyDescent="0.35"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</row>
    <row r="835" spans="2:53" x14ac:dyDescent="0.35">
      <c r="B835" s="6" t="s">
        <v>278</v>
      </c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</row>
    <row r="836" spans="2:53" x14ac:dyDescent="0.35">
      <c r="B836" s="24" t="s">
        <v>219</v>
      </c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</row>
    <row r="837" spans="2:53" x14ac:dyDescent="0.35">
      <c r="B837" t="s">
        <v>220</v>
      </c>
      <c r="C837" s="14">
        <v>0.27230877455913899</v>
      </c>
      <c r="D837" s="14">
        <v>0.30256710379019103</v>
      </c>
      <c r="E837" s="14">
        <v>0.234790046320866</v>
      </c>
      <c r="F837" s="14"/>
      <c r="G837" s="14">
        <v>0.47762424215274302</v>
      </c>
      <c r="H837" s="14">
        <v>0.24741841162348599</v>
      </c>
      <c r="I837" s="14">
        <v>0.26825025169891298</v>
      </c>
      <c r="J837" s="14">
        <v>0.30640267582959402</v>
      </c>
      <c r="K837" s="14">
        <v>0.25939966684022803</v>
      </c>
      <c r="L837" s="14" t="s">
        <v>88</v>
      </c>
      <c r="M837" s="14"/>
      <c r="N837" s="14">
        <v>0.26386451177936998</v>
      </c>
      <c r="O837" s="14">
        <v>0.191319941569977</v>
      </c>
      <c r="P837" s="14">
        <v>0.179192717504463</v>
      </c>
      <c r="Q837" s="14">
        <v>0.392121004874873</v>
      </c>
      <c r="R837" s="14"/>
      <c r="S837" s="14">
        <v>0.31397901153896302</v>
      </c>
      <c r="T837" s="14">
        <v>0.19538230868900699</v>
      </c>
      <c r="U837" s="14">
        <v>0.289019807831779</v>
      </c>
      <c r="V837" s="14">
        <v>0.39640629802621902</v>
      </c>
      <c r="W837" s="14">
        <v>0.39457724773090203</v>
      </c>
      <c r="X837" s="14">
        <v>0.17646708250604101</v>
      </c>
      <c r="Y837" s="14">
        <v>0.281668834382164</v>
      </c>
      <c r="Z837" s="14">
        <v>0.115726915476373</v>
      </c>
      <c r="AA837" s="14">
        <v>0.240716735826151</v>
      </c>
      <c r="AB837" s="14"/>
      <c r="AC837" s="14">
        <v>0.38443808511120903</v>
      </c>
      <c r="AD837" s="14">
        <v>0.32827988800264202</v>
      </c>
      <c r="AE837" s="14">
        <v>0.31932276161054102</v>
      </c>
      <c r="AF837" s="14">
        <v>0.26216586738200498</v>
      </c>
      <c r="AG837" s="14">
        <v>0.16815812554477699</v>
      </c>
      <c r="AH837" s="14"/>
      <c r="AI837" s="14">
        <v>0.29970295644884598</v>
      </c>
      <c r="AJ837" s="14">
        <v>0.33678006218321499</v>
      </c>
      <c r="AK837" s="14">
        <v>8.49020729296351E-2</v>
      </c>
      <c r="AL837" s="14">
        <v>0.408340613641757</v>
      </c>
      <c r="AM837" s="14">
        <v>0</v>
      </c>
      <c r="AN837" s="14">
        <v>0.23316886235637099</v>
      </c>
      <c r="AO837" s="14"/>
      <c r="AP837" s="14">
        <v>0.30278161666870301</v>
      </c>
      <c r="AQ837" s="14">
        <v>0.245494167293589</v>
      </c>
      <c r="AR837" s="14"/>
      <c r="AS837" s="14">
        <v>0.273302320536087</v>
      </c>
      <c r="AT837" s="14" t="s">
        <v>88</v>
      </c>
      <c r="AU837" s="14">
        <v>0</v>
      </c>
      <c r="AV837" s="14"/>
      <c r="AW837" s="14">
        <v>0.25297279463949202</v>
      </c>
      <c r="AX837" s="14">
        <v>0.369385686252165</v>
      </c>
      <c r="AY837" s="14"/>
      <c r="AZ837" s="14">
        <v>0.30009034710028998</v>
      </c>
      <c r="BA837" s="14">
        <v>0.15596098931563199</v>
      </c>
    </row>
    <row r="838" spans="2:53" x14ac:dyDescent="0.35">
      <c r="B838" t="s">
        <v>221</v>
      </c>
      <c r="C838" s="14">
        <v>0.46589007837537599</v>
      </c>
      <c r="D838" s="14">
        <v>0.49256654817204099</v>
      </c>
      <c r="E838" s="14">
        <v>0.43281266643319699</v>
      </c>
      <c r="F838" s="14"/>
      <c r="G838" s="14">
        <v>0</v>
      </c>
      <c r="H838" s="14">
        <v>0.499920618250697</v>
      </c>
      <c r="I838" s="14">
        <v>0.500053306796164</v>
      </c>
      <c r="J838" s="14">
        <v>0.34288559666809298</v>
      </c>
      <c r="K838" s="14">
        <v>0.31928876964304198</v>
      </c>
      <c r="L838" s="14" t="s">
        <v>88</v>
      </c>
      <c r="M838" s="14"/>
      <c r="N838" s="14">
        <v>0.55961665390501703</v>
      </c>
      <c r="O838" s="14">
        <v>0.46614043124155302</v>
      </c>
      <c r="P838" s="14">
        <v>0.56859409632757396</v>
      </c>
      <c r="Q838" s="14">
        <v>0.32144614530288801</v>
      </c>
      <c r="R838" s="14"/>
      <c r="S838" s="14">
        <v>0.44800479294086598</v>
      </c>
      <c r="T838" s="14">
        <v>0.58837871954273302</v>
      </c>
      <c r="U838" s="14">
        <v>0.27411467722500599</v>
      </c>
      <c r="V838" s="14">
        <v>0.31417461132673502</v>
      </c>
      <c r="W838" s="14">
        <v>0.52495047429433195</v>
      </c>
      <c r="X838" s="14">
        <v>0.52497888133320403</v>
      </c>
      <c r="Y838" s="14">
        <v>0.46966862293024197</v>
      </c>
      <c r="Z838" s="14">
        <v>0.60279327436536001</v>
      </c>
      <c r="AA838" s="14">
        <v>0.49973199506657201</v>
      </c>
      <c r="AB838" s="14"/>
      <c r="AC838" s="14">
        <v>0.34179337844116597</v>
      </c>
      <c r="AD838" s="14">
        <v>0.36107590791323901</v>
      </c>
      <c r="AE838" s="14">
        <v>0.42370121270525601</v>
      </c>
      <c r="AF838" s="14">
        <v>0.56486707196054498</v>
      </c>
      <c r="AG838" s="14">
        <v>0.66720141646604803</v>
      </c>
      <c r="AH838" s="14"/>
      <c r="AI838" s="14">
        <v>0.48206169855279102</v>
      </c>
      <c r="AJ838" s="14">
        <v>0.429926412342095</v>
      </c>
      <c r="AK838" s="14">
        <v>0.49446464682583302</v>
      </c>
      <c r="AL838" s="14">
        <v>0.46996373838770999</v>
      </c>
      <c r="AM838" s="14">
        <v>0.55127399360474305</v>
      </c>
      <c r="AN838" s="14">
        <v>0.57006860314110996</v>
      </c>
      <c r="AO838" s="14"/>
      <c r="AP838" s="14">
        <v>0.52257882026413705</v>
      </c>
      <c r="AQ838" s="14">
        <v>0.41600676441799</v>
      </c>
      <c r="AR838" s="14"/>
      <c r="AS838" s="14">
        <v>0.46758992522687498</v>
      </c>
      <c r="AT838" s="14" t="s">
        <v>88</v>
      </c>
      <c r="AU838" s="14">
        <v>0</v>
      </c>
      <c r="AV838" s="14"/>
      <c r="AW838" s="14">
        <v>0.43931372237414101</v>
      </c>
      <c r="AX838" s="14">
        <v>0.50181067868400897</v>
      </c>
      <c r="AY838" s="14"/>
      <c r="AZ838" s="14">
        <v>0.49265971033975098</v>
      </c>
      <c r="BA838" s="14">
        <v>0.36222877149711202</v>
      </c>
    </row>
    <row r="839" spans="2:53" x14ac:dyDescent="0.35">
      <c r="B839" t="s">
        <v>222</v>
      </c>
      <c r="C839" s="14">
        <v>0.105656172594181</v>
      </c>
      <c r="D839" s="14">
        <v>9.7402057860108193E-2</v>
      </c>
      <c r="E839" s="14">
        <v>0.11589083840109</v>
      </c>
      <c r="F839" s="14"/>
      <c r="G839" s="14">
        <v>0.24439995050391899</v>
      </c>
      <c r="H839" s="14">
        <v>9.1400015290244996E-2</v>
      </c>
      <c r="I839" s="14">
        <v>8.4135882422464198E-2</v>
      </c>
      <c r="J839" s="14">
        <v>0.20161929791025601</v>
      </c>
      <c r="K839" s="14">
        <v>0.19711581887826801</v>
      </c>
      <c r="L839" s="14" t="s">
        <v>88</v>
      </c>
      <c r="M839" s="14"/>
      <c r="N839" s="14">
        <v>0.106808070249407</v>
      </c>
      <c r="O839" s="14">
        <v>0.16817164338514401</v>
      </c>
      <c r="P839" s="14">
        <v>0</v>
      </c>
      <c r="Q839" s="14">
        <v>0.104324816253184</v>
      </c>
      <c r="R839" s="14"/>
      <c r="S839" s="14">
        <v>0.124792859076036</v>
      </c>
      <c r="T839" s="14">
        <v>0.10540031537101301</v>
      </c>
      <c r="U839" s="14">
        <v>0.22328320619279499</v>
      </c>
      <c r="V839" s="14">
        <v>0.107588119084592</v>
      </c>
      <c r="W839" s="14">
        <v>0</v>
      </c>
      <c r="X839" s="14">
        <v>0</v>
      </c>
      <c r="Y839" s="14">
        <v>0</v>
      </c>
      <c r="Z839" s="14">
        <v>0.14540164357291299</v>
      </c>
      <c r="AA839" s="14">
        <v>0.10603758436906099</v>
      </c>
      <c r="AB839" s="14"/>
      <c r="AC839" s="14">
        <v>7.7900778282764302E-2</v>
      </c>
      <c r="AD839" s="14">
        <v>0.11311107740474299</v>
      </c>
      <c r="AE839" s="14">
        <v>9.3729274869680301E-2</v>
      </c>
      <c r="AF839" s="14">
        <v>8.9932190968779094E-2</v>
      </c>
      <c r="AG839" s="14">
        <v>5.0966869998943599E-2</v>
      </c>
      <c r="AH839" s="14"/>
      <c r="AI839" s="14">
        <v>0.128178027867733</v>
      </c>
      <c r="AJ839" s="14">
        <v>7.9390777203586005E-2</v>
      </c>
      <c r="AK839" s="14">
        <v>0.220050228186698</v>
      </c>
      <c r="AL839" s="14">
        <v>1.6577489068114799E-2</v>
      </c>
      <c r="AM839" s="14">
        <v>0.12105269054137301</v>
      </c>
      <c r="AN839" s="14">
        <v>0</v>
      </c>
      <c r="AO839" s="14"/>
      <c r="AP839" s="14">
        <v>3.5545633331562999E-2</v>
      </c>
      <c r="AQ839" s="14">
        <v>0.167350010298705</v>
      </c>
      <c r="AR839" s="14"/>
      <c r="AS839" s="14">
        <v>0.10604166977616</v>
      </c>
      <c r="AT839" s="14" t="s">
        <v>88</v>
      </c>
      <c r="AU839" s="14">
        <v>0</v>
      </c>
      <c r="AV839" s="14"/>
      <c r="AW839" s="14">
        <v>0.120868581972814</v>
      </c>
      <c r="AX839" s="14">
        <v>4.1781270442274303E-2</v>
      </c>
      <c r="AY839" s="14"/>
      <c r="AZ839" s="14">
        <v>7.8081662942905805E-2</v>
      </c>
      <c r="BA839" s="14">
        <v>0.23674414525235199</v>
      </c>
    </row>
    <row r="840" spans="2:53" x14ac:dyDescent="0.35">
      <c r="B840" t="s">
        <v>223</v>
      </c>
      <c r="C840" s="14">
        <v>1.45800639905962E-2</v>
      </c>
      <c r="D840" s="14">
        <v>1.55821438267162E-2</v>
      </c>
      <c r="E840" s="14">
        <v>1.33375379820598E-2</v>
      </c>
      <c r="F840" s="14"/>
      <c r="G840" s="14">
        <v>0</v>
      </c>
      <c r="H840" s="14">
        <v>2.5568838675524001E-2</v>
      </c>
      <c r="I840" s="14">
        <v>1.4235505990113599E-2</v>
      </c>
      <c r="J840" s="14">
        <v>0</v>
      </c>
      <c r="K840" s="14">
        <v>0</v>
      </c>
      <c r="L840" s="14" t="s">
        <v>88</v>
      </c>
      <c r="M840" s="14"/>
      <c r="N840" s="14">
        <v>5.94433122257683E-3</v>
      </c>
      <c r="O840" s="14">
        <v>2.7552824485851501E-2</v>
      </c>
      <c r="P840" s="14">
        <v>0</v>
      </c>
      <c r="Q840" s="14">
        <v>1.9718201011363599E-2</v>
      </c>
      <c r="R840" s="14"/>
      <c r="S840" s="14">
        <v>0</v>
      </c>
      <c r="T840" s="14">
        <v>8.9315549805762794E-3</v>
      </c>
      <c r="U840" s="14">
        <v>0</v>
      </c>
      <c r="V840" s="14">
        <v>0</v>
      </c>
      <c r="W840" s="14">
        <v>0</v>
      </c>
      <c r="X840" s="14">
        <v>0.115806854088843</v>
      </c>
      <c r="Y840" s="14">
        <v>0</v>
      </c>
      <c r="Z840" s="14">
        <v>0.13607816658535499</v>
      </c>
      <c r="AA840" s="14">
        <v>0</v>
      </c>
      <c r="AB840" s="14"/>
      <c r="AC840" s="14">
        <v>8.9835114768640104E-2</v>
      </c>
      <c r="AD840" s="14">
        <v>3.7188731156492502E-2</v>
      </c>
      <c r="AE840" s="14">
        <v>0</v>
      </c>
      <c r="AF840" s="14">
        <v>0</v>
      </c>
      <c r="AG840" s="14">
        <v>0</v>
      </c>
      <c r="AH840" s="14"/>
      <c r="AI840" s="14">
        <v>1.8342342988503901E-2</v>
      </c>
      <c r="AJ840" s="14">
        <v>8.9283443257476593E-3</v>
      </c>
      <c r="AK840" s="14">
        <v>0</v>
      </c>
      <c r="AL840" s="14">
        <v>0</v>
      </c>
      <c r="AM840" s="14">
        <v>0</v>
      </c>
      <c r="AN840" s="14">
        <v>7.3010644561299395E-2</v>
      </c>
      <c r="AO840" s="14"/>
      <c r="AP840" s="14">
        <v>1.8428103947259501E-2</v>
      </c>
      <c r="AQ840" s="14">
        <v>1.1193977461185001E-2</v>
      </c>
      <c r="AR840" s="14"/>
      <c r="AS840" s="14">
        <v>1.4633260821821901E-2</v>
      </c>
      <c r="AT840" s="14" t="s">
        <v>88</v>
      </c>
      <c r="AU840" s="14">
        <v>0</v>
      </c>
      <c r="AV840" s="14"/>
      <c r="AW840" s="14">
        <v>2.09974949598567E-2</v>
      </c>
      <c r="AX840" s="14">
        <v>0</v>
      </c>
      <c r="AY840" s="14"/>
      <c r="AZ840" s="14">
        <v>1.05808351508061E-2</v>
      </c>
      <c r="BA840" s="14">
        <v>3.3561344764746703E-2</v>
      </c>
    </row>
    <row r="841" spans="2:53" x14ac:dyDescent="0.35">
      <c r="B841" t="s">
        <v>116</v>
      </c>
      <c r="C841" s="14">
        <v>8.2644372951242495E-2</v>
      </c>
      <c r="D841" s="14">
        <v>6.3269033059956403E-2</v>
      </c>
      <c r="E841" s="14">
        <v>0.10666876988190099</v>
      </c>
      <c r="F841" s="14"/>
      <c r="G841" s="14">
        <v>0</v>
      </c>
      <c r="H841" s="14">
        <v>6.7454757953651107E-2</v>
      </c>
      <c r="I841" s="14">
        <v>8.9483435061268504E-2</v>
      </c>
      <c r="J841" s="14">
        <v>0.11594389517871601</v>
      </c>
      <c r="K841" s="14">
        <v>0</v>
      </c>
      <c r="L841" s="14" t="s">
        <v>88</v>
      </c>
      <c r="M841" s="14"/>
      <c r="N841" s="14">
        <v>2.7006467707723299E-2</v>
      </c>
      <c r="O841" s="14">
        <v>3.1387273025428403E-2</v>
      </c>
      <c r="P841" s="14">
        <v>0.208739130244706</v>
      </c>
      <c r="Q841" s="14">
        <v>0.119904505874735</v>
      </c>
      <c r="R841" s="14"/>
      <c r="S841" s="14">
        <v>8.3663944133375606E-2</v>
      </c>
      <c r="T841" s="14">
        <v>0</v>
      </c>
      <c r="U841" s="14">
        <v>0.21358230875042</v>
      </c>
      <c r="V841" s="14">
        <v>0.18183097156245501</v>
      </c>
      <c r="W841" s="14">
        <v>0</v>
      </c>
      <c r="X841" s="14">
        <v>9.1155324184570299E-2</v>
      </c>
      <c r="Y841" s="14">
        <v>0.197169046729538</v>
      </c>
      <c r="Z841" s="14">
        <v>0</v>
      </c>
      <c r="AA841" s="14">
        <v>0</v>
      </c>
      <c r="AB841" s="14"/>
      <c r="AC841" s="14">
        <v>0.106032643396221</v>
      </c>
      <c r="AD841" s="14">
        <v>4.0205087864900999E-2</v>
      </c>
      <c r="AE841" s="14">
        <v>0.100037733537612</v>
      </c>
      <c r="AF841" s="14">
        <v>4.2623028710312601E-2</v>
      </c>
      <c r="AG841" s="14">
        <v>0</v>
      </c>
      <c r="AH841" s="14"/>
      <c r="AI841" s="14">
        <v>1.9848824427602899E-2</v>
      </c>
      <c r="AJ841" s="14">
        <v>6.2633479072584694E-2</v>
      </c>
      <c r="AK841" s="14">
        <v>0.17118549079869</v>
      </c>
      <c r="AL841" s="14">
        <v>0</v>
      </c>
      <c r="AM841" s="14">
        <v>0.32767331585388398</v>
      </c>
      <c r="AN841" s="14">
        <v>7.6762235946760599E-2</v>
      </c>
      <c r="AO841" s="14"/>
      <c r="AP841" s="14">
        <v>7.0975541080917706E-2</v>
      </c>
      <c r="AQ841" s="14">
        <v>9.2912372986338795E-2</v>
      </c>
      <c r="AR841" s="14"/>
      <c r="AS841" s="14">
        <v>8.2945909265656106E-2</v>
      </c>
      <c r="AT841" s="14" t="s">
        <v>88</v>
      </c>
      <c r="AU841" s="14">
        <v>0</v>
      </c>
      <c r="AV841" s="14"/>
      <c r="AW841" s="14">
        <v>0.10840261879888299</v>
      </c>
      <c r="AX841" s="14">
        <v>2.81770686970454E-2</v>
      </c>
      <c r="AY841" s="14"/>
      <c r="AZ841" s="14">
        <v>5.6357974054158502E-2</v>
      </c>
      <c r="BA841" s="14">
        <v>0.165342210216986</v>
      </c>
    </row>
    <row r="842" spans="2:53" x14ac:dyDescent="0.35">
      <c r="B842" t="s">
        <v>224</v>
      </c>
      <c r="C842" s="14">
        <v>0.73819885293451504</v>
      </c>
      <c r="D842" s="14">
        <v>0.79513365196223196</v>
      </c>
      <c r="E842" s="14">
        <v>0.66760271275406302</v>
      </c>
      <c r="F842" s="14"/>
      <c r="G842" s="14">
        <v>0.47762424215274302</v>
      </c>
      <c r="H842" s="14">
        <v>0.74733902987418299</v>
      </c>
      <c r="I842" s="14">
        <v>0.76830355849507703</v>
      </c>
      <c r="J842" s="14">
        <v>0.64928827249768695</v>
      </c>
      <c r="K842" s="14">
        <v>0.57868843648326995</v>
      </c>
      <c r="L842" s="14" t="s">
        <v>88</v>
      </c>
      <c r="M842" s="14"/>
      <c r="N842" s="14">
        <v>0.82348116568438701</v>
      </c>
      <c r="O842" s="14">
        <v>0.65746037281153002</v>
      </c>
      <c r="P842" s="14">
        <v>0.74778681383203705</v>
      </c>
      <c r="Q842" s="14">
        <v>0.71356715017776096</v>
      </c>
      <c r="R842" s="14"/>
      <c r="S842" s="14">
        <v>0.76198380447982805</v>
      </c>
      <c r="T842" s="14">
        <v>0.78376102823174099</v>
      </c>
      <c r="U842" s="14">
        <v>0.56313448505678498</v>
      </c>
      <c r="V842" s="14">
        <v>0.71058090935295304</v>
      </c>
      <c r="W842" s="14">
        <v>0.91952772202523503</v>
      </c>
      <c r="X842" s="14">
        <v>0.70144596383924496</v>
      </c>
      <c r="Y842" s="14">
        <v>0.75133745731240698</v>
      </c>
      <c r="Z842" s="14">
        <v>0.71852018984173205</v>
      </c>
      <c r="AA842" s="14">
        <v>0.74044873089272201</v>
      </c>
      <c r="AB842" s="14"/>
      <c r="AC842" s="14">
        <v>0.726231463552375</v>
      </c>
      <c r="AD842" s="14">
        <v>0.68935579591588103</v>
      </c>
      <c r="AE842" s="14">
        <v>0.74302397431579703</v>
      </c>
      <c r="AF842" s="14">
        <v>0.82703293934254996</v>
      </c>
      <c r="AG842" s="14">
        <v>0.83535954201082496</v>
      </c>
      <c r="AH842" s="14"/>
      <c r="AI842" s="14">
        <v>0.78176465500163705</v>
      </c>
      <c r="AJ842" s="14">
        <v>0.76670647452531004</v>
      </c>
      <c r="AK842" s="14">
        <v>0.57936671975546805</v>
      </c>
      <c r="AL842" s="14">
        <v>0.878304352029466</v>
      </c>
      <c r="AM842" s="14">
        <v>0.55127399360474305</v>
      </c>
      <c r="AN842" s="14">
        <v>0.80323746549747999</v>
      </c>
      <c r="AO842" s="14"/>
      <c r="AP842" s="14">
        <v>0.82536043693284</v>
      </c>
      <c r="AQ842" s="14">
        <v>0.66150093171157898</v>
      </c>
      <c r="AR842" s="14"/>
      <c r="AS842" s="14">
        <v>0.74089224576296098</v>
      </c>
      <c r="AT842" s="14" t="s">
        <v>88</v>
      </c>
      <c r="AU842" s="14">
        <v>0</v>
      </c>
      <c r="AV842" s="14"/>
      <c r="AW842" s="14">
        <v>0.69228651701363297</v>
      </c>
      <c r="AX842" s="14">
        <v>0.87119636493617403</v>
      </c>
      <c r="AY842" s="14"/>
      <c r="AZ842" s="14">
        <v>0.79275005744004101</v>
      </c>
      <c r="BA842" s="14">
        <v>0.51818976081274404</v>
      </c>
    </row>
    <row r="843" spans="2:53" x14ac:dyDescent="0.35"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</row>
    <row r="844" spans="2:53" x14ac:dyDescent="0.35">
      <c r="B844" s="6" t="s">
        <v>279</v>
      </c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</row>
    <row r="845" spans="2:53" x14ac:dyDescent="0.35">
      <c r="B845" s="24" t="s">
        <v>219</v>
      </c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</row>
    <row r="846" spans="2:53" x14ac:dyDescent="0.35">
      <c r="B846" t="s">
        <v>226</v>
      </c>
      <c r="C846" s="14">
        <v>0.29294397269353201</v>
      </c>
      <c r="D846" s="14">
        <v>0.269031121086797</v>
      </c>
      <c r="E846" s="14">
        <v>0.322594644215558</v>
      </c>
      <c r="F846" s="14"/>
      <c r="G846" s="14">
        <v>0.79247255257131499</v>
      </c>
      <c r="H846" s="14">
        <v>0.35003811240023203</v>
      </c>
      <c r="I846" s="14">
        <v>0.23670569018207599</v>
      </c>
      <c r="J846" s="14">
        <v>0.32597132213992203</v>
      </c>
      <c r="K846" s="14">
        <v>0.48359541147869001</v>
      </c>
      <c r="L846" s="14" t="s">
        <v>88</v>
      </c>
      <c r="M846" s="14"/>
      <c r="N846" s="14">
        <v>0.28620266455585502</v>
      </c>
      <c r="O846" s="14">
        <v>0.189066151401032</v>
      </c>
      <c r="P846" s="14">
        <v>0.42260906742662202</v>
      </c>
      <c r="Q846" s="14">
        <v>0.32219488205079699</v>
      </c>
      <c r="R846" s="14"/>
      <c r="S846" s="14">
        <v>0.29752541600417798</v>
      </c>
      <c r="T846" s="14">
        <v>0.32246844157771198</v>
      </c>
      <c r="U846" s="14">
        <v>0.228131914767257</v>
      </c>
      <c r="V846" s="14">
        <v>0.30692228875851602</v>
      </c>
      <c r="W846" s="14">
        <v>0.57061159184482801</v>
      </c>
      <c r="X846" s="14">
        <v>0.17646708250604101</v>
      </c>
      <c r="Y846" s="14">
        <v>0.155714218504062</v>
      </c>
      <c r="Z846" s="14">
        <v>0.11778520835161101</v>
      </c>
      <c r="AA846" s="14">
        <v>0.37931838084130298</v>
      </c>
      <c r="AB846" s="14"/>
      <c r="AC846" s="14">
        <v>0.343528406711824</v>
      </c>
      <c r="AD846" s="14">
        <v>0.29443711220552399</v>
      </c>
      <c r="AE846" s="14">
        <v>0.285679939842442</v>
      </c>
      <c r="AF846" s="14">
        <v>0.25972184777062202</v>
      </c>
      <c r="AG846" s="14">
        <v>0.52659621632359099</v>
      </c>
      <c r="AH846" s="14"/>
      <c r="AI846" s="14">
        <v>0.32369438700162501</v>
      </c>
      <c r="AJ846" s="14">
        <v>0.401473099741747</v>
      </c>
      <c r="AK846" s="14">
        <v>0.245533142548399</v>
      </c>
      <c r="AL846" s="14">
        <v>0.19746971765158899</v>
      </c>
      <c r="AM846" s="14">
        <v>0.12105269054137301</v>
      </c>
      <c r="AN846" s="14">
        <v>7.2309546375553202E-2</v>
      </c>
      <c r="AO846" s="14"/>
      <c r="AP846" s="14">
        <v>0.23099644332486299</v>
      </c>
      <c r="AQ846" s="14">
        <v>0.34745476184537799</v>
      </c>
      <c r="AR846" s="14"/>
      <c r="AS846" s="14">
        <v>0.29401280826819098</v>
      </c>
      <c r="AT846" s="14" t="s">
        <v>88</v>
      </c>
      <c r="AU846" s="14">
        <v>0</v>
      </c>
      <c r="AV846" s="14"/>
      <c r="AW846" s="14">
        <v>0.24685476007496501</v>
      </c>
      <c r="AX846" s="14">
        <v>0.44737172724824198</v>
      </c>
      <c r="AY846" s="14"/>
      <c r="AZ846" s="14">
        <v>0.29987473947763499</v>
      </c>
      <c r="BA846" s="14">
        <v>0.27325981597743598</v>
      </c>
    </row>
    <row r="847" spans="2:53" x14ac:dyDescent="0.35">
      <c r="B847" t="s">
        <v>227</v>
      </c>
      <c r="C847" s="14">
        <v>0.42810513787593601</v>
      </c>
      <c r="D847" s="14">
        <v>0.45646918023140398</v>
      </c>
      <c r="E847" s="14">
        <v>0.39293522519676499</v>
      </c>
      <c r="F847" s="14"/>
      <c r="G847" s="14">
        <v>0</v>
      </c>
      <c r="H847" s="14">
        <v>0.331322866537691</v>
      </c>
      <c r="I847" s="14">
        <v>0.48108797069012099</v>
      </c>
      <c r="J847" s="14">
        <v>0.41120655513944099</v>
      </c>
      <c r="K847" s="14">
        <v>0.51640458852130999</v>
      </c>
      <c r="L847" s="14" t="s">
        <v>88</v>
      </c>
      <c r="M847" s="14"/>
      <c r="N847" s="14">
        <v>0.48080421524282702</v>
      </c>
      <c r="O847" s="14">
        <v>0.52788329143970003</v>
      </c>
      <c r="P847" s="14">
        <v>0.298800297030902</v>
      </c>
      <c r="Q847" s="14">
        <v>0.355630894772342</v>
      </c>
      <c r="R847" s="14"/>
      <c r="S847" s="14">
        <v>0.48476714988436498</v>
      </c>
      <c r="T847" s="14">
        <v>0.39111604656050197</v>
      </c>
      <c r="U847" s="14">
        <v>0.46585343301365201</v>
      </c>
      <c r="V847" s="14">
        <v>0.40547408426544401</v>
      </c>
      <c r="W847" s="14">
        <v>0.217291320123087</v>
      </c>
      <c r="X847" s="14">
        <v>0.43708674417003801</v>
      </c>
      <c r="Y847" s="14">
        <v>0.52086052676785399</v>
      </c>
      <c r="Z847" s="14">
        <v>0.41144571639328298</v>
      </c>
      <c r="AA847" s="14">
        <v>0.39940428728029698</v>
      </c>
      <c r="AB847" s="14"/>
      <c r="AC847" s="14">
        <v>0.41236320770747598</v>
      </c>
      <c r="AD847" s="14">
        <v>0.39789709322009298</v>
      </c>
      <c r="AE847" s="14">
        <v>0.43606932735472997</v>
      </c>
      <c r="AF847" s="14">
        <v>0.510731534768187</v>
      </c>
      <c r="AG847" s="14">
        <v>0.35157205055122798</v>
      </c>
      <c r="AH847" s="14"/>
      <c r="AI847" s="14">
        <v>0.46510994186247101</v>
      </c>
      <c r="AJ847" s="14">
        <v>0.34230527630876501</v>
      </c>
      <c r="AK847" s="14">
        <v>0.35623246054441499</v>
      </c>
      <c r="AL847" s="14">
        <v>0.58337096656180998</v>
      </c>
      <c r="AM847" s="14">
        <v>0.45027646912675301</v>
      </c>
      <c r="AN847" s="14">
        <v>0.53043486040350696</v>
      </c>
      <c r="AO847" s="14"/>
      <c r="AP847" s="14">
        <v>0.53919560299602198</v>
      </c>
      <c r="AQ847" s="14">
        <v>0.33035097426914101</v>
      </c>
      <c r="AR847" s="14"/>
      <c r="AS847" s="14">
        <v>0.42966712256826201</v>
      </c>
      <c r="AT847" s="14" t="s">
        <v>88</v>
      </c>
      <c r="AU847" s="14">
        <v>0</v>
      </c>
      <c r="AV847" s="14"/>
      <c r="AW847" s="14">
        <v>0.46128358195862201</v>
      </c>
      <c r="AX847" s="14">
        <v>0.36323214731659498</v>
      </c>
      <c r="AY847" s="14"/>
      <c r="AZ847" s="14">
        <v>0.45704175656688401</v>
      </c>
      <c r="BA847" s="14">
        <v>0.31291810652805102</v>
      </c>
    </row>
    <row r="848" spans="2:53" x14ac:dyDescent="0.35">
      <c r="B848" t="s">
        <v>228</v>
      </c>
      <c r="C848" s="14">
        <v>0.148958584756436</v>
      </c>
      <c r="D848" s="14">
        <v>0.14293496038652301</v>
      </c>
      <c r="E848" s="14">
        <v>0.15642756045626599</v>
      </c>
      <c r="F848" s="14"/>
      <c r="G848" s="14">
        <v>0</v>
      </c>
      <c r="H848" s="14">
        <v>0.15599422863225401</v>
      </c>
      <c r="I848" s="14">
        <v>0.168064888261625</v>
      </c>
      <c r="J848" s="14">
        <v>9.8444124363344196E-2</v>
      </c>
      <c r="K848" s="14">
        <v>0</v>
      </c>
      <c r="L848" s="14" t="s">
        <v>88</v>
      </c>
      <c r="M848" s="14"/>
      <c r="N848" s="14">
        <v>0.120732488157955</v>
      </c>
      <c r="O848" s="14">
        <v>0.151733375875924</v>
      </c>
      <c r="P848" s="14">
        <v>0.12036094903840699</v>
      </c>
      <c r="Q848" s="14">
        <v>0.18899831669910799</v>
      </c>
      <c r="R848" s="14"/>
      <c r="S848" s="14">
        <v>0.154242276847363</v>
      </c>
      <c r="T848" s="14">
        <v>0.18450841044511601</v>
      </c>
      <c r="U848" s="14">
        <v>7.0770170452503306E-2</v>
      </c>
      <c r="V848" s="14">
        <v>0.166382983579097</v>
      </c>
      <c r="W848" s="14">
        <v>0.13162481005731899</v>
      </c>
      <c r="X848" s="14">
        <v>0.27823228754763002</v>
      </c>
      <c r="Y848" s="14">
        <v>1.1785403518040201E-2</v>
      </c>
      <c r="Z848" s="14">
        <v>0.40856236934509599</v>
      </c>
      <c r="AA848" s="14">
        <v>6.3875675512898494E-2</v>
      </c>
      <c r="AB848" s="14"/>
      <c r="AC848" s="14">
        <v>0.13807574218447899</v>
      </c>
      <c r="AD848" s="14">
        <v>0.185239234555862</v>
      </c>
      <c r="AE848" s="14">
        <v>0.149264625530315</v>
      </c>
      <c r="AF848" s="14">
        <v>0.14651174777251999</v>
      </c>
      <c r="AG848" s="14">
        <v>6.6505539841959393E-2</v>
      </c>
      <c r="AH848" s="14"/>
      <c r="AI848" s="14">
        <v>0.16859191978466501</v>
      </c>
      <c r="AJ848" s="14">
        <v>0.102497323164086</v>
      </c>
      <c r="AK848" s="14">
        <v>0.19765134484935201</v>
      </c>
      <c r="AL848" s="14">
        <v>0.16273696200369001</v>
      </c>
      <c r="AM848" s="14">
        <v>0.10099752447799</v>
      </c>
      <c r="AN848" s="14">
        <v>0.15390285333274001</v>
      </c>
      <c r="AO848" s="14"/>
      <c r="AP848" s="14">
        <v>0.101711818105784</v>
      </c>
      <c r="AQ848" s="14">
        <v>0.19053342335367601</v>
      </c>
      <c r="AR848" s="14"/>
      <c r="AS848" s="14">
        <v>0.14950207514838601</v>
      </c>
      <c r="AT848" s="14" t="s">
        <v>88</v>
      </c>
      <c r="AU848" s="14">
        <v>0</v>
      </c>
      <c r="AV848" s="14"/>
      <c r="AW848" s="14">
        <v>0.15575645760033299</v>
      </c>
      <c r="AX848" s="14">
        <v>0.111166881096711</v>
      </c>
      <c r="AY848" s="14"/>
      <c r="AZ848" s="14">
        <v>0.13347703398678001</v>
      </c>
      <c r="BA848" s="14">
        <v>0.22627861628648399</v>
      </c>
    </row>
    <row r="849" spans="2:53" x14ac:dyDescent="0.35">
      <c r="B849" t="s">
        <v>229</v>
      </c>
      <c r="C849" s="14">
        <v>1.62642597423658E-2</v>
      </c>
      <c r="D849" s="14">
        <v>2.3754786043650999E-2</v>
      </c>
      <c r="E849" s="14">
        <v>6.9764032148761802E-3</v>
      </c>
      <c r="F849" s="14"/>
      <c r="G849" s="14">
        <v>0</v>
      </c>
      <c r="H849" s="14">
        <v>1.7100672122897599E-2</v>
      </c>
      <c r="I849" s="14">
        <v>5.1401300654583997E-3</v>
      </c>
      <c r="J849" s="14">
        <v>8.3591897100048898E-2</v>
      </c>
      <c r="K849" s="14">
        <v>0</v>
      </c>
      <c r="L849" s="14" t="s">
        <v>88</v>
      </c>
      <c r="M849" s="14"/>
      <c r="N849" s="14">
        <v>2.3274416163336899E-2</v>
      </c>
      <c r="O849" s="14">
        <v>0</v>
      </c>
      <c r="P849" s="14">
        <v>0</v>
      </c>
      <c r="Q849" s="14">
        <v>3.0358050997330899E-2</v>
      </c>
      <c r="R849" s="14"/>
      <c r="S849" s="14">
        <v>7.95502229024171E-3</v>
      </c>
      <c r="T849" s="14">
        <v>0</v>
      </c>
      <c r="U849" s="14">
        <v>2.16621730161673E-2</v>
      </c>
      <c r="V849" s="14">
        <v>0</v>
      </c>
      <c r="W849" s="14">
        <v>0</v>
      </c>
      <c r="X849" s="14">
        <v>0</v>
      </c>
      <c r="Y849" s="14">
        <v>0.11716053593126501</v>
      </c>
      <c r="Z849" s="14">
        <v>6.22067059100102E-2</v>
      </c>
      <c r="AA849" s="14">
        <v>0</v>
      </c>
      <c r="AB849" s="14"/>
      <c r="AC849" s="14">
        <v>0.106032643396221</v>
      </c>
      <c r="AD849" s="14">
        <v>1.70004382059873E-2</v>
      </c>
      <c r="AE849" s="14">
        <v>1.12128157878769E-2</v>
      </c>
      <c r="AF849" s="14">
        <v>0</v>
      </c>
      <c r="AG849" s="14">
        <v>0</v>
      </c>
      <c r="AH849" s="14"/>
      <c r="AI849" s="14">
        <v>8.3850096207072101E-3</v>
      </c>
      <c r="AJ849" s="14">
        <v>5.3906662787776498E-2</v>
      </c>
      <c r="AK849" s="14">
        <v>0</v>
      </c>
      <c r="AL849" s="14">
        <v>0</v>
      </c>
      <c r="AM849" s="14">
        <v>0</v>
      </c>
      <c r="AN849" s="14">
        <v>2.7049431331899298E-2</v>
      </c>
      <c r="AO849" s="14"/>
      <c r="AP849" s="14">
        <v>4.7130050566147304E-3</v>
      </c>
      <c r="AQ849" s="14">
        <v>2.64287976187178E-2</v>
      </c>
      <c r="AR849" s="14"/>
      <c r="AS849" s="14">
        <v>1.6323601531337599E-2</v>
      </c>
      <c r="AT849" s="14" t="s">
        <v>88</v>
      </c>
      <c r="AU849" s="14">
        <v>0</v>
      </c>
      <c r="AV849" s="14"/>
      <c r="AW849" s="14">
        <v>1.76877969954948E-2</v>
      </c>
      <c r="AX849" s="14">
        <v>1.5219867046409701E-2</v>
      </c>
      <c r="AY849" s="14"/>
      <c r="AZ849" s="14">
        <v>1.61303526630013E-2</v>
      </c>
      <c r="BA849" s="14">
        <v>1.7554774638863801E-2</v>
      </c>
    </row>
    <row r="850" spans="2:53" x14ac:dyDescent="0.35">
      <c r="B850" t="s">
        <v>116</v>
      </c>
      <c r="C850" s="14">
        <v>7.0118924625847998E-2</v>
      </c>
      <c r="D850" s="14">
        <v>6.7266673219682604E-2</v>
      </c>
      <c r="E850" s="14">
        <v>7.3655565547360996E-2</v>
      </c>
      <c r="F850" s="14"/>
      <c r="G850" s="14">
        <v>0</v>
      </c>
      <c r="H850" s="14">
        <v>0.116323018131348</v>
      </c>
      <c r="I850" s="14">
        <v>6.5159702769642003E-2</v>
      </c>
      <c r="J850" s="14">
        <v>3.2351998078666899E-2</v>
      </c>
      <c r="K850" s="14">
        <v>0</v>
      </c>
      <c r="L850" s="14" t="s">
        <v>88</v>
      </c>
      <c r="M850" s="14"/>
      <c r="N850" s="14">
        <v>2.7006467707723299E-2</v>
      </c>
      <c r="O850" s="14">
        <v>3.1387273025428403E-2</v>
      </c>
      <c r="P850" s="14">
        <v>0.15822968650406799</v>
      </c>
      <c r="Q850" s="14">
        <v>0.10281785548042199</v>
      </c>
      <c r="R850" s="14"/>
      <c r="S850" s="14">
        <v>5.06466231556277E-2</v>
      </c>
      <c r="T850" s="14">
        <v>0</v>
      </c>
      <c r="U850" s="14">
        <v>0.21358230875042</v>
      </c>
      <c r="V850" s="14">
        <v>0.121220643396943</v>
      </c>
      <c r="W850" s="14">
        <v>0</v>
      </c>
      <c r="X850" s="14">
        <v>9.1155324184570299E-2</v>
      </c>
      <c r="Y850" s="14">
        <v>8.0008510798272897E-2</v>
      </c>
      <c r="Z850" s="14">
        <v>0</v>
      </c>
      <c r="AA850" s="14">
        <v>9.0683155113936501E-2</v>
      </c>
      <c r="AB850" s="14"/>
      <c r="AC850" s="14">
        <v>0</v>
      </c>
      <c r="AD850" s="14">
        <v>4.0205087864900999E-2</v>
      </c>
      <c r="AE850" s="14">
        <v>5.8539986316272198E-2</v>
      </c>
      <c r="AF850" s="14">
        <v>4.2623028710312601E-2</v>
      </c>
      <c r="AG850" s="14">
        <v>0</v>
      </c>
      <c r="AH850" s="14"/>
      <c r="AI850" s="14">
        <v>0</v>
      </c>
      <c r="AJ850" s="14">
        <v>1.74767131248534E-2</v>
      </c>
      <c r="AK850" s="14">
        <v>0.17118549079869</v>
      </c>
      <c r="AL850" s="14">
        <v>0</v>
      </c>
      <c r="AM850" s="14">
        <v>0.32767331585388398</v>
      </c>
      <c r="AN850" s="14">
        <v>0.216303308556301</v>
      </c>
      <c r="AO850" s="14"/>
      <c r="AP850" s="14">
        <v>7.9552419748129502E-2</v>
      </c>
      <c r="AQ850" s="14">
        <v>6.18179113519313E-2</v>
      </c>
      <c r="AR850" s="14"/>
      <c r="AS850" s="14">
        <v>7.0374760581126003E-2</v>
      </c>
      <c r="AT850" s="14" t="s">
        <v>88</v>
      </c>
      <c r="AU850" s="14">
        <v>0</v>
      </c>
      <c r="AV850" s="14"/>
      <c r="AW850" s="14">
        <v>8.4592491406333306E-2</v>
      </c>
      <c r="AX850" s="14">
        <v>0</v>
      </c>
      <c r="AY850" s="14"/>
      <c r="AZ850" s="14">
        <v>5.0028685615691203E-2</v>
      </c>
      <c r="BA850" s="14">
        <v>0.123826147615994</v>
      </c>
    </row>
    <row r="851" spans="2:53" x14ac:dyDescent="0.35"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</row>
    <row r="852" spans="2:53" x14ac:dyDescent="0.35">
      <c r="B852" s="6" t="s">
        <v>280</v>
      </c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</row>
    <row r="853" spans="2:53" x14ac:dyDescent="0.35">
      <c r="B853" s="24" t="s">
        <v>219</v>
      </c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</row>
    <row r="854" spans="2:53" x14ac:dyDescent="0.35">
      <c r="B854" t="s">
        <v>231</v>
      </c>
      <c r="C854" s="14">
        <v>0.115526991403404</v>
      </c>
      <c r="D854" s="14">
        <v>0.105585604137091</v>
      </c>
      <c r="E854" s="14">
        <v>0.12785378593023</v>
      </c>
      <c r="F854" s="14"/>
      <c r="G854" s="14">
        <v>0.42739613994264702</v>
      </c>
      <c r="H854" s="14">
        <v>0.134734062342904</v>
      </c>
      <c r="I854" s="14">
        <v>0.116274916248682</v>
      </c>
      <c r="J854" s="14">
        <v>3.2351998078666899E-2</v>
      </c>
      <c r="K854" s="14">
        <v>0</v>
      </c>
      <c r="L854" s="14" t="s">
        <v>88</v>
      </c>
      <c r="M854" s="14"/>
      <c r="N854" s="14">
        <v>9.1093411115126505E-2</v>
      </c>
      <c r="O854" s="14">
        <v>8.6108476947418494E-2</v>
      </c>
      <c r="P854" s="14">
        <v>8.2615964224827101E-2</v>
      </c>
      <c r="Q854" s="14">
        <v>0.18018191878769299</v>
      </c>
      <c r="R854" s="14"/>
      <c r="S854" s="14">
        <v>0.25216135220694802</v>
      </c>
      <c r="T854" s="14">
        <v>6.23673366551925E-2</v>
      </c>
      <c r="U854" s="14">
        <v>0.102154794619314</v>
      </c>
      <c r="V854" s="14">
        <v>9.9137514344633901E-2</v>
      </c>
      <c r="W854" s="14">
        <v>0</v>
      </c>
      <c r="X854" s="14">
        <v>0.21948517105791901</v>
      </c>
      <c r="Y854" s="14">
        <v>0</v>
      </c>
      <c r="Z854" s="14">
        <v>0</v>
      </c>
      <c r="AA854" s="14">
        <v>0.102212489107874</v>
      </c>
      <c r="AB854" s="14"/>
      <c r="AC854" s="14">
        <v>0.12066375025759001</v>
      </c>
      <c r="AD854" s="14">
        <v>9.8909386911516003E-2</v>
      </c>
      <c r="AE854" s="14">
        <v>7.5128115886087102E-2</v>
      </c>
      <c r="AF854" s="14">
        <v>0.19411537490368899</v>
      </c>
      <c r="AG854" s="14">
        <v>0.232073373653644</v>
      </c>
      <c r="AH854" s="14"/>
      <c r="AI854" s="14">
        <v>0.144677887498708</v>
      </c>
      <c r="AJ854" s="14">
        <v>0.111506706949695</v>
      </c>
      <c r="AK854" s="14">
        <v>7.3593810381426594E-2</v>
      </c>
      <c r="AL854" s="14">
        <v>0.18089222858347401</v>
      </c>
      <c r="AM854" s="14">
        <v>0.121052685340571</v>
      </c>
      <c r="AN854" s="14">
        <v>7.3010644561299395E-2</v>
      </c>
      <c r="AO854" s="14"/>
      <c r="AP854" s="14">
        <v>0.13988303094556001</v>
      </c>
      <c r="AQ854" s="14">
        <v>9.4094870549073201E-2</v>
      </c>
      <c r="AR854" s="14"/>
      <c r="AS854" s="14">
        <v>0.115948503261491</v>
      </c>
      <c r="AT854" s="14" t="s">
        <v>88</v>
      </c>
      <c r="AU854" s="14">
        <v>0</v>
      </c>
      <c r="AV854" s="14"/>
      <c r="AW854" s="14">
        <v>6.9734688282094504E-2</v>
      </c>
      <c r="AX854" s="14">
        <v>0.25646433883465303</v>
      </c>
      <c r="AY854" s="14"/>
      <c r="AZ854" s="14">
        <v>0.12765915546857401</v>
      </c>
      <c r="BA854" s="14">
        <v>6.4577387340935002E-2</v>
      </c>
    </row>
    <row r="855" spans="2:53" x14ac:dyDescent="0.35">
      <c r="B855" t="s">
        <v>232</v>
      </c>
      <c r="C855" s="14">
        <v>0.66479625233138695</v>
      </c>
      <c r="D855" s="14">
        <v>0.67981634682935099</v>
      </c>
      <c r="E855" s="14">
        <v>0.64617212939058799</v>
      </c>
      <c r="F855" s="14"/>
      <c r="G855" s="14">
        <v>0.451927397932604</v>
      </c>
      <c r="H855" s="14">
        <v>0.71397989314946098</v>
      </c>
      <c r="I855" s="14">
        <v>0.62630662111749902</v>
      </c>
      <c r="J855" s="14">
        <v>0.784120941318459</v>
      </c>
      <c r="K855" s="14">
        <v>0.80288418112173199</v>
      </c>
      <c r="L855" s="14" t="s">
        <v>88</v>
      </c>
      <c r="M855" s="14"/>
      <c r="N855" s="14">
        <v>0.793263715087555</v>
      </c>
      <c r="O855" s="14">
        <v>0.65966393263924095</v>
      </c>
      <c r="P855" s="14">
        <v>0.67934896788894195</v>
      </c>
      <c r="Q855" s="14">
        <v>0.53224960198535898</v>
      </c>
      <c r="R855" s="14"/>
      <c r="S855" s="14">
        <v>0.57242473595542298</v>
      </c>
      <c r="T855" s="14">
        <v>0.73240537243014103</v>
      </c>
      <c r="U855" s="14">
        <v>0.57666368848164096</v>
      </c>
      <c r="V855" s="14">
        <v>0.65496815684250798</v>
      </c>
      <c r="W855" s="14">
        <v>0.74349337791130798</v>
      </c>
      <c r="X855" s="14">
        <v>0.63362930081226698</v>
      </c>
      <c r="Y855" s="14">
        <v>0.75133745598391899</v>
      </c>
      <c r="Z855" s="14">
        <v>0.82000811986169897</v>
      </c>
      <c r="AA855" s="14">
        <v>0.66941867811058198</v>
      </c>
      <c r="AB855" s="14"/>
      <c r="AC855" s="14">
        <v>0.53106690566273096</v>
      </c>
      <c r="AD855" s="14">
        <v>0.68291422423223502</v>
      </c>
      <c r="AE855" s="14">
        <v>0.74339847567744299</v>
      </c>
      <c r="AF855" s="14">
        <v>0.68050038034294202</v>
      </c>
      <c r="AG855" s="14">
        <v>0.71131568712820004</v>
      </c>
      <c r="AH855" s="14"/>
      <c r="AI855" s="14">
        <v>0.78958802391948402</v>
      </c>
      <c r="AJ855" s="14">
        <v>0.65890606568593002</v>
      </c>
      <c r="AK855" s="14">
        <v>0.60242501551337102</v>
      </c>
      <c r="AL855" s="14">
        <v>0.45958545518166399</v>
      </c>
      <c r="AM855" s="14">
        <v>0.72530308813345701</v>
      </c>
      <c r="AN855" s="14">
        <v>0.61357940837690095</v>
      </c>
      <c r="AO855" s="14"/>
      <c r="AP855" s="14">
        <v>0.65469754260053503</v>
      </c>
      <c r="AQ855" s="14">
        <v>0.67368262185175998</v>
      </c>
      <c r="AR855" s="14"/>
      <c r="AS855" s="14">
        <v>0.66722182838218902</v>
      </c>
      <c r="AT855" s="14" t="s">
        <v>88</v>
      </c>
      <c r="AU855" s="14">
        <v>0</v>
      </c>
      <c r="AV855" s="14"/>
      <c r="AW855" s="14">
        <v>0.65150320207030099</v>
      </c>
      <c r="AX855" s="14">
        <v>0.70112629250671799</v>
      </c>
      <c r="AY855" s="14"/>
      <c r="AZ855" s="14">
        <v>0.65413324799777395</v>
      </c>
      <c r="BA855" s="14">
        <v>0.74139119334936898</v>
      </c>
    </row>
    <row r="856" spans="2:53" x14ac:dyDescent="0.35">
      <c r="B856" t="s">
        <v>233</v>
      </c>
      <c r="C856" s="14">
        <v>0.10339754237736901</v>
      </c>
      <c r="D856" s="14">
        <v>0.107749163059421</v>
      </c>
      <c r="E856" s="14">
        <v>9.8001762837815906E-2</v>
      </c>
      <c r="F856" s="14"/>
      <c r="G856" s="14">
        <v>0.120676462124749</v>
      </c>
      <c r="H856" s="14">
        <v>3.2695592316866501E-2</v>
      </c>
      <c r="I856" s="14">
        <v>0.132222505848899</v>
      </c>
      <c r="J856" s="14">
        <v>6.67866290894846E-2</v>
      </c>
      <c r="K856" s="14">
        <v>0.19711581887826801</v>
      </c>
      <c r="L856" s="14" t="s">
        <v>88</v>
      </c>
      <c r="M856" s="14"/>
      <c r="N856" s="14">
        <v>8.1962662984692694E-2</v>
      </c>
      <c r="O856" s="14">
        <v>0.14502469732217901</v>
      </c>
      <c r="P856" s="14">
        <v>4.6067309538998097E-2</v>
      </c>
      <c r="Q856" s="14">
        <v>0.11864064174948</v>
      </c>
      <c r="R856" s="14"/>
      <c r="S856" s="14">
        <v>9.2307413971551497E-2</v>
      </c>
      <c r="T856" s="14">
        <v>0.18136876655882</v>
      </c>
      <c r="U856" s="14">
        <v>0.13165808779260499</v>
      </c>
      <c r="V856" s="14">
        <v>4.8036947456207402E-2</v>
      </c>
      <c r="W856" s="14">
        <v>0.17603434411392599</v>
      </c>
      <c r="X856" s="14">
        <v>5.5730203945242897E-2</v>
      </c>
      <c r="Y856" s="14">
        <v>0</v>
      </c>
      <c r="Z856" s="14">
        <v>6.22067059100102E-2</v>
      </c>
      <c r="AA856" s="14">
        <v>0.10200350653653199</v>
      </c>
      <c r="AB856" s="14"/>
      <c r="AC856" s="14">
        <v>0.17402760045958801</v>
      </c>
      <c r="AD856" s="14">
        <v>0.14580562021968799</v>
      </c>
      <c r="AE856" s="14">
        <v>9.5223840349083502E-2</v>
      </c>
      <c r="AF856" s="14">
        <v>6.1724674505866099E-2</v>
      </c>
      <c r="AG856" s="14">
        <v>5.6610939218156103E-2</v>
      </c>
      <c r="AH856" s="14"/>
      <c r="AI856" s="14">
        <v>4.9643284458153698E-2</v>
      </c>
      <c r="AJ856" s="14">
        <v>0.18443046141664399</v>
      </c>
      <c r="AK856" s="14">
        <v>7.5744809754414805E-2</v>
      </c>
      <c r="AL856" s="14">
        <v>0.150156785830074</v>
      </c>
      <c r="AM856" s="14">
        <v>0</v>
      </c>
      <c r="AN856" s="14">
        <v>9.7106638505499193E-2</v>
      </c>
      <c r="AO856" s="14"/>
      <c r="AP856" s="14">
        <v>6.4899680336446205E-2</v>
      </c>
      <c r="AQ856" s="14">
        <v>0.137273773792839</v>
      </c>
      <c r="AR856" s="14"/>
      <c r="AS856" s="14">
        <v>0.103774798719628</v>
      </c>
      <c r="AT856" s="14" t="s">
        <v>88</v>
      </c>
      <c r="AU856" s="14">
        <v>0</v>
      </c>
      <c r="AV856" s="14"/>
      <c r="AW856" s="14">
        <v>0.13292726182512901</v>
      </c>
      <c r="AX856" s="14">
        <v>4.2409368658629099E-2</v>
      </c>
      <c r="AY856" s="14"/>
      <c r="AZ856" s="14">
        <v>0.116296076078709</v>
      </c>
      <c r="BA856" s="14">
        <v>4.8422995350805499E-2</v>
      </c>
    </row>
    <row r="857" spans="2:53" x14ac:dyDescent="0.35">
      <c r="B857" t="s">
        <v>116</v>
      </c>
      <c r="C857" s="14">
        <v>0.11627921388784</v>
      </c>
      <c r="D857" s="14">
        <v>0.106848885974137</v>
      </c>
      <c r="E857" s="14">
        <v>0.127972321841366</v>
      </c>
      <c r="F857" s="14"/>
      <c r="G857" s="14">
        <v>0</v>
      </c>
      <c r="H857" s="14">
        <v>0.118590452190768</v>
      </c>
      <c r="I857" s="14">
        <v>0.12519595678491999</v>
      </c>
      <c r="J857" s="14">
        <v>0.11674043151339</v>
      </c>
      <c r="K857" s="14">
        <v>0</v>
      </c>
      <c r="L857" s="14" t="s">
        <v>88</v>
      </c>
      <c r="M857" s="14"/>
      <c r="N857" s="14">
        <v>3.3680210812626302E-2</v>
      </c>
      <c r="O857" s="14">
        <v>0.109202893091161</v>
      </c>
      <c r="P857" s="14">
        <v>0.19196775834723301</v>
      </c>
      <c r="Q857" s="14">
        <v>0.16892783747746801</v>
      </c>
      <c r="R857" s="14"/>
      <c r="S857" s="14">
        <v>8.3106497866077295E-2</v>
      </c>
      <c r="T857" s="14">
        <v>2.38585243558469E-2</v>
      </c>
      <c r="U857" s="14">
        <v>0.18952342910643999</v>
      </c>
      <c r="V857" s="14">
        <v>0.19785738135664999</v>
      </c>
      <c r="W857" s="14">
        <v>8.0472277974765402E-2</v>
      </c>
      <c r="X857" s="14">
        <v>9.1155324184570299E-2</v>
      </c>
      <c r="Y857" s="14">
        <v>0.24866254401608101</v>
      </c>
      <c r="Z857" s="14">
        <v>0.117785174228291</v>
      </c>
      <c r="AA857" s="14">
        <v>0.12636532624501201</v>
      </c>
      <c r="AB857" s="14"/>
      <c r="AC857" s="14">
        <v>0.17424174362009201</v>
      </c>
      <c r="AD857" s="14">
        <v>7.2370768636560903E-2</v>
      </c>
      <c r="AE857" s="14">
        <v>8.6249568087386305E-2</v>
      </c>
      <c r="AF857" s="14">
        <v>6.36595702475031E-2</v>
      </c>
      <c r="AG857" s="14">
        <v>0</v>
      </c>
      <c r="AH857" s="14"/>
      <c r="AI857" s="14">
        <v>1.6090804123654601E-2</v>
      </c>
      <c r="AJ857" s="14">
        <v>4.5156765947731298E-2</v>
      </c>
      <c r="AK857" s="14">
        <v>0.248236364350787</v>
      </c>
      <c r="AL857" s="14">
        <v>0.209365530404788</v>
      </c>
      <c r="AM857" s="14">
        <v>0.15364422652597201</v>
      </c>
      <c r="AN857" s="14">
        <v>0.216303308556301</v>
      </c>
      <c r="AO857" s="14"/>
      <c r="AP857" s="14">
        <v>0.14051974611745799</v>
      </c>
      <c r="AQ857" s="14">
        <v>9.4948733806328095E-2</v>
      </c>
      <c r="AR857" s="14"/>
      <c r="AS857" s="14">
        <v>0.11305486963669199</v>
      </c>
      <c r="AT857" s="14" t="s">
        <v>88</v>
      </c>
      <c r="AU857" s="14">
        <v>1</v>
      </c>
      <c r="AV857" s="14"/>
      <c r="AW857" s="14">
        <v>0.14583484782247499</v>
      </c>
      <c r="AX857" s="14">
        <v>0</v>
      </c>
      <c r="AY857" s="14"/>
      <c r="AZ857" s="14">
        <v>0.101911520454944</v>
      </c>
      <c r="BA857" s="14">
        <v>0.14560842395889101</v>
      </c>
    </row>
    <row r="858" spans="2:53" x14ac:dyDescent="0.35"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</row>
    <row r="859" spans="2:53" x14ac:dyDescent="0.35">
      <c r="B859" s="6" t="s">
        <v>281</v>
      </c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</row>
    <row r="860" spans="2:53" x14ac:dyDescent="0.35">
      <c r="B860" s="24" t="s">
        <v>219</v>
      </c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</row>
    <row r="861" spans="2:53" x14ac:dyDescent="0.35">
      <c r="B861" t="s">
        <v>235</v>
      </c>
      <c r="C861" s="14">
        <v>0.38102516068106601</v>
      </c>
      <c r="D861" s="14">
        <v>0.34107433842607299</v>
      </c>
      <c r="E861" s="14">
        <v>0.43056206774672201</v>
      </c>
      <c r="F861" s="14"/>
      <c r="G861" s="14">
        <v>0.57260386005735298</v>
      </c>
      <c r="H861" s="14">
        <v>0.39375576373020499</v>
      </c>
      <c r="I861" s="14">
        <v>0.378786782246817</v>
      </c>
      <c r="J861" s="14">
        <v>0.32046111509531799</v>
      </c>
      <c r="K861" s="14">
        <v>0.39846486166102502</v>
      </c>
      <c r="L861" s="14" t="s">
        <v>88</v>
      </c>
      <c r="M861" s="14"/>
      <c r="N861" s="14">
        <v>0.41700561462177199</v>
      </c>
      <c r="O861" s="14">
        <v>0.39055156143423397</v>
      </c>
      <c r="P861" s="14">
        <v>0.43186498009001101</v>
      </c>
      <c r="Q861" s="14">
        <v>0.31234134700093602</v>
      </c>
      <c r="R861" s="14"/>
      <c r="S861" s="14">
        <v>0.363972111060264</v>
      </c>
      <c r="T861" s="14">
        <v>0.46862485842202201</v>
      </c>
      <c r="U861" s="14">
        <v>0.42096829561538601</v>
      </c>
      <c r="V861" s="14">
        <v>0.23360936683858699</v>
      </c>
      <c r="W861" s="14">
        <v>0.44650341353695</v>
      </c>
      <c r="X861" s="14">
        <v>0.54541815755431899</v>
      </c>
      <c r="Y861" s="14">
        <v>0.25970226180669598</v>
      </c>
      <c r="Z861" s="14">
        <v>0.35129729805627502</v>
      </c>
      <c r="AA861" s="14">
        <v>0.37663086558958198</v>
      </c>
      <c r="AB861" s="14"/>
      <c r="AC861" s="14">
        <v>0.42181854984613099</v>
      </c>
      <c r="AD861" s="14">
        <v>0.26675008665622302</v>
      </c>
      <c r="AE861" s="14">
        <v>0.44048676788112001</v>
      </c>
      <c r="AF861" s="14">
        <v>0.44089974144140598</v>
      </c>
      <c r="AG861" s="14">
        <v>0.43844737402419898</v>
      </c>
      <c r="AH861" s="14"/>
      <c r="AI861" s="14">
        <v>0.41517388663251398</v>
      </c>
      <c r="AJ861" s="14">
        <v>0.37280557174356999</v>
      </c>
      <c r="AK861" s="14">
        <v>0.35659044159589298</v>
      </c>
      <c r="AL861" s="14">
        <v>0.115377588525817</v>
      </c>
      <c r="AM861" s="14">
        <v>0.59484270798392502</v>
      </c>
      <c r="AN861" s="14">
        <v>0.40446683131377797</v>
      </c>
      <c r="AO861" s="14"/>
      <c r="AP861" s="14">
        <v>0.32551602828477799</v>
      </c>
      <c r="AQ861" s="14">
        <v>0.42987047611000401</v>
      </c>
      <c r="AR861" s="14"/>
      <c r="AS861" s="14">
        <v>0.37876676866842202</v>
      </c>
      <c r="AT861" s="14" t="s">
        <v>88</v>
      </c>
      <c r="AU861" s="14">
        <v>1</v>
      </c>
      <c r="AV861" s="14"/>
      <c r="AW861" s="14">
        <v>0.335092404237816</v>
      </c>
      <c r="AX861" s="14">
        <v>0.52279364008878004</v>
      </c>
      <c r="AY861" s="14"/>
      <c r="AZ861" s="14">
        <v>0.42605666611348803</v>
      </c>
      <c r="BA861" s="14">
        <v>0.18992949167419501</v>
      </c>
    </row>
    <row r="862" spans="2:53" x14ac:dyDescent="0.35">
      <c r="B862" t="s">
        <v>236</v>
      </c>
      <c r="C862" s="14">
        <v>0.49251765030459999</v>
      </c>
      <c r="D862" s="14">
        <v>0.50670441846005299</v>
      </c>
      <c r="E862" s="14">
        <v>0.47492680796365599</v>
      </c>
      <c r="F862" s="14"/>
      <c r="G862" s="14">
        <v>0.42739613994264702</v>
      </c>
      <c r="H862" s="14">
        <v>0.45075459024110298</v>
      </c>
      <c r="I862" s="14">
        <v>0.51107492066846805</v>
      </c>
      <c r="J862" s="14">
        <v>0.46515086536262201</v>
      </c>
      <c r="K862" s="14">
        <v>0.60153513833897498</v>
      </c>
      <c r="L862" s="14" t="s">
        <v>88</v>
      </c>
      <c r="M862" s="14"/>
      <c r="N862" s="14">
        <v>0.54618075797511501</v>
      </c>
      <c r="O862" s="14">
        <v>0.49017506532079402</v>
      </c>
      <c r="P862" s="14">
        <v>0.51762557616935101</v>
      </c>
      <c r="Q862" s="14">
        <v>0.42812391458362598</v>
      </c>
      <c r="R862" s="14"/>
      <c r="S862" s="14">
        <v>0.47022850963924201</v>
      </c>
      <c r="T862" s="14">
        <v>0.49235084193183798</v>
      </c>
      <c r="U862" s="14">
        <v>0.57903170438461404</v>
      </c>
      <c r="V862" s="14">
        <v>0.45213568972537299</v>
      </c>
      <c r="W862" s="14">
        <v>0.553496586463051</v>
      </c>
      <c r="X862" s="14">
        <v>0.264241692061218</v>
      </c>
      <c r="Y862" s="14">
        <v>0.49163519550571</v>
      </c>
      <c r="Z862" s="14">
        <v>0.64870270194372504</v>
      </c>
      <c r="AA862" s="14">
        <v>0.51116154592805296</v>
      </c>
      <c r="AB862" s="14"/>
      <c r="AC862" s="14">
        <v>0.34310338155929898</v>
      </c>
      <c r="AD862" s="14">
        <v>0.59120395531514902</v>
      </c>
      <c r="AE862" s="14">
        <v>0.45913014871435298</v>
      </c>
      <c r="AF862" s="14">
        <v>0.496626186992149</v>
      </c>
      <c r="AG862" s="14">
        <v>0.53606919120178298</v>
      </c>
      <c r="AH862" s="14"/>
      <c r="AI862" s="14">
        <v>0.52393565375740903</v>
      </c>
      <c r="AJ862" s="14">
        <v>0.51438657740597205</v>
      </c>
      <c r="AK862" s="14">
        <v>0.60316967410871203</v>
      </c>
      <c r="AL862" s="14">
        <v>0.68656395234089995</v>
      </c>
      <c r="AM862" s="14">
        <v>0.40515729201607498</v>
      </c>
      <c r="AN862" s="14">
        <v>0</v>
      </c>
      <c r="AO862" s="14"/>
      <c r="AP862" s="14">
        <v>0.53630715480659596</v>
      </c>
      <c r="AQ862" s="14">
        <v>0.45398503292180897</v>
      </c>
      <c r="AR862" s="14"/>
      <c r="AS862" s="14">
        <v>0.49431465053284501</v>
      </c>
      <c r="AT862" s="14" t="s">
        <v>88</v>
      </c>
      <c r="AU862" s="14">
        <v>0</v>
      </c>
      <c r="AV862" s="14"/>
      <c r="AW862" s="14">
        <v>0.52018179366157202</v>
      </c>
      <c r="AX862" s="14">
        <v>0.462732261951184</v>
      </c>
      <c r="AY862" s="14"/>
      <c r="AZ862" s="14">
        <v>0.45608432928777398</v>
      </c>
      <c r="BA862" s="14">
        <v>0.68037175750551904</v>
      </c>
    </row>
    <row r="863" spans="2:53" x14ac:dyDescent="0.35">
      <c r="B863" t="s">
        <v>237</v>
      </c>
      <c r="C863" s="14">
        <v>8.8116183372472595E-2</v>
      </c>
      <c r="D863" s="14">
        <v>0.131662887279203</v>
      </c>
      <c r="E863" s="14">
        <v>3.4120573202678403E-2</v>
      </c>
      <c r="F863" s="14"/>
      <c r="G863" s="14">
        <v>0</v>
      </c>
      <c r="H863" s="14">
        <v>3.2967270661946199E-2</v>
      </c>
      <c r="I863" s="14">
        <v>9.9806410312669902E-2</v>
      </c>
      <c r="J863" s="14">
        <v>0.18203602146339301</v>
      </c>
      <c r="K863" s="14">
        <v>0</v>
      </c>
      <c r="L863" s="14" t="s">
        <v>88</v>
      </c>
      <c r="M863" s="14"/>
      <c r="N863" s="14">
        <v>2.5177945835984001E-2</v>
      </c>
      <c r="O863" s="14">
        <v>0.103775395210842</v>
      </c>
      <c r="P863" s="14">
        <v>0</v>
      </c>
      <c r="Q863" s="14">
        <v>0.181398862239527</v>
      </c>
      <c r="R863" s="14"/>
      <c r="S863" s="14">
        <v>0.149910318548133</v>
      </c>
      <c r="T863" s="14">
        <v>3.9024299646140098E-2</v>
      </c>
      <c r="U863" s="14">
        <v>0</v>
      </c>
      <c r="V863" s="14">
        <v>0.25364461527052801</v>
      </c>
      <c r="W863" s="14">
        <v>0</v>
      </c>
      <c r="X863" s="14">
        <v>0</v>
      </c>
      <c r="Y863" s="14">
        <v>0.16865403188932099</v>
      </c>
      <c r="Z863" s="14">
        <v>0</v>
      </c>
      <c r="AA863" s="14">
        <v>2.1524433368427999E-2</v>
      </c>
      <c r="AB863" s="14"/>
      <c r="AC863" s="14">
        <v>0.16620760729793599</v>
      </c>
      <c r="AD863" s="14">
        <v>8.0922864502403394E-2</v>
      </c>
      <c r="AE863" s="14">
        <v>0.10038308340452699</v>
      </c>
      <c r="AF863" s="14">
        <v>6.2474071566445397E-2</v>
      </c>
      <c r="AG863" s="14">
        <v>2.54834347740178E-2</v>
      </c>
      <c r="AH863" s="14"/>
      <c r="AI863" s="14">
        <v>6.08904596100769E-2</v>
      </c>
      <c r="AJ863" s="14">
        <v>9.5331137725604906E-2</v>
      </c>
      <c r="AK863" s="14">
        <v>4.02398842953944E-2</v>
      </c>
      <c r="AL863" s="14">
        <v>0.19805845913328299</v>
      </c>
      <c r="AM863" s="14">
        <v>0</v>
      </c>
      <c r="AN863" s="14">
        <v>0.25922956157416199</v>
      </c>
      <c r="AO863" s="14"/>
      <c r="AP863" s="14">
        <v>0.10567630897144301</v>
      </c>
      <c r="AQ863" s="14">
        <v>7.2664133649734397E-2</v>
      </c>
      <c r="AR863" s="14"/>
      <c r="AS863" s="14">
        <v>8.8437684138048103E-2</v>
      </c>
      <c r="AT863" s="14" t="s">
        <v>88</v>
      </c>
      <c r="AU863" s="14">
        <v>0</v>
      </c>
      <c r="AV863" s="14"/>
      <c r="AW863" s="14">
        <v>0.105898315164174</v>
      </c>
      <c r="AX863" s="14">
        <v>1.44740979600357E-2</v>
      </c>
      <c r="AY863" s="14"/>
      <c r="AZ863" s="14">
        <v>9.48460403956633E-2</v>
      </c>
      <c r="BA863" s="14">
        <v>6.0851539439760002E-2</v>
      </c>
    </row>
    <row r="864" spans="2:53" x14ac:dyDescent="0.35">
      <c r="B864" t="s">
        <v>238</v>
      </c>
      <c r="C864" s="14">
        <v>3.8322511894648501E-3</v>
      </c>
      <c r="D864" s="14">
        <v>0</v>
      </c>
      <c r="E864" s="14">
        <v>8.5840400215719294E-3</v>
      </c>
      <c r="F864" s="14"/>
      <c r="G864" s="14">
        <v>0</v>
      </c>
      <c r="H864" s="14">
        <v>1.6456105676402901E-2</v>
      </c>
      <c r="I864" s="14">
        <v>0</v>
      </c>
      <c r="J864" s="14">
        <v>0</v>
      </c>
      <c r="K864" s="14">
        <v>0</v>
      </c>
      <c r="L864" s="14" t="s">
        <v>88</v>
      </c>
      <c r="M864" s="14"/>
      <c r="N864" s="14">
        <v>0</v>
      </c>
      <c r="O864" s="14">
        <v>1.5497978034130199E-2</v>
      </c>
      <c r="P864" s="14">
        <v>0</v>
      </c>
      <c r="Q864" s="14">
        <v>0</v>
      </c>
      <c r="R864" s="14"/>
      <c r="S864" s="14">
        <v>0</v>
      </c>
      <c r="T864" s="14">
        <v>0</v>
      </c>
      <c r="U864" s="14">
        <v>0</v>
      </c>
      <c r="V864" s="14">
        <v>0</v>
      </c>
      <c r="W864" s="14">
        <v>0</v>
      </c>
      <c r="X864" s="14">
        <v>7.4533296295620999E-2</v>
      </c>
      <c r="Y864" s="14">
        <v>0</v>
      </c>
      <c r="Z864" s="14">
        <v>0</v>
      </c>
      <c r="AA864" s="14">
        <v>0</v>
      </c>
      <c r="AB864" s="14"/>
      <c r="AC864" s="14">
        <v>0</v>
      </c>
      <c r="AD864" s="14">
        <v>2.0918005661323399E-2</v>
      </c>
      <c r="AE864" s="14">
        <v>0</v>
      </c>
      <c r="AF864" s="14">
        <v>0</v>
      </c>
      <c r="AG864" s="14">
        <v>0</v>
      </c>
      <c r="AH864" s="14"/>
      <c r="AI864" s="14">
        <v>0</v>
      </c>
      <c r="AJ864" s="14">
        <v>0</v>
      </c>
      <c r="AK864" s="14">
        <v>0</v>
      </c>
      <c r="AL864" s="14">
        <v>0</v>
      </c>
      <c r="AM864" s="14">
        <v>0</v>
      </c>
      <c r="AN864" s="14">
        <v>4.6989653994459701E-2</v>
      </c>
      <c r="AO864" s="14"/>
      <c r="AP864" s="14">
        <v>8.1873246859461707E-3</v>
      </c>
      <c r="AQ864" s="14">
        <v>0</v>
      </c>
      <c r="AR864" s="14"/>
      <c r="AS864" s="14">
        <v>3.8462335437173399E-3</v>
      </c>
      <c r="AT864" s="14" t="s">
        <v>88</v>
      </c>
      <c r="AU864" s="14">
        <v>0</v>
      </c>
      <c r="AV864" s="14"/>
      <c r="AW864" s="14">
        <v>5.5190207044079204E-3</v>
      </c>
      <c r="AX864" s="14">
        <v>0</v>
      </c>
      <c r="AY864" s="14"/>
      <c r="AZ864" s="14">
        <v>4.7009032006792104E-3</v>
      </c>
      <c r="BA864" s="14">
        <v>0</v>
      </c>
    </row>
    <row r="865" spans="2:53" x14ac:dyDescent="0.35">
      <c r="B865" t="s">
        <v>116</v>
      </c>
      <c r="C865" s="14">
        <v>3.4508754452396102E-2</v>
      </c>
      <c r="D865" s="14">
        <v>2.0558355834671398E-2</v>
      </c>
      <c r="E865" s="14">
        <v>5.1806511065371E-2</v>
      </c>
      <c r="F865" s="14"/>
      <c r="G865" s="14">
        <v>0</v>
      </c>
      <c r="H865" s="14">
        <v>0.106066269690342</v>
      </c>
      <c r="I865" s="14">
        <v>1.03318867720457E-2</v>
      </c>
      <c r="J865" s="14">
        <v>3.2351998078666899E-2</v>
      </c>
      <c r="K865" s="14">
        <v>0</v>
      </c>
      <c r="L865" s="14" t="s">
        <v>88</v>
      </c>
      <c r="M865" s="14"/>
      <c r="N865" s="14">
        <v>1.1635681567129101E-2</v>
      </c>
      <c r="O865" s="14">
        <v>0</v>
      </c>
      <c r="P865" s="14">
        <v>5.0509443740637601E-2</v>
      </c>
      <c r="Q865" s="14">
        <v>7.8135876175910002E-2</v>
      </c>
      <c r="R865" s="14"/>
      <c r="S865" s="14">
        <v>1.5889060752360899E-2</v>
      </c>
      <c r="T865" s="14">
        <v>0</v>
      </c>
      <c r="U865" s="14">
        <v>0</v>
      </c>
      <c r="V865" s="14">
        <v>6.0610328165511602E-2</v>
      </c>
      <c r="W865" s="14">
        <v>0</v>
      </c>
      <c r="X865" s="14">
        <v>0.115806854088843</v>
      </c>
      <c r="Y865" s="14">
        <v>8.0008510798272897E-2</v>
      </c>
      <c r="Z865" s="14">
        <v>0</v>
      </c>
      <c r="AA865" s="14">
        <v>9.0683155113936501E-2</v>
      </c>
      <c r="AB865" s="14"/>
      <c r="AC865" s="14">
        <v>6.8870461296634003E-2</v>
      </c>
      <c r="AD865" s="14">
        <v>4.0205087864900999E-2</v>
      </c>
      <c r="AE865" s="14">
        <v>0</v>
      </c>
      <c r="AF865" s="14">
        <v>0</v>
      </c>
      <c r="AG865" s="14">
        <v>0</v>
      </c>
      <c r="AH865" s="14"/>
      <c r="AI865" s="14">
        <v>0</v>
      </c>
      <c r="AJ865" s="14">
        <v>1.74767131248534E-2</v>
      </c>
      <c r="AK865" s="14">
        <v>0</v>
      </c>
      <c r="AL865" s="14">
        <v>0</v>
      </c>
      <c r="AM865" s="14">
        <v>0</v>
      </c>
      <c r="AN865" s="14">
        <v>0.2893139531176</v>
      </c>
      <c r="AO865" s="14"/>
      <c r="AP865" s="14">
        <v>2.4313183251236499E-2</v>
      </c>
      <c r="AQ865" s="14">
        <v>4.3480357318452401E-2</v>
      </c>
      <c r="AR865" s="14"/>
      <c r="AS865" s="14">
        <v>3.4634663116967002E-2</v>
      </c>
      <c r="AT865" s="14" t="s">
        <v>88</v>
      </c>
      <c r="AU865" s="14">
        <v>0</v>
      </c>
      <c r="AV865" s="14"/>
      <c r="AW865" s="14">
        <v>3.33084662320298E-2</v>
      </c>
      <c r="AX865" s="14">
        <v>0</v>
      </c>
      <c r="AY865" s="14"/>
      <c r="AZ865" s="14">
        <v>1.83120610023959E-2</v>
      </c>
      <c r="BA865" s="14">
        <v>6.8847211380525797E-2</v>
      </c>
    </row>
    <row r="866" spans="2:53" x14ac:dyDescent="0.35"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</row>
    <row r="867" spans="2:53" x14ac:dyDescent="0.35">
      <c r="B867" s="6" t="s">
        <v>282</v>
      </c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</row>
    <row r="868" spans="2:53" x14ac:dyDescent="0.35">
      <c r="B868" s="24" t="s">
        <v>219</v>
      </c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</row>
    <row r="869" spans="2:53" x14ac:dyDescent="0.35">
      <c r="B869" t="s">
        <v>220</v>
      </c>
      <c r="C869" s="14">
        <v>0.40410790833798799</v>
      </c>
      <c r="D869" s="14">
        <v>0.481421811368615</v>
      </c>
      <c r="E869" s="14">
        <v>0.30824275680577801</v>
      </c>
      <c r="F869" s="14"/>
      <c r="G869" s="14">
        <v>0.85057966740069002</v>
      </c>
      <c r="H869" s="14">
        <v>0.39233723664415698</v>
      </c>
      <c r="I869" s="14">
        <v>0.40837806569107998</v>
      </c>
      <c r="J869" s="14">
        <v>0.31713113443783097</v>
      </c>
      <c r="K869" s="14">
        <v>0.37138493590083099</v>
      </c>
      <c r="L869" s="14" t="s">
        <v>88</v>
      </c>
      <c r="M869" s="14"/>
      <c r="N869" s="14">
        <v>0.47734860323832801</v>
      </c>
      <c r="O869" s="14">
        <v>0.39567580245269701</v>
      </c>
      <c r="P869" s="14">
        <v>0.22266677342772001</v>
      </c>
      <c r="Q869" s="14">
        <v>0.42467774664273999</v>
      </c>
      <c r="R869" s="14"/>
      <c r="S869" s="14">
        <v>0.44503649623533797</v>
      </c>
      <c r="T869" s="14">
        <v>0.55269184331479904</v>
      </c>
      <c r="U869" s="14">
        <v>0.31068198084794701</v>
      </c>
      <c r="V869" s="14">
        <v>0.30363291349182298</v>
      </c>
      <c r="W869" s="14">
        <v>0.36603113556218397</v>
      </c>
      <c r="X869" s="14">
        <v>0.34215570298623199</v>
      </c>
      <c r="Y869" s="14">
        <v>0.37686279890475999</v>
      </c>
      <c r="Z869" s="14">
        <v>0.305016180573212</v>
      </c>
      <c r="AA869" s="14">
        <v>0.35972730006916698</v>
      </c>
      <c r="AB869" s="14"/>
      <c r="AC869" s="14">
        <v>0.332644796150253</v>
      </c>
      <c r="AD869" s="14">
        <v>0.452995388954748</v>
      </c>
      <c r="AE869" s="14">
        <v>0.44134781494505398</v>
      </c>
      <c r="AF869" s="14">
        <v>0.34418856274059501</v>
      </c>
      <c r="AG869" s="14">
        <v>0.47559024561394803</v>
      </c>
      <c r="AH869" s="14"/>
      <c r="AI869" s="14">
        <v>0.42886833314441902</v>
      </c>
      <c r="AJ869" s="14">
        <v>0.409277435928318</v>
      </c>
      <c r="AK869" s="14">
        <v>0.25066881096524901</v>
      </c>
      <c r="AL869" s="14">
        <v>0.57380893283558598</v>
      </c>
      <c r="AM869" s="14">
        <v>0.44086877951859399</v>
      </c>
      <c r="AN869" s="14">
        <v>0.21514223178766601</v>
      </c>
      <c r="AO869" s="14"/>
      <c r="AP869" s="14">
        <v>0.37768937071317199</v>
      </c>
      <c r="AQ869" s="14">
        <v>0.42735492640058198</v>
      </c>
      <c r="AR869" s="14"/>
      <c r="AS869" s="14">
        <v>0.40558233672257499</v>
      </c>
      <c r="AT869" s="14" t="s">
        <v>88</v>
      </c>
      <c r="AU869" s="14">
        <v>0</v>
      </c>
      <c r="AV869" s="14"/>
      <c r="AW869" s="14">
        <v>0.40344960832432902</v>
      </c>
      <c r="AX869" s="14">
        <v>0.47376854786248701</v>
      </c>
      <c r="AY869" s="14"/>
      <c r="AZ869" s="14">
        <v>0.45194832714502797</v>
      </c>
      <c r="BA869" s="14">
        <v>0.201063926128041</v>
      </c>
    </row>
    <row r="870" spans="2:53" x14ac:dyDescent="0.35">
      <c r="B870" t="s">
        <v>221</v>
      </c>
      <c r="C870" s="14">
        <v>0.44323561252989702</v>
      </c>
      <c r="D870" s="14">
        <v>0.40982192044964</v>
      </c>
      <c r="E870" s="14">
        <v>0.48466682385104298</v>
      </c>
      <c r="F870" s="14"/>
      <c r="G870" s="14">
        <v>0.14942033259931001</v>
      </c>
      <c r="H870" s="14">
        <v>0.45974633018356298</v>
      </c>
      <c r="I870" s="14">
        <v>0.46213778670765099</v>
      </c>
      <c r="J870" s="14">
        <v>0.44290608417553801</v>
      </c>
      <c r="K870" s="14">
        <v>0.145019652620479</v>
      </c>
      <c r="L870" s="14" t="s">
        <v>88</v>
      </c>
      <c r="M870" s="14"/>
      <c r="N870" s="14">
        <v>0.41452430155193198</v>
      </c>
      <c r="O870" s="14">
        <v>0.48227790023287198</v>
      </c>
      <c r="P870" s="14">
        <v>0.57562948414495396</v>
      </c>
      <c r="Q870" s="14">
        <v>0.37632202590656499</v>
      </c>
      <c r="R870" s="14"/>
      <c r="S870" s="14">
        <v>0.50772455182038101</v>
      </c>
      <c r="T870" s="14">
        <v>0.384425343798943</v>
      </c>
      <c r="U870" s="14">
        <v>0.40496553994912998</v>
      </c>
      <c r="V870" s="14">
        <v>0.38617963104826297</v>
      </c>
      <c r="W870" s="14">
        <v>0.553496586463051</v>
      </c>
      <c r="X870" s="14">
        <v>0.52497888133320403</v>
      </c>
      <c r="Y870" s="14">
        <v>0.35519781712124798</v>
      </c>
      <c r="Z870" s="14">
        <v>0.61178888176388602</v>
      </c>
      <c r="AA870" s="14">
        <v>0.42436125457396301</v>
      </c>
      <c r="AB870" s="14"/>
      <c r="AC870" s="14">
        <v>0.49245209915689198</v>
      </c>
      <c r="AD870" s="14">
        <v>0.343633262756596</v>
      </c>
      <c r="AE870" s="14">
        <v>0.42696934103118001</v>
      </c>
      <c r="AF870" s="14">
        <v>0.52632973532304095</v>
      </c>
      <c r="AG870" s="14">
        <v>0.48559288265663397</v>
      </c>
      <c r="AH870" s="14"/>
      <c r="AI870" s="14">
        <v>0.444443091786761</v>
      </c>
      <c r="AJ870" s="14">
        <v>0.50223513359493299</v>
      </c>
      <c r="AK870" s="14">
        <v>0.48261806511362498</v>
      </c>
      <c r="AL870" s="14">
        <v>0.30626691100067499</v>
      </c>
      <c r="AM870" s="14">
        <v>0.231457904627522</v>
      </c>
      <c r="AN870" s="14">
        <v>0.63508488770427396</v>
      </c>
      <c r="AO870" s="14"/>
      <c r="AP870" s="14">
        <v>0.50929273515082296</v>
      </c>
      <c r="AQ870" s="14">
        <v>0.38510858276996401</v>
      </c>
      <c r="AR870" s="14"/>
      <c r="AS870" s="14">
        <v>0.44485280228216301</v>
      </c>
      <c r="AT870" s="14" t="s">
        <v>88</v>
      </c>
      <c r="AU870" s="14">
        <v>0</v>
      </c>
      <c r="AV870" s="14"/>
      <c r="AW870" s="14">
        <v>0.41438698695264897</v>
      </c>
      <c r="AX870" s="14">
        <v>0.44011790718066002</v>
      </c>
      <c r="AY870" s="14"/>
      <c r="AZ870" s="14">
        <v>0.42766789528190302</v>
      </c>
      <c r="BA870" s="14">
        <v>0.53316879213712698</v>
      </c>
    </row>
    <row r="871" spans="2:53" x14ac:dyDescent="0.35">
      <c r="B871" t="s">
        <v>222</v>
      </c>
      <c r="C871" s="14">
        <v>3.4097212136473702E-2</v>
      </c>
      <c r="D871" s="14">
        <v>3.7732692125783597E-2</v>
      </c>
      <c r="E871" s="14">
        <v>2.9589409187637299E-2</v>
      </c>
      <c r="F871" s="14"/>
      <c r="G871" s="14">
        <v>0</v>
      </c>
      <c r="H871" s="14">
        <v>1.6704526530573499E-2</v>
      </c>
      <c r="I871" s="14">
        <v>4.7086216554878199E-2</v>
      </c>
      <c r="J871" s="14">
        <v>1.52855687652359E-2</v>
      </c>
      <c r="K871" s="14">
        <v>0</v>
      </c>
      <c r="L871" s="14" t="s">
        <v>88</v>
      </c>
      <c r="M871" s="14"/>
      <c r="N871" s="14">
        <v>3.7287209714544099E-2</v>
      </c>
      <c r="O871" s="14">
        <v>3.7689998294645498E-2</v>
      </c>
      <c r="P871" s="14">
        <v>0</v>
      </c>
      <c r="Q871" s="14">
        <v>4.4400180315875698E-2</v>
      </c>
      <c r="R871" s="14"/>
      <c r="S871" s="14">
        <v>2.59890027363162E-2</v>
      </c>
      <c r="T871" s="14">
        <v>2.38585243558469E-2</v>
      </c>
      <c r="U871" s="14">
        <v>0.131658077095855</v>
      </c>
      <c r="V871" s="14">
        <v>3.2010539893106302E-2</v>
      </c>
      <c r="W871" s="14">
        <v>0</v>
      </c>
      <c r="X871" s="14">
        <v>0</v>
      </c>
      <c r="Y871" s="14">
        <v>0</v>
      </c>
      <c r="Z871" s="14">
        <v>0</v>
      </c>
      <c r="AA871" s="14">
        <v>4.9039965874864401E-2</v>
      </c>
      <c r="AB871" s="14"/>
      <c r="AC871" s="14">
        <v>0</v>
      </c>
      <c r="AD871" s="14">
        <v>2.4442450017349401E-2</v>
      </c>
      <c r="AE871" s="14">
        <v>2.7292891136564901E-2</v>
      </c>
      <c r="AF871" s="14">
        <v>2.8018107345265501E-2</v>
      </c>
      <c r="AG871" s="14">
        <v>2.5483435224925799E-2</v>
      </c>
      <c r="AH871" s="14"/>
      <c r="AI871" s="14">
        <v>2.7679234689797699E-2</v>
      </c>
      <c r="AJ871" s="14">
        <v>0</v>
      </c>
      <c r="AK871" s="14">
        <v>0.17903486589923301</v>
      </c>
      <c r="AL871" s="14">
        <v>1.6577489068114799E-2</v>
      </c>
      <c r="AM871" s="14">
        <v>0</v>
      </c>
      <c r="AN871" s="14">
        <v>0</v>
      </c>
      <c r="AO871" s="14"/>
      <c r="AP871" s="14">
        <v>4.4624281513285201E-2</v>
      </c>
      <c r="AQ871" s="14">
        <v>2.4833907126016401E-2</v>
      </c>
      <c r="AR871" s="14"/>
      <c r="AS871" s="14">
        <v>3.4221619247475403E-2</v>
      </c>
      <c r="AT871" s="14" t="s">
        <v>88</v>
      </c>
      <c r="AU871" s="14">
        <v>0</v>
      </c>
      <c r="AV871" s="14"/>
      <c r="AW871" s="14">
        <v>3.9717995438870002E-2</v>
      </c>
      <c r="AX871" s="14">
        <v>2.4911282731194001E-2</v>
      </c>
      <c r="AY871" s="14"/>
      <c r="AZ871" s="14">
        <v>3.63330368209566E-2</v>
      </c>
      <c r="BA871" s="14">
        <v>2.5239449505786701E-2</v>
      </c>
    </row>
    <row r="872" spans="2:53" x14ac:dyDescent="0.35">
      <c r="B872" t="s">
        <v>223</v>
      </c>
      <c r="C872" s="14">
        <v>5.9543985894559698E-3</v>
      </c>
      <c r="D872" s="14">
        <v>0</v>
      </c>
      <c r="E872" s="14">
        <v>1.33375379820598E-2</v>
      </c>
      <c r="F872" s="14"/>
      <c r="G872" s="14">
        <v>0</v>
      </c>
      <c r="H872" s="14">
        <v>2.5568838675524001E-2</v>
      </c>
      <c r="I872" s="14">
        <v>0</v>
      </c>
      <c r="J872" s="14">
        <v>0</v>
      </c>
      <c r="K872" s="14">
        <v>0</v>
      </c>
      <c r="L872" s="14" t="s">
        <v>88</v>
      </c>
      <c r="M872" s="14"/>
      <c r="N872" s="14">
        <v>0</v>
      </c>
      <c r="O872" s="14">
        <v>0</v>
      </c>
      <c r="P872" s="14">
        <v>0</v>
      </c>
      <c r="Q872" s="14">
        <v>1.9718201011363599E-2</v>
      </c>
      <c r="R872" s="14"/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>
        <v>0.115806854088843</v>
      </c>
      <c r="Y872" s="14">
        <v>0</v>
      </c>
      <c r="Z872" s="14">
        <v>0</v>
      </c>
      <c r="AA872" s="14">
        <v>0</v>
      </c>
      <c r="AB872" s="14"/>
      <c r="AC872" s="14">
        <v>6.8870461296634003E-2</v>
      </c>
      <c r="AD872" s="14">
        <v>0</v>
      </c>
      <c r="AE872" s="14">
        <v>0</v>
      </c>
      <c r="AF872" s="14">
        <v>0</v>
      </c>
      <c r="AG872" s="14">
        <v>0</v>
      </c>
      <c r="AH872" s="14"/>
      <c r="AI872" s="14">
        <v>0</v>
      </c>
      <c r="AJ872" s="14">
        <v>0</v>
      </c>
      <c r="AK872" s="14">
        <v>0</v>
      </c>
      <c r="AL872" s="14">
        <v>0</v>
      </c>
      <c r="AM872" s="14">
        <v>0</v>
      </c>
      <c r="AN872" s="14">
        <v>7.3010644561299395E-2</v>
      </c>
      <c r="AO872" s="14"/>
      <c r="AP872" s="14">
        <v>0</v>
      </c>
      <c r="AQ872" s="14">
        <v>1.1193977461185001E-2</v>
      </c>
      <c r="AR872" s="14"/>
      <c r="AS872" s="14">
        <v>5.9761238121311304E-3</v>
      </c>
      <c r="AT872" s="14" t="s">
        <v>88</v>
      </c>
      <c r="AU872" s="14">
        <v>0</v>
      </c>
      <c r="AV872" s="14"/>
      <c r="AW872" s="14">
        <v>8.5752335827688399E-3</v>
      </c>
      <c r="AX872" s="14">
        <v>0</v>
      </c>
      <c r="AY872" s="14"/>
      <c r="AZ872" s="14">
        <v>0</v>
      </c>
      <c r="BA872" s="14">
        <v>3.3561344764746703E-2</v>
      </c>
    </row>
    <row r="873" spans="2:53" x14ac:dyDescent="0.35">
      <c r="B873" t="s">
        <v>116</v>
      </c>
      <c r="C873" s="14">
        <v>4.6161737334863097E-2</v>
      </c>
      <c r="D873" s="14">
        <v>3.7944490954731597E-2</v>
      </c>
      <c r="E873" s="14">
        <v>5.6350688332418498E-2</v>
      </c>
      <c r="F873" s="14"/>
      <c r="G873" s="14">
        <v>0</v>
      </c>
      <c r="H873" s="14">
        <v>3.1629170837121599E-2</v>
      </c>
      <c r="I873" s="14">
        <v>2.93623892699258E-2</v>
      </c>
      <c r="J873" s="14">
        <v>0.191528678208055</v>
      </c>
      <c r="K873" s="14">
        <v>0</v>
      </c>
      <c r="L873" s="14" t="s">
        <v>88</v>
      </c>
      <c r="M873" s="14"/>
      <c r="N873" s="14">
        <v>0</v>
      </c>
      <c r="O873" s="14">
        <v>1.6845138151530801E-2</v>
      </c>
      <c r="P873" s="14">
        <v>0.10101887670269601</v>
      </c>
      <c r="Q873" s="14">
        <v>9.02888326061176E-2</v>
      </c>
      <c r="R873" s="14"/>
      <c r="S873" s="14">
        <v>0</v>
      </c>
      <c r="T873" s="14">
        <v>0</v>
      </c>
      <c r="U873" s="14">
        <v>0</v>
      </c>
      <c r="V873" s="14">
        <v>0.21862574616951799</v>
      </c>
      <c r="W873" s="14">
        <v>0</v>
      </c>
      <c r="X873" s="14">
        <v>0</v>
      </c>
      <c r="Y873" s="14">
        <v>0.197169046729538</v>
      </c>
      <c r="Z873" s="14">
        <v>8.3194937662902702E-2</v>
      </c>
      <c r="AA873" s="14">
        <v>0</v>
      </c>
      <c r="AB873" s="14"/>
      <c r="AC873" s="14">
        <v>0.106032643396221</v>
      </c>
      <c r="AD873" s="14">
        <v>4.0205087864900999E-2</v>
      </c>
      <c r="AE873" s="14">
        <v>3.3329161486188599E-2</v>
      </c>
      <c r="AF873" s="14">
        <v>4.2623028710312601E-2</v>
      </c>
      <c r="AG873" s="14">
        <v>0</v>
      </c>
      <c r="AH873" s="14"/>
      <c r="AI873" s="14">
        <v>4.3082417040586303E-2</v>
      </c>
      <c r="AJ873" s="14">
        <v>4.5156765947731298E-2</v>
      </c>
      <c r="AK873" s="14">
        <v>0</v>
      </c>
      <c r="AL873" s="14">
        <v>0</v>
      </c>
      <c r="AM873" s="14">
        <v>0.15364422652597201</v>
      </c>
      <c r="AN873" s="14">
        <v>7.6762235946760599E-2</v>
      </c>
      <c r="AO873" s="14"/>
      <c r="AP873" s="14">
        <v>3.4188366310237597E-2</v>
      </c>
      <c r="AQ873" s="14">
        <v>5.6697716897113302E-2</v>
      </c>
      <c r="AR873" s="14"/>
      <c r="AS873" s="14">
        <v>4.6330163080571099E-2</v>
      </c>
      <c r="AT873" s="14" t="s">
        <v>88</v>
      </c>
      <c r="AU873" s="14">
        <v>0</v>
      </c>
      <c r="AV873" s="14"/>
      <c r="AW873" s="14">
        <v>6.6479876058992304E-2</v>
      </c>
      <c r="AX873" s="14">
        <v>0</v>
      </c>
      <c r="AY873" s="14"/>
      <c r="AZ873" s="14">
        <v>2.5765671793178201E-2</v>
      </c>
      <c r="BA873" s="14">
        <v>0.100279588245433</v>
      </c>
    </row>
    <row r="874" spans="2:53" x14ac:dyDescent="0.35">
      <c r="B874" t="s">
        <v>224</v>
      </c>
      <c r="C874" s="14">
        <v>0.847343520867886</v>
      </c>
      <c r="D874" s="14">
        <v>0.891243731818255</v>
      </c>
      <c r="E874" s="14">
        <v>0.79290958065682104</v>
      </c>
      <c r="F874" s="14"/>
      <c r="G874" s="14">
        <v>1</v>
      </c>
      <c r="H874" s="14">
        <v>0.85208356682772102</v>
      </c>
      <c r="I874" s="14">
        <v>0.87051585239872997</v>
      </c>
      <c r="J874" s="14">
        <v>0.76003721861336804</v>
      </c>
      <c r="K874" s="14">
        <v>0.51640458852130999</v>
      </c>
      <c r="L874" s="14" t="s">
        <v>88</v>
      </c>
      <c r="M874" s="14"/>
      <c r="N874" s="14">
        <v>0.89187290479026005</v>
      </c>
      <c r="O874" s="14">
        <v>0.87795370268556905</v>
      </c>
      <c r="P874" s="14">
        <v>0.79829625757267397</v>
      </c>
      <c r="Q874" s="14">
        <v>0.80099977254930499</v>
      </c>
      <c r="R874" s="14"/>
      <c r="S874" s="14">
        <v>0.95276104805571904</v>
      </c>
      <c r="T874" s="14">
        <v>0.93711718711374103</v>
      </c>
      <c r="U874" s="14">
        <v>0.71564752079707705</v>
      </c>
      <c r="V874" s="14">
        <v>0.689812544540085</v>
      </c>
      <c r="W874" s="14">
        <v>0.91952772202523503</v>
      </c>
      <c r="X874" s="14">
        <v>0.86713458431943602</v>
      </c>
      <c r="Y874" s="14">
        <v>0.73206061602600803</v>
      </c>
      <c r="Z874" s="14">
        <v>0.91680506233709702</v>
      </c>
      <c r="AA874" s="14">
        <v>0.78408855464312999</v>
      </c>
      <c r="AB874" s="14"/>
      <c r="AC874" s="14">
        <v>0.82509689530714503</v>
      </c>
      <c r="AD874" s="14">
        <v>0.796628651711344</v>
      </c>
      <c r="AE874" s="14">
        <v>0.86831715597623504</v>
      </c>
      <c r="AF874" s="14">
        <v>0.87051829806363601</v>
      </c>
      <c r="AG874" s="14">
        <v>0.96118312827058305</v>
      </c>
      <c r="AH874" s="14"/>
      <c r="AI874" s="14">
        <v>0.87331142493117897</v>
      </c>
      <c r="AJ874" s="14">
        <v>0.91151256952325099</v>
      </c>
      <c r="AK874" s="14">
        <v>0.73328687607887399</v>
      </c>
      <c r="AL874" s="14">
        <v>0.88007584383626103</v>
      </c>
      <c r="AM874" s="14">
        <v>0.67232668414611596</v>
      </c>
      <c r="AN874" s="14">
        <v>0.85022711949193996</v>
      </c>
      <c r="AO874" s="14"/>
      <c r="AP874" s="14">
        <v>0.88698210586399495</v>
      </c>
      <c r="AQ874" s="14">
        <v>0.812463509170545</v>
      </c>
      <c r="AR874" s="14"/>
      <c r="AS874" s="14">
        <v>0.85043513900473799</v>
      </c>
      <c r="AT874" s="14" t="s">
        <v>88</v>
      </c>
      <c r="AU874" s="14">
        <v>0</v>
      </c>
      <c r="AV874" s="14"/>
      <c r="AW874" s="14">
        <v>0.81783659527697805</v>
      </c>
      <c r="AX874" s="14">
        <v>0.91388645504314703</v>
      </c>
      <c r="AY874" s="14"/>
      <c r="AZ874" s="14">
        <v>0.87961622242693105</v>
      </c>
      <c r="BA874" s="14">
        <v>0.73423271826516801</v>
      </c>
    </row>
    <row r="875" spans="2:53" x14ac:dyDescent="0.35"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</row>
    <row r="876" spans="2:53" x14ac:dyDescent="0.35">
      <c r="B876" s="6" t="s">
        <v>283</v>
      </c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</row>
    <row r="877" spans="2:53" x14ac:dyDescent="0.35">
      <c r="B877" s="30" t="s">
        <v>320</v>
      </c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</row>
    <row r="878" spans="2:53" x14ac:dyDescent="0.35">
      <c r="B878" t="s">
        <v>154</v>
      </c>
      <c r="C878" s="14">
        <v>0.816844431964456</v>
      </c>
      <c r="D878" s="14">
        <v>0.84799855028775495</v>
      </c>
      <c r="E878" s="14">
        <v>0.79091877730465199</v>
      </c>
      <c r="F878" s="14"/>
      <c r="G878" s="14">
        <v>1</v>
      </c>
      <c r="H878" s="14">
        <v>0.814695500017657</v>
      </c>
      <c r="I878" s="14">
        <v>0.81820573343682101</v>
      </c>
      <c r="J878" s="14">
        <v>0.80337000492533195</v>
      </c>
      <c r="K878" s="14">
        <v>0.89257413255097895</v>
      </c>
      <c r="L878" s="14">
        <v>0.65180798771521298</v>
      </c>
      <c r="M878" s="14"/>
      <c r="N878" s="14">
        <v>0.86063492573092903</v>
      </c>
      <c r="O878" s="14">
        <v>0.81870752384608902</v>
      </c>
      <c r="P878" s="14">
        <v>0.787462761711618</v>
      </c>
      <c r="Q878" s="14">
        <v>0.80732868225503496</v>
      </c>
      <c r="R878" s="14"/>
      <c r="S878" s="14">
        <v>0.80748928459446101</v>
      </c>
      <c r="T878" s="14">
        <v>0.76446942817333996</v>
      </c>
      <c r="U878" s="14">
        <v>0.84653134435479005</v>
      </c>
      <c r="V878" s="14">
        <v>0.88206196311199103</v>
      </c>
      <c r="W878" s="14">
        <v>0.88361872475812697</v>
      </c>
      <c r="X878" s="14">
        <v>0.82191990421901895</v>
      </c>
      <c r="Y878" s="14">
        <v>0.80194798261543299</v>
      </c>
      <c r="Z878" s="14">
        <v>0.55889372625534295</v>
      </c>
      <c r="AA878" s="14">
        <v>0.86135587240517197</v>
      </c>
      <c r="AB878" s="14"/>
      <c r="AC878" s="14">
        <v>0.77018131888061503</v>
      </c>
      <c r="AD878" s="14">
        <v>0.87136079339531203</v>
      </c>
      <c r="AE878" s="14">
        <v>0.86712122332833497</v>
      </c>
      <c r="AF878" s="14">
        <v>0.86438629289922597</v>
      </c>
      <c r="AG878" s="14">
        <v>0.83713461833361302</v>
      </c>
      <c r="AH878" s="14"/>
      <c r="AI878" s="14">
        <v>0.86244588631874297</v>
      </c>
      <c r="AJ878" s="14">
        <v>0.72956162349334097</v>
      </c>
      <c r="AK878" s="14">
        <v>0.76946095433871198</v>
      </c>
      <c r="AL878" s="14">
        <v>0.84659879792803105</v>
      </c>
      <c r="AM878" s="14">
        <v>0.81588929375183505</v>
      </c>
      <c r="AN878" s="14">
        <v>0.62516560542284705</v>
      </c>
      <c r="AO878" s="14"/>
      <c r="AP878" s="14">
        <v>0.82868690658288602</v>
      </c>
      <c r="AQ878" s="14">
        <v>0.80116781043611196</v>
      </c>
      <c r="AR878" s="14"/>
      <c r="AS878" s="14" t="s">
        <v>88</v>
      </c>
      <c r="AT878" s="14">
        <v>0.816844431964456</v>
      </c>
      <c r="AU878" s="14" t="s">
        <v>88</v>
      </c>
      <c r="AV878" s="14"/>
      <c r="AW878" s="14">
        <v>0.82359904802030504</v>
      </c>
      <c r="AX878" s="14">
        <v>0.81569878493437398</v>
      </c>
      <c r="AY878" s="14"/>
      <c r="AZ878" s="14">
        <v>0.84217223636407101</v>
      </c>
      <c r="BA878" s="14">
        <v>0.74779635990259896</v>
      </c>
    </row>
    <row r="879" spans="2:53" x14ac:dyDescent="0.35">
      <c r="B879" t="s">
        <v>155</v>
      </c>
      <c r="C879" s="14">
        <v>9.0828122968457797E-2</v>
      </c>
      <c r="D879" s="14">
        <v>5.4327480035375797E-2</v>
      </c>
      <c r="E879" s="14">
        <v>0.121203017668533</v>
      </c>
      <c r="F879" s="14"/>
      <c r="G879" s="14">
        <v>0</v>
      </c>
      <c r="H879" s="14">
        <v>8.7597293908346793E-2</v>
      </c>
      <c r="I879" s="14">
        <v>0.10555812619006</v>
      </c>
      <c r="J879" s="14">
        <v>5.6912641163465102E-2</v>
      </c>
      <c r="K879" s="14">
        <v>2.3172501302761501E-2</v>
      </c>
      <c r="L879" s="14">
        <v>0.34819201228478702</v>
      </c>
      <c r="M879" s="14"/>
      <c r="N879" s="14">
        <v>8.4289215712627305E-2</v>
      </c>
      <c r="O879" s="14">
        <v>7.9077451219719E-2</v>
      </c>
      <c r="P879" s="14">
        <v>8.9420115849769E-2</v>
      </c>
      <c r="Q879" s="14">
        <v>0.10997544657557599</v>
      </c>
      <c r="R879" s="14"/>
      <c r="S879" s="14">
        <v>8.3311310954400503E-2</v>
      </c>
      <c r="T879" s="14">
        <v>0.12477516341582701</v>
      </c>
      <c r="U879" s="14">
        <v>0.124763427411396</v>
      </c>
      <c r="V879" s="14">
        <v>4.7906833083654198E-2</v>
      </c>
      <c r="W879" s="14">
        <v>8.6990734967444402E-2</v>
      </c>
      <c r="X879" s="14">
        <v>6.2169202723413197E-2</v>
      </c>
      <c r="Y879" s="14">
        <v>0.124000570618212</v>
      </c>
      <c r="Z879" s="14">
        <v>7.9364037923568706E-2</v>
      </c>
      <c r="AA879" s="14">
        <v>7.1208293409355805E-2</v>
      </c>
      <c r="AB879" s="14"/>
      <c r="AC879" s="14">
        <v>0.119922023966629</v>
      </c>
      <c r="AD879" s="14">
        <v>5.75258221548662E-2</v>
      </c>
      <c r="AE879" s="14">
        <v>5.9142412651457803E-2</v>
      </c>
      <c r="AF879" s="14">
        <v>5.0237899584678801E-2</v>
      </c>
      <c r="AG879" s="14">
        <v>4.5555190117427202E-2</v>
      </c>
      <c r="AH879" s="14"/>
      <c r="AI879" s="14">
        <v>9.33645812701904E-2</v>
      </c>
      <c r="AJ879" s="14">
        <v>8.9404392321327006E-2</v>
      </c>
      <c r="AK879" s="14">
        <v>0.176338752801631</v>
      </c>
      <c r="AL879" s="14">
        <v>5.6579543466961001E-2</v>
      </c>
      <c r="AM879" s="14">
        <v>3.8888247941440503E-2</v>
      </c>
      <c r="AN879" s="14">
        <v>0.13015253475157801</v>
      </c>
      <c r="AO879" s="14"/>
      <c r="AP879" s="14">
        <v>9.5645705403621301E-2</v>
      </c>
      <c r="AQ879" s="14">
        <v>8.4450788927131107E-2</v>
      </c>
      <c r="AR879" s="14"/>
      <c r="AS879" s="14" t="s">
        <v>88</v>
      </c>
      <c r="AT879" s="14">
        <v>9.0828122968457797E-2</v>
      </c>
      <c r="AU879" s="14" t="s">
        <v>88</v>
      </c>
      <c r="AV879" s="14"/>
      <c r="AW879" s="14">
        <v>8.6655025575367195E-2</v>
      </c>
      <c r="AX879" s="14">
        <v>8.7190693930928903E-2</v>
      </c>
      <c r="AY879" s="14"/>
      <c r="AZ879" s="14">
        <v>8.3984434186283E-2</v>
      </c>
      <c r="BA879" s="14">
        <v>0.11919543441154</v>
      </c>
    </row>
    <row r="880" spans="2:53" x14ac:dyDescent="0.35">
      <c r="B880" t="s">
        <v>116</v>
      </c>
      <c r="C880" s="14">
        <v>9.2327445067086095E-2</v>
      </c>
      <c r="D880" s="14">
        <v>9.7673969676869601E-2</v>
      </c>
      <c r="E880" s="14">
        <v>8.7878205026814094E-2</v>
      </c>
      <c r="F880" s="14"/>
      <c r="G880" s="14">
        <v>0</v>
      </c>
      <c r="H880" s="14">
        <v>9.7707206073996106E-2</v>
      </c>
      <c r="I880" s="14">
        <v>7.6236140373118502E-2</v>
      </c>
      <c r="J880" s="14">
        <v>0.13971735391120299</v>
      </c>
      <c r="K880" s="14">
        <v>8.4253366146259404E-2</v>
      </c>
      <c r="L880" s="14">
        <v>0</v>
      </c>
      <c r="M880" s="14"/>
      <c r="N880" s="14">
        <v>5.5075858556444098E-2</v>
      </c>
      <c r="O880" s="14">
        <v>0.102215024934192</v>
      </c>
      <c r="P880" s="14">
        <v>0.123117122438613</v>
      </c>
      <c r="Q880" s="14">
        <v>8.2695871169388896E-2</v>
      </c>
      <c r="R880" s="14"/>
      <c r="S880" s="14">
        <v>0.109199404451139</v>
      </c>
      <c r="T880" s="14">
        <v>0.11075540841083301</v>
      </c>
      <c r="U880" s="14">
        <v>2.87052282338137E-2</v>
      </c>
      <c r="V880" s="14">
        <v>7.0031203804354999E-2</v>
      </c>
      <c r="W880" s="14">
        <v>2.9390540274429E-2</v>
      </c>
      <c r="X880" s="14">
        <v>0.11591089305756801</v>
      </c>
      <c r="Y880" s="14">
        <v>7.4051446766354403E-2</v>
      </c>
      <c r="Z880" s="14">
        <v>0.361742235821089</v>
      </c>
      <c r="AA880" s="14">
        <v>6.7435834185472304E-2</v>
      </c>
      <c r="AB880" s="14"/>
      <c r="AC880" s="14">
        <v>0.109896657152756</v>
      </c>
      <c r="AD880" s="14">
        <v>7.1113384449821404E-2</v>
      </c>
      <c r="AE880" s="14">
        <v>7.3736364020207196E-2</v>
      </c>
      <c r="AF880" s="14">
        <v>8.5375807516094998E-2</v>
      </c>
      <c r="AG880" s="14">
        <v>0.11731019154896</v>
      </c>
      <c r="AH880" s="14"/>
      <c r="AI880" s="14">
        <v>4.4189532411066101E-2</v>
      </c>
      <c r="AJ880" s="14">
        <v>0.18103398418533201</v>
      </c>
      <c r="AK880" s="14">
        <v>5.4200292859657301E-2</v>
      </c>
      <c r="AL880" s="14">
        <v>9.6821658605007604E-2</v>
      </c>
      <c r="AM880" s="14">
        <v>0.14522245830672401</v>
      </c>
      <c r="AN880" s="14">
        <v>0.244681859825575</v>
      </c>
      <c r="AO880" s="14"/>
      <c r="AP880" s="14">
        <v>7.5667388013493E-2</v>
      </c>
      <c r="AQ880" s="14">
        <v>0.114381400636757</v>
      </c>
      <c r="AR880" s="14"/>
      <c r="AS880" s="14" t="s">
        <v>88</v>
      </c>
      <c r="AT880" s="14">
        <v>9.2327445067086095E-2</v>
      </c>
      <c r="AU880" s="14" t="s">
        <v>88</v>
      </c>
      <c r="AV880" s="14"/>
      <c r="AW880" s="14">
        <v>8.9745926404327298E-2</v>
      </c>
      <c r="AX880" s="14">
        <v>9.7110521134697605E-2</v>
      </c>
      <c r="AY880" s="14"/>
      <c r="AZ880" s="14">
        <v>7.3843329449645403E-2</v>
      </c>
      <c r="BA880" s="14">
        <v>0.133008205685861</v>
      </c>
    </row>
    <row r="881" spans="2:53" x14ac:dyDescent="0.35"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</row>
    <row r="882" spans="2:53" x14ac:dyDescent="0.35">
      <c r="B882" s="6" t="s">
        <v>284</v>
      </c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</row>
    <row r="883" spans="2:53" x14ac:dyDescent="0.35">
      <c r="B883" s="30" t="s">
        <v>328</v>
      </c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</row>
    <row r="884" spans="2:53" x14ac:dyDescent="0.35">
      <c r="B884" t="s">
        <v>214</v>
      </c>
      <c r="C884" s="14">
        <v>0.27431174872575198</v>
      </c>
      <c r="D884" s="14">
        <v>0.26627310767384599</v>
      </c>
      <c r="E884" s="14">
        <v>0.28148407647217699</v>
      </c>
      <c r="F884" s="14"/>
      <c r="G884" s="14">
        <v>0</v>
      </c>
      <c r="H884" s="14">
        <v>0.26967563212783902</v>
      </c>
      <c r="I884" s="14">
        <v>0.28402968175021398</v>
      </c>
      <c r="J884" s="14">
        <v>0.293010484607094</v>
      </c>
      <c r="K884" s="14">
        <v>0.19203987062115599</v>
      </c>
      <c r="L884" s="14">
        <v>0</v>
      </c>
      <c r="M884" s="14"/>
      <c r="N884" s="14">
        <v>0.32077686123182098</v>
      </c>
      <c r="O884" s="14">
        <v>0.31629230072687498</v>
      </c>
      <c r="P884" s="14">
        <v>0.27560964574910402</v>
      </c>
      <c r="Q884" s="14">
        <v>0.190046682976314</v>
      </c>
      <c r="R884" s="14"/>
      <c r="S884" s="14">
        <v>0.42554836924395201</v>
      </c>
      <c r="T884" s="14">
        <v>0.19777931065617799</v>
      </c>
      <c r="U884" s="14">
        <v>0.27285844204785797</v>
      </c>
      <c r="V884" s="14">
        <v>0.29237961125628897</v>
      </c>
      <c r="W884" s="14">
        <v>0.38621319276902499</v>
      </c>
      <c r="X884" s="14">
        <v>0.23873496754599999</v>
      </c>
      <c r="Y884" s="14">
        <v>0.117665669984848</v>
      </c>
      <c r="Z884" s="14">
        <v>0.25377635432858803</v>
      </c>
      <c r="AA884" s="14">
        <v>0.256395408673462</v>
      </c>
      <c r="AB884" s="14"/>
      <c r="AC884" s="14">
        <v>0.137185982862782</v>
      </c>
      <c r="AD884" s="14">
        <v>0.271603475830622</v>
      </c>
      <c r="AE884" s="14">
        <v>0.344772834145056</v>
      </c>
      <c r="AF884" s="14">
        <v>0.35025694627581799</v>
      </c>
      <c r="AG884" s="14">
        <v>0.27229664127727399</v>
      </c>
      <c r="AH884" s="14"/>
      <c r="AI884" s="14">
        <v>0.33087126434122299</v>
      </c>
      <c r="AJ884" s="14">
        <v>0.25386151762146097</v>
      </c>
      <c r="AK884" s="14">
        <v>0.30528951578455699</v>
      </c>
      <c r="AL884" s="14">
        <v>0.18956888858075999</v>
      </c>
      <c r="AM884" s="14">
        <v>0.15592418762570401</v>
      </c>
      <c r="AN884" s="14">
        <v>0.341656233835959</v>
      </c>
      <c r="AO884" s="14"/>
      <c r="AP884" s="14">
        <v>0.30588755816155999</v>
      </c>
      <c r="AQ884" s="14">
        <v>0.23107714442268601</v>
      </c>
      <c r="AR884" s="14"/>
      <c r="AS884" s="14" t="s">
        <v>88</v>
      </c>
      <c r="AT884" s="14">
        <v>0.27431174872575198</v>
      </c>
      <c r="AU884" s="14" t="s">
        <v>88</v>
      </c>
      <c r="AV884" s="14"/>
      <c r="AW884" s="14">
        <v>0.27071507850436599</v>
      </c>
      <c r="AX884" s="14">
        <v>0.31792170946943199</v>
      </c>
      <c r="AY884" s="14"/>
      <c r="AZ884" s="14">
        <v>0.28387061640586603</v>
      </c>
      <c r="BA884" s="14">
        <v>0.24685613092030601</v>
      </c>
    </row>
    <row r="885" spans="2:53" x14ac:dyDescent="0.35">
      <c r="B885" t="s">
        <v>215</v>
      </c>
      <c r="C885" s="14">
        <v>0.54710803055813395</v>
      </c>
      <c r="D885" s="14">
        <v>0.55218704683780295</v>
      </c>
      <c r="E885" s="14">
        <v>0.542576372887143</v>
      </c>
      <c r="F885" s="14"/>
      <c r="G885" s="14">
        <v>0</v>
      </c>
      <c r="H885" s="14">
        <v>0.560256738468074</v>
      </c>
      <c r="I885" s="14">
        <v>0.550239088835493</v>
      </c>
      <c r="J885" s="14">
        <v>0.499841279731986</v>
      </c>
      <c r="K885" s="14">
        <v>0.80796012937884398</v>
      </c>
      <c r="L885" s="14">
        <v>0</v>
      </c>
      <c r="M885" s="14"/>
      <c r="N885" s="14">
        <v>0.53479800110311504</v>
      </c>
      <c r="O885" s="14">
        <v>0.58290978103125901</v>
      </c>
      <c r="P885" s="14">
        <v>0.59283742057547195</v>
      </c>
      <c r="Q885" s="14">
        <v>0.48959663462189001</v>
      </c>
      <c r="R885" s="14"/>
      <c r="S885" s="14">
        <v>0.45228372119596599</v>
      </c>
      <c r="T885" s="14">
        <v>0.57207336616530202</v>
      </c>
      <c r="U885" s="14">
        <v>0.64631091000290497</v>
      </c>
      <c r="V885" s="14">
        <v>0.34127455356522401</v>
      </c>
      <c r="W885" s="14">
        <v>0.54466960050173197</v>
      </c>
      <c r="X885" s="14">
        <v>0.624975780631575</v>
      </c>
      <c r="Y885" s="14">
        <v>0.68989943671059595</v>
      </c>
      <c r="Z885" s="14">
        <v>0.74622364567141197</v>
      </c>
      <c r="AA885" s="14">
        <v>0.48707465110772902</v>
      </c>
      <c r="AB885" s="14"/>
      <c r="AC885" s="14">
        <v>0.54666074422512601</v>
      </c>
      <c r="AD885" s="14">
        <v>0.47828930881918702</v>
      </c>
      <c r="AE885" s="14">
        <v>0.54895819412809099</v>
      </c>
      <c r="AF885" s="14">
        <v>0.54892674971447897</v>
      </c>
      <c r="AG885" s="14">
        <v>0.45360952271615901</v>
      </c>
      <c r="AH885" s="14"/>
      <c r="AI885" s="14">
        <v>0.54805901001228996</v>
      </c>
      <c r="AJ885" s="14">
        <v>0.66062833483421302</v>
      </c>
      <c r="AK885" s="14">
        <v>0.556595916590096</v>
      </c>
      <c r="AL885" s="14">
        <v>0.57526955847033201</v>
      </c>
      <c r="AM885" s="14">
        <v>0.55552677232410697</v>
      </c>
      <c r="AN885" s="14">
        <v>0.40699166001540799</v>
      </c>
      <c r="AO885" s="14"/>
      <c r="AP885" s="14">
        <v>0.49771336061440502</v>
      </c>
      <c r="AQ885" s="14">
        <v>0.61474078638785101</v>
      </c>
      <c r="AR885" s="14"/>
      <c r="AS885" s="14" t="s">
        <v>88</v>
      </c>
      <c r="AT885" s="14">
        <v>0.54710803055813395</v>
      </c>
      <c r="AU885" s="14" t="s">
        <v>88</v>
      </c>
      <c r="AV885" s="14"/>
      <c r="AW885" s="14">
        <v>0.53785080534966301</v>
      </c>
      <c r="AX885" s="14">
        <v>0.56512652335765201</v>
      </c>
      <c r="AY885" s="14"/>
      <c r="AZ885" s="14">
        <v>0.55604910073598501</v>
      </c>
      <c r="BA885" s="14">
        <v>0.53149188901520505</v>
      </c>
    </row>
    <row r="886" spans="2:53" x14ac:dyDescent="0.35">
      <c r="B886" t="s">
        <v>216</v>
      </c>
      <c r="C886" s="14">
        <v>7.76530780006153E-2</v>
      </c>
      <c r="D886" s="14">
        <v>9.5828539406605504E-2</v>
      </c>
      <c r="E886" s="14">
        <v>6.1436361107234598E-2</v>
      </c>
      <c r="F886" s="14"/>
      <c r="G886" s="14">
        <v>1</v>
      </c>
      <c r="H886" s="14">
        <v>5.18159603763617E-2</v>
      </c>
      <c r="I886" s="14">
        <v>0.102647552318097</v>
      </c>
      <c r="J886" s="14">
        <v>3.11600250762178E-2</v>
      </c>
      <c r="K886" s="14">
        <v>0</v>
      </c>
      <c r="L886" s="14">
        <v>0</v>
      </c>
      <c r="M886" s="14"/>
      <c r="N886" s="14">
        <v>4.7983941537856498E-2</v>
      </c>
      <c r="O886" s="14">
        <v>5.96964848559308E-2</v>
      </c>
      <c r="P886" s="14">
        <v>8.6057705500998796E-2</v>
      </c>
      <c r="Q886" s="14">
        <v>0.11604536111720599</v>
      </c>
      <c r="R886" s="14"/>
      <c r="S886" s="14">
        <v>5.1681317757724499E-2</v>
      </c>
      <c r="T886" s="14">
        <v>0.102814276906152</v>
      </c>
      <c r="U886" s="14">
        <v>0</v>
      </c>
      <c r="V886" s="14">
        <v>0.235767903101372</v>
      </c>
      <c r="W886" s="14">
        <v>0</v>
      </c>
      <c r="X886" s="14">
        <v>6.7978027135829594E-2</v>
      </c>
      <c r="Y886" s="14">
        <v>6.0512349672623103E-2</v>
      </c>
      <c r="Z886" s="14">
        <v>0</v>
      </c>
      <c r="AA886" s="14">
        <v>0.114073484512316</v>
      </c>
      <c r="AB886" s="14"/>
      <c r="AC886" s="14">
        <v>7.6435670942742895E-2</v>
      </c>
      <c r="AD886" s="14">
        <v>9.4327918764954694E-2</v>
      </c>
      <c r="AE886" s="14">
        <v>7.5670695284591E-2</v>
      </c>
      <c r="AF886" s="14">
        <v>6.3376414493260202E-2</v>
      </c>
      <c r="AG886" s="14">
        <v>0</v>
      </c>
      <c r="AH886" s="14"/>
      <c r="AI886" s="14">
        <v>6.8011259271714405E-2</v>
      </c>
      <c r="AJ886" s="14">
        <v>4.4798747764799002E-2</v>
      </c>
      <c r="AK886" s="14">
        <v>5.5402673421650998E-2</v>
      </c>
      <c r="AL886" s="14">
        <v>9.6041667671023706E-2</v>
      </c>
      <c r="AM886" s="14">
        <v>0.147813142485645</v>
      </c>
      <c r="AN886" s="14">
        <v>0.20315445666528301</v>
      </c>
      <c r="AO886" s="14"/>
      <c r="AP886" s="14">
        <v>9.3221205898039006E-2</v>
      </c>
      <c r="AQ886" s="14">
        <v>5.6336701273900697E-2</v>
      </c>
      <c r="AR886" s="14"/>
      <c r="AS886" s="14" t="s">
        <v>88</v>
      </c>
      <c r="AT886" s="14">
        <v>7.76530780006153E-2</v>
      </c>
      <c r="AU886" s="14" t="s">
        <v>88</v>
      </c>
      <c r="AV886" s="14"/>
      <c r="AW886" s="14">
        <v>7.5837222564051801E-2</v>
      </c>
      <c r="AX886" s="14">
        <v>8.55498215295971E-2</v>
      </c>
      <c r="AY886" s="14"/>
      <c r="AZ886" s="14">
        <v>8.4272811348880497E-2</v>
      </c>
      <c r="BA886" s="14">
        <v>5.4748414878527801E-2</v>
      </c>
    </row>
    <row r="887" spans="2:53" x14ac:dyDescent="0.35">
      <c r="B887" t="s">
        <v>217</v>
      </c>
      <c r="C887" s="14">
        <v>0</v>
      </c>
      <c r="D887" s="14">
        <v>0</v>
      </c>
      <c r="E887" s="14">
        <v>0</v>
      </c>
      <c r="F887" s="14"/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/>
      <c r="N887" s="14">
        <v>0</v>
      </c>
      <c r="O887" s="14">
        <v>0</v>
      </c>
      <c r="P887" s="14">
        <v>0</v>
      </c>
      <c r="Q887" s="14">
        <v>0</v>
      </c>
      <c r="R887" s="14"/>
      <c r="S887" s="14">
        <v>0</v>
      </c>
      <c r="T887" s="14">
        <v>0</v>
      </c>
      <c r="U887" s="14">
        <v>0</v>
      </c>
      <c r="V887" s="14">
        <v>0</v>
      </c>
      <c r="W887" s="14">
        <v>0</v>
      </c>
      <c r="X887" s="14">
        <v>0</v>
      </c>
      <c r="Y887" s="14">
        <v>0</v>
      </c>
      <c r="Z887" s="14">
        <v>0</v>
      </c>
      <c r="AA887" s="14">
        <v>0</v>
      </c>
      <c r="AB887" s="14"/>
      <c r="AC887" s="14">
        <v>0</v>
      </c>
      <c r="AD887" s="14">
        <v>0</v>
      </c>
      <c r="AE887" s="14">
        <v>0</v>
      </c>
      <c r="AF887" s="14">
        <v>0</v>
      </c>
      <c r="AG887" s="14">
        <v>0</v>
      </c>
      <c r="AH887" s="14"/>
      <c r="AI887" s="14">
        <v>0</v>
      </c>
      <c r="AJ887" s="14">
        <v>0</v>
      </c>
      <c r="AK887" s="14">
        <v>0</v>
      </c>
      <c r="AL887" s="14">
        <v>0</v>
      </c>
      <c r="AM887" s="14">
        <v>0</v>
      </c>
      <c r="AN887" s="14">
        <v>0</v>
      </c>
      <c r="AO887" s="14"/>
      <c r="AP887" s="14">
        <v>0</v>
      </c>
      <c r="AQ887" s="14">
        <v>0</v>
      </c>
      <c r="AR887" s="14"/>
      <c r="AS887" s="14" t="s">
        <v>88</v>
      </c>
      <c r="AT887" s="14">
        <v>0</v>
      </c>
      <c r="AU887" s="14" t="s">
        <v>88</v>
      </c>
      <c r="AV887" s="14"/>
      <c r="AW887" s="14">
        <v>0</v>
      </c>
      <c r="AX887" s="14">
        <v>0</v>
      </c>
      <c r="AY887" s="14"/>
      <c r="AZ887" s="14">
        <v>0</v>
      </c>
      <c r="BA887" s="14">
        <v>0</v>
      </c>
    </row>
    <row r="888" spans="2:53" x14ac:dyDescent="0.35">
      <c r="B888" t="s">
        <v>116</v>
      </c>
      <c r="C888" s="14">
        <v>6.5678034709201194E-2</v>
      </c>
      <c r="D888" s="14">
        <v>7.1225207722454206E-2</v>
      </c>
      <c r="E888" s="14">
        <v>6.07286729128136E-2</v>
      </c>
      <c r="F888" s="14"/>
      <c r="G888" s="14">
        <v>0</v>
      </c>
      <c r="H888" s="14">
        <v>5.8598435936436599E-2</v>
      </c>
      <c r="I888" s="14">
        <v>3.10089022583208E-2</v>
      </c>
      <c r="J888" s="14">
        <v>0.15787937151409301</v>
      </c>
      <c r="K888" s="14">
        <v>0</v>
      </c>
      <c r="L888" s="14">
        <v>1</v>
      </c>
      <c r="M888" s="14"/>
      <c r="N888" s="14">
        <v>4.3923141000091002E-2</v>
      </c>
      <c r="O888" s="14">
        <v>3.17922247114426E-2</v>
      </c>
      <c r="P888" s="14">
        <v>1.9644085331609999E-2</v>
      </c>
      <c r="Q888" s="14">
        <v>0.149977200211422</v>
      </c>
      <c r="R888" s="14"/>
      <c r="S888" s="14">
        <v>2.2110648213670401E-2</v>
      </c>
      <c r="T888" s="14">
        <v>8.2294804835359905E-2</v>
      </c>
      <c r="U888" s="14">
        <v>2.79357457034718E-2</v>
      </c>
      <c r="V888" s="14">
        <v>0.13057793207711499</v>
      </c>
      <c r="W888" s="14">
        <v>6.9117206729242694E-2</v>
      </c>
      <c r="X888" s="14">
        <v>3.4407327504775598E-2</v>
      </c>
      <c r="Y888" s="14">
        <v>0.10002354652319501</v>
      </c>
      <c r="Z888" s="14">
        <v>0</v>
      </c>
      <c r="AA888" s="14">
        <v>8.7472946807063801E-2</v>
      </c>
      <c r="AB888" s="14"/>
      <c r="AC888" s="14">
        <v>0.19761173114756</v>
      </c>
      <c r="AD888" s="14">
        <v>7.4016728239600899E-2</v>
      </c>
      <c r="AE888" s="14">
        <v>2.44336270202405E-2</v>
      </c>
      <c r="AF888" s="14">
        <v>0</v>
      </c>
      <c r="AG888" s="14">
        <v>0.274093836006567</v>
      </c>
      <c r="AH888" s="14"/>
      <c r="AI888" s="14">
        <v>3.21784108520171E-2</v>
      </c>
      <c r="AJ888" s="14">
        <v>1.0801756045795899E-2</v>
      </c>
      <c r="AK888" s="14">
        <v>0</v>
      </c>
      <c r="AL888" s="14">
        <v>0.119849527375065</v>
      </c>
      <c r="AM888" s="14">
        <v>0.14073589756454399</v>
      </c>
      <c r="AN888" s="14">
        <v>4.8197649483350299E-2</v>
      </c>
      <c r="AO888" s="14"/>
      <c r="AP888" s="14">
        <v>6.9638482293475704E-2</v>
      </c>
      <c r="AQ888" s="14">
        <v>6.0255263694661103E-2</v>
      </c>
      <c r="AR888" s="14"/>
      <c r="AS888" s="14" t="s">
        <v>88</v>
      </c>
      <c r="AT888" s="14">
        <v>6.5678034709201194E-2</v>
      </c>
      <c r="AU888" s="14" t="s">
        <v>88</v>
      </c>
      <c r="AV888" s="14"/>
      <c r="AW888" s="14">
        <v>7.7621191005755097E-2</v>
      </c>
      <c r="AX888" s="14">
        <v>0</v>
      </c>
      <c r="AY888" s="14"/>
      <c r="AZ888" s="14">
        <v>4.90147009962019E-2</v>
      </c>
      <c r="BA888" s="14">
        <v>9.7737252096106994E-2</v>
      </c>
    </row>
    <row r="889" spans="2:53" x14ac:dyDescent="0.35"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</row>
    <row r="890" spans="2:53" x14ac:dyDescent="0.35">
      <c r="B890" s="6" t="s">
        <v>285</v>
      </c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</row>
    <row r="891" spans="2:53" x14ac:dyDescent="0.35">
      <c r="B891" s="30" t="s">
        <v>328</v>
      </c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</row>
    <row r="892" spans="2:53" x14ac:dyDescent="0.35">
      <c r="B892" t="s">
        <v>220</v>
      </c>
      <c r="C892" s="14">
        <v>0.27880919075919902</v>
      </c>
      <c r="D892" s="14">
        <v>0.29100083741041699</v>
      </c>
      <c r="E892" s="14">
        <v>0.26793142112294699</v>
      </c>
      <c r="F892" s="14"/>
      <c r="G892" s="14">
        <v>0</v>
      </c>
      <c r="H892" s="14">
        <v>0.27407298406736302</v>
      </c>
      <c r="I892" s="14">
        <v>0.30324194663526599</v>
      </c>
      <c r="J892" s="14">
        <v>0.22165008125147201</v>
      </c>
      <c r="K892" s="14">
        <v>0.33979204690646803</v>
      </c>
      <c r="L892" s="14">
        <v>0</v>
      </c>
      <c r="M892" s="14"/>
      <c r="N892" s="14">
        <v>0.38261701374790802</v>
      </c>
      <c r="O892" s="14">
        <v>0.335421437480319</v>
      </c>
      <c r="P892" s="14">
        <v>0.20283022636829201</v>
      </c>
      <c r="Q892" s="14">
        <v>0.18160435877524</v>
      </c>
      <c r="R892" s="14"/>
      <c r="S892" s="14">
        <v>0.35587263336020297</v>
      </c>
      <c r="T892" s="14">
        <v>0.35216942319560401</v>
      </c>
      <c r="U892" s="14">
        <v>0.17541249598531999</v>
      </c>
      <c r="V892" s="14">
        <v>0.438014176794078</v>
      </c>
      <c r="W892" s="14">
        <v>0.19201024200636299</v>
      </c>
      <c r="X892" s="14">
        <v>0.175778575068953</v>
      </c>
      <c r="Y892" s="14">
        <v>0.28586512113055401</v>
      </c>
      <c r="Z892" s="14">
        <v>0.57863368540048099</v>
      </c>
      <c r="AA892" s="14">
        <v>0.18589223792072601</v>
      </c>
      <c r="AB892" s="14"/>
      <c r="AC892" s="14">
        <v>0.19139090684722501</v>
      </c>
      <c r="AD892" s="14">
        <v>0.219673736605075</v>
      </c>
      <c r="AE892" s="14">
        <v>0.29579959548210399</v>
      </c>
      <c r="AF892" s="14">
        <v>0.42788305187376402</v>
      </c>
      <c r="AG892" s="14">
        <v>0.360938475225689</v>
      </c>
      <c r="AH892" s="14"/>
      <c r="AI892" s="14">
        <v>0.29972921208081199</v>
      </c>
      <c r="AJ892" s="14">
        <v>0.30508976806649601</v>
      </c>
      <c r="AK892" s="14">
        <v>0.34154562214030798</v>
      </c>
      <c r="AL892" s="14">
        <v>0.29038196789680298</v>
      </c>
      <c r="AM892" s="14">
        <v>0.22562278490031401</v>
      </c>
      <c r="AN892" s="14">
        <v>0.31579413719462301</v>
      </c>
      <c r="AO892" s="14"/>
      <c r="AP892" s="14">
        <v>0.302228614614798</v>
      </c>
      <c r="AQ892" s="14">
        <v>0.24674256945971901</v>
      </c>
      <c r="AR892" s="14"/>
      <c r="AS892" s="14" t="s">
        <v>88</v>
      </c>
      <c r="AT892" s="14">
        <v>0.27880919075919902</v>
      </c>
      <c r="AU892" s="14" t="s">
        <v>88</v>
      </c>
      <c r="AV892" s="14"/>
      <c r="AW892" s="14">
        <v>0.25216729898626999</v>
      </c>
      <c r="AX892" s="14">
        <v>0.38442047736260099</v>
      </c>
      <c r="AY892" s="14"/>
      <c r="AZ892" s="14">
        <v>0.29139308331651997</v>
      </c>
      <c r="BA892" s="14">
        <v>0.23981326688401</v>
      </c>
    </row>
    <row r="893" spans="2:53" x14ac:dyDescent="0.35">
      <c r="B893" t="s">
        <v>221</v>
      </c>
      <c r="C893" s="14">
        <v>0.50127680515183803</v>
      </c>
      <c r="D893" s="14">
        <v>0.54916901824971998</v>
      </c>
      <c r="E893" s="14">
        <v>0.45854587008188402</v>
      </c>
      <c r="F893" s="14"/>
      <c r="G893" s="14">
        <v>1</v>
      </c>
      <c r="H893" s="14">
        <v>0.48699348662094</v>
      </c>
      <c r="I893" s="14">
        <v>0.48508013373418502</v>
      </c>
      <c r="J893" s="14">
        <v>0.53640066650081797</v>
      </c>
      <c r="K893" s="14">
        <v>0.66020795309353197</v>
      </c>
      <c r="L893" s="14">
        <v>0</v>
      </c>
      <c r="M893" s="14"/>
      <c r="N893" s="14">
        <v>0.41919275818969098</v>
      </c>
      <c r="O893" s="14">
        <v>0.52707874156988099</v>
      </c>
      <c r="P893" s="14">
        <v>0.42822459301260202</v>
      </c>
      <c r="Q893" s="14">
        <v>0.59087041916792205</v>
      </c>
      <c r="R893" s="14"/>
      <c r="S893" s="14">
        <v>0.54591278869415405</v>
      </c>
      <c r="T893" s="14">
        <v>0.41584185427881398</v>
      </c>
      <c r="U893" s="14">
        <v>0.57564677360036198</v>
      </c>
      <c r="V893" s="14">
        <v>0.36746159767488101</v>
      </c>
      <c r="W893" s="14">
        <v>0.57567914154722499</v>
      </c>
      <c r="X893" s="14">
        <v>0.51052909279103698</v>
      </c>
      <c r="Y893" s="14">
        <v>0.51957417828608699</v>
      </c>
      <c r="Z893" s="14">
        <v>0.42136631459951901</v>
      </c>
      <c r="AA893" s="14">
        <v>0.52334261986393704</v>
      </c>
      <c r="AB893" s="14"/>
      <c r="AC893" s="14">
        <v>0.56934758339160596</v>
      </c>
      <c r="AD893" s="14">
        <v>0.430716811502732</v>
      </c>
      <c r="AE893" s="14">
        <v>0.546351938101028</v>
      </c>
      <c r="AF893" s="14">
        <v>0.41408313983008499</v>
      </c>
      <c r="AG893" s="14">
        <v>0.36496768876774399</v>
      </c>
      <c r="AH893" s="14"/>
      <c r="AI893" s="14">
        <v>0.53357015351876702</v>
      </c>
      <c r="AJ893" s="14">
        <v>0.48819791564869203</v>
      </c>
      <c r="AK893" s="14">
        <v>0.50692799688828905</v>
      </c>
      <c r="AL893" s="14">
        <v>0.43635835911691201</v>
      </c>
      <c r="AM893" s="14">
        <v>0.60772069945618201</v>
      </c>
      <c r="AN893" s="14">
        <v>0.37418408256626901</v>
      </c>
      <c r="AO893" s="14"/>
      <c r="AP893" s="14">
        <v>0.51399214499083101</v>
      </c>
      <c r="AQ893" s="14">
        <v>0.48386655672620499</v>
      </c>
      <c r="AR893" s="14"/>
      <c r="AS893" s="14" t="s">
        <v>88</v>
      </c>
      <c r="AT893" s="14">
        <v>0.50127680515183803</v>
      </c>
      <c r="AU893" s="14" t="s">
        <v>88</v>
      </c>
      <c r="AV893" s="14"/>
      <c r="AW893" s="14">
        <v>0.50190161537627198</v>
      </c>
      <c r="AX893" s="14">
        <v>0.48973943730663899</v>
      </c>
      <c r="AY893" s="14"/>
      <c r="AZ893" s="14">
        <v>0.53126744145950899</v>
      </c>
      <c r="BA893" s="14">
        <v>0.40268572545082798</v>
      </c>
    </row>
    <row r="894" spans="2:53" x14ac:dyDescent="0.35">
      <c r="B894" t="s">
        <v>222</v>
      </c>
      <c r="C894" s="14">
        <v>0.117125331076408</v>
      </c>
      <c r="D894" s="14">
        <v>0.105558799763805</v>
      </c>
      <c r="E894" s="14">
        <v>0.127445353195522</v>
      </c>
      <c r="F894" s="14"/>
      <c r="G894" s="14">
        <v>0</v>
      </c>
      <c r="H894" s="14">
        <v>0.111552762118132</v>
      </c>
      <c r="I894" s="14">
        <v>0.12540632474539101</v>
      </c>
      <c r="J894" s="14">
        <v>0.137382349203617</v>
      </c>
      <c r="K894" s="14">
        <v>0</v>
      </c>
      <c r="L894" s="14">
        <v>0</v>
      </c>
      <c r="M894" s="14"/>
      <c r="N894" s="14">
        <v>0.12759643597129799</v>
      </c>
      <c r="O894" s="14">
        <v>9.5975558183858403E-2</v>
      </c>
      <c r="P894" s="14">
        <v>0.183532757729366</v>
      </c>
      <c r="Q894" s="14">
        <v>8.7125295955607598E-2</v>
      </c>
      <c r="R894" s="14"/>
      <c r="S894" s="14">
        <v>7.1178724276570696E-2</v>
      </c>
      <c r="T894" s="14">
        <v>0.114959120097266</v>
      </c>
      <c r="U894" s="14">
        <v>9.0256035529535497E-2</v>
      </c>
      <c r="V894" s="14">
        <v>5.4312318305948903E-2</v>
      </c>
      <c r="W894" s="14">
        <v>6.6523123264874903E-2</v>
      </c>
      <c r="X894" s="14">
        <v>0.195698107138606</v>
      </c>
      <c r="Y894" s="14">
        <v>0.102716692617389</v>
      </c>
      <c r="Z894" s="14">
        <v>0</v>
      </c>
      <c r="AA894" s="14">
        <v>0.21262591655215499</v>
      </c>
      <c r="AB894" s="14"/>
      <c r="AC894" s="14">
        <v>0.14271964133401399</v>
      </c>
      <c r="AD894" s="14">
        <v>0.14492752153911001</v>
      </c>
      <c r="AE894" s="14">
        <v>9.2546871996440405E-2</v>
      </c>
      <c r="AF894" s="14">
        <v>0.125770530521219</v>
      </c>
      <c r="AG894" s="14">
        <v>0</v>
      </c>
      <c r="AH894" s="14"/>
      <c r="AI894" s="14">
        <v>9.68283479571872E-2</v>
      </c>
      <c r="AJ894" s="14">
        <v>8.5863455127302105E-2</v>
      </c>
      <c r="AK894" s="14">
        <v>8.46138331258217E-2</v>
      </c>
      <c r="AL894" s="14">
        <v>0.162151041061423</v>
      </c>
      <c r="AM894" s="14">
        <v>9.3389770115746396E-2</v>
      </c>
      <c r="AN894" s="14">
        <v>0.22945169799062101</v>
      </c>
      <c r="AO894" s="14"/>
      <c r="AP894" s="14">
        <v>0.111661701705854</v>
      </c>
      <c r="AQ894" s="14">
        <v>0.124606306484965</v>
      </c>
      <c r="AR894" s="14"/>
      <c r="AS894" s="14" t="s">
        <v>88</v>
      </c>
      <c r="AT894" s="14">
        <v>0.117125331076408</v>
      </c>
      <c r="AU894" s="14" t="s">
        <v>88</v>
      </c>
      <c r="AV894" s="14"/>
      <c r="AW894" s="14">
        <v>0.12730583739429199</v>
      </c>
      <c r="AX894" s="14">
        <v>9.8297182556906504E-2</v>
      </c>
      <c r="AY894" s="14"/>
      <c r="AZ894" s="14">
        <v>0.101668513754573</v>
      </c>
      <c r="BA894" s="14">
        <v>0.18094609231714301</v>
      </c>
    </row>
    <row r="895" spans="2:53" x14ac:dyDescent="0.35">
      <c r="B895" t="s">
        <v>223</v>
      </c>
      <c r="C895" s="14">
        <v>3.3646345567274402E-2</v>
      </c>
      <c r="D895" s="14">
        <v>7.6049937474708101E-3</v>
      </c>
      <c r="E895" s="14">
        <v>5.6881256667990598E-2</v>
      </c>
      <c r="F895" s="14"/>
      <c r="G895" s="14">
        <v>0</v>
      </c>
      <c r="H895" s="14">
        <v>4.0926940895078402E-2</v>
      </c>
      <c r="I895" s="14">
        <v>3.6427725901886802E-2</v>
      </c>
      <c r="J895" s="14">
        <v>2.4692258259708201E-2</v>
      </c>
      <c r="K895" s="14">
        <v>0</v>
      </c>
      <c r="L895" s="14">
        <v>0</v>
      </c>
      <c r="M895" s="14"/>
      <c r="N895" s="14">
        <v>1.73837558750458E-2</v>
      </c>
      <c r="O895" s="14">
        <v>2.6787990581718601E-2</v>
      </c>
      <c r="P895" s="14">
        <v>9.5853730319008096E-2</v>
      </c>
      <c r="Q895" s="14">
        <v>1.3747560171160699E-2</v>
      </c>
      <c r="R895" s="14"/>
      <c r="S895" s="14">
        <v>1.35179272325007E-2</v>
      </c>
      <c r="T895" s="14">
        <v>0</v>
      </c>
      <c r="U895" s="14">
        <v>0.105789792639018</v>
      </c>
      <c r="V895" s="14">
        <v>4.7011149724464497E-2</v>
      </c>
      <c r="W895" s="14">
        <v>9.6670286452294196E-2</v>
      </c>
      <c r="X895" s="14">
        <v>6.2546562225337499E-2</v>
      </c>
      <c r="Y895" s="14">
        <v>0</v>
      </c>
      <c r="Z895" s="14">
        <v>0</v>
      </c>
      <c r="AA895" s="14">
        <v>0</v>
      </c>
      <c r="AB895" s="14"/>
      <c r="AC895" s="14">
        <v>0</v>
      </c>
      <c r="AD895" s="14">
        <v>7.1021221945926402E-2</v>
      </c>
      <c r="AE895" s="14">
        <v>4.6515978636288903E-2</v>
      </c>
      <c r="AF895" s="14">
        <v>0</v>
      </c>
      <c r="AG895" s="14">
        <v>0</v>
      </c>
      <c r="AH895" s="14"/>
      <c r="AI895" s="14">
        <v>3.3498422017913899E-2</v>
      </c>
      <c r="AJ895" s="14">
        <v>7.6635343383522903E-2</v>
      </c>
      <c r="AK895" s="14">
        <v>0</v>
      </c>
      <c r="AL895" s="14">
        <v>1.5756439228640898E-2</v>
      </c>
      <c r="AM895" s="14">
        <v>7.3266745527757804E-2</v>
      </c>
      <c r="AN895" s="14">
        <v>0</v>
      </c>
      <c r="AO895" s="14"/>
      <c r="AP895" s="14">
        <v>3.5121155393189299E-3</v>
      </c>
      <c r="AQ895" s="14">
        <v>7.4907093415554502E-2</v>
      </c>
      <c r="AR895" s="14"/>
      <c r="AS895" s="14" t="s">
        <v>88</v>
      </c>
      <c r="AT895" s="14">
        <v>3.3646345567274402E-2</v>
      </c>
      <c r="AU895" s="14" t="s">
        <v>88</v>
      </c>
      <c r="AV895" s="14"/>
      <c r="AW895" s="14">
        <v>3.9221610023019597E-2</v>
      </c>
      <c r="AX895" s="14">
        <v>1.39389231241077E-2</v>
      </c>
      <c r="AY895" s="14"/>
      <c r="AZ895" s="14">
        <v>3.01901960062585E-2</v>
      </c>
      <c r="BA895" s="14">
        <v>4.8175033445558603E-2</v>
      </c>
    </row>
    <row r="896" spans="2:53" x14ac:dyDescent="0.35">
      <c r="B896" t="s">
        <v>116</v>
      </c>
      <c r="C896" s="14">
        <v>2.3073383605050499E-2</v>
      </c>
      <c r="D896" s="14">
        <v>1.49910889234023E-2</v>
      </c>
      <c r="E896" s="14">
        <v>3.0284660489497E-2</v>
      </c>
      <c r="F896" s="14"/>
      <c r="G896" s="14">
        <v>0</v>
      </c>
      <c r="H896" s="14">
        <v>1.6563547495424099E-2</v>
      </c>
      <c r="I896" s="14">
        <v>8.1345811630514006E-3</v>
      </c>
      <c r="J896" s="14">
        <v>4.3233323313475999E-2</v>
      </c>
      <c r="K896" s="14">
        <v>0</v>
      </c>
      <c r="L896" s="14">
        <v>1</v>
      </c>
      <c r="M896" s="14"/>
      <c r="N896" s="14">
        <v>0</v>
      </c>
      <c r="O896" s="14">
        <v>1.47362721842233E-2</v>
      </c>
      <c r="P896" s="14">
        <v>1.9644085331609999E-2</v>
      </c>
      <c r="Q896" s="14">
        <v>5.3518580772002097E-2</v>
      </c>
      <c r="R896" s="14"/>
      <c r="S896" s="14">
        <v>0</v>
      </c>
      <c r="T896" s="14">
        <v>2.4532338609760201E-2</v>
      </c>
      <c r="U896" s="14">
        <v>0</v>
      </c>
      <c r="V896" s="14">
        <v>4.61896178082149E-2</v>
      </c>
      <c r="W896" s="14">
        <v>6.9117206729242694E-2</v>
      </c>
      <c r="X896" s="14">
        <v>3.4407327504775598E-2</v>
      </c>
      <c r="Y896" s="14">
        <v>0</v>
      </c>
      <c r="Z896" s="14">
        <v>0</v>
      </c>
      <c r="AA896" s="14">
        <v>2.3155716763752499E-2</v>
      </c>
      <c r="AB896" s="14"/>
      <c r="AC896" s="14">
        <v>2.3816093003866098E-2</v>
      </c>
      <c r="AD896" s="14">
        <v>5.1709469929471501E-2</v>
      </c>
      <c r="AE896" s="14">
        <v>0</v>
      </c>
      <c r="AF896" s="14">
        <v>0</v>
      </c>
      <c r="AG896" s="14">
        <v>0</v>
      </c>
      <c r="AH896" s="14"/>
      <c r="AI896" s="14">
        <v>1.8080914994830999E-2</v>
      </c>
      <c r="AJ896" s="14">
        <v>0</v>
      </c>
      <c r="AK896" s="14">
        <v>0</v>
      </c>
      <c r="AL896" s="14">
        <v>5.5821279657939399E-2</v>
      </c>
      <c r="AM896" s="14">
        <v>0</v>
      </c>
      <c r="AN896" s="14">
        <v>0</v>
      </c>
      <c r="AO896" s="14"/>
      <c r="AP896" s="14">
        <v>2.3900065091423901E-2</v>
      </c>
      <c r="AQ896" s="14">
        <v>2.1941464975357601E-2</v>
      </c>
      <c r="AR896" s="14"/>
      <c r="AS896" s="14" t="s">
        <v>88</v>
      </c>
      <c r="AT896" s="14">
        <v>2.3073383605050499E-2</v>
      </c>
      <c r="AU896" s="14" t="s">
        <v>88</v>
      </c>
      <c r="AV896" s="14"/>
      <c r="AW896" s="14">
        <v>2.8668721098648899E-2</v>
      </c>
      <c r="AX896" s="14">
        <v>0</v>
      </c>
      <c r="AY896" s="14"/>
      <c r="AZ896" s="14">
        <v>4.5973721380093103E-3</v>
      </c>
      <c r="BA896" s="14">
        <v>6.06652327567751E-2</v>
      </c>
    </row>
    <row r="897" spans="2:53" x14ac:dyDescent="0.35">
      <c r="B897" t="s">
        <v>224</v>
      </c>
      <c r="C897" s="14">
        <v>0.780085995911037</v>
      </c>
      <c r="D897" s="14">
        <v>0.84016985566013702</v>
      </c>
      <c r="E897" s="14">
        <v>0.72647729120483095</v>
      </c>
      <c r="F897" s="14"/>
      <c r="G897" s="14">
        <v>1</v>
      </c>
      <c r="H897" s="14">
        <v>0.76106647068830302</v>
      </c>
      <c r="I897" s="14">
        <v>0.78832208036945195</v>
      </c>
      <c r="J897" s="14">
        <v>0.75805074775228998</v>
      </c>
      <c r="K897" s="14">
        <v>1</v>
      </c>
      <c r="L897" s="14">
        <v>0</v>
      </c>
      <c r="M897" s="14"/>
      <c r="N897" s="14">
        <v>0.80180977193759895</v>
      </c>
      <c r="O897" s="14">
        <v>0.86250017905020004</v>
      </c>
      <c r="P897" s="14">
        <v>0.63105481938089403</v>
      </c>
      <c r="Q897" s="14">
        <v>0.77247477794316199</v>
      </c>
      <c r="R897" s="14"/>
      <c r="S897" s="14">
        <v>0.90178542205435697</v>
      </c>
      <c r="T897" s="14">
        <v>0.768011277474418</v>
      </c>
      <c r="U897" s="14">
        <v>0.75105926958568103</v>
      </c>
      <c r="V897" s="14">
        <v>0.80547577446896002</v>
      </c>
      <c r="W897" s="14">
        <v>0.76768938355358796</v>
      </c>
      <c r="X897" s="14">
        <v>0.68630766785998998</v>
      </c>
      <c r="Y897" s="14">
        <v>0.80543929941664105</v>
      </c>
      <c r="Z897" s="14">
        <v>1</v>
      </c>
      <c r="AA897" s="14">
        <v>0.709234857784663</v>
      </c>
      <c r="AB897" s="14"/>
      <c r="AC897" s="14">
        <v>0.760738490238831</v>
      </c>
      <c r="AD897" s="14">
        <v>0.65039054810780705</v>
      </c>
      <c r="AE897" s="14">
        <v>0.84215153358313199</v>
      </c>
      <c r="AF897" s="14">
        <v>0.84196619170384801</v>
      </c>
      <c r="AG897" s="14">
        <v>0.725906163993433</v>
      </c>
      <c r="AH897" s="14"/>
      <c r="AI897" s="14">
        <v>0.83329936559957996</v>
      </c>
      <c r="AJ897" s="14">
        <v>0.79328768371518898</v>
      </c>
      <c r="AK897" s="14">
        <v>0.84847361902859697</v>
      </c>
      <c r="AL897" s="14">
        <v>0.72674032701371405</v>
      </c>
      <c r="AM897" s="14">
        <v>0.83334348435649597</v>
      </c>
      <c r="AN897" s="14">
        <v>0.68997821976089202</v>
      </c>
      <c r="AO897" s="14"/>
      <c r="AP897" s="14">
        <v>0.81622075960562901</v>
      </c>
      <c r="AQ897" s="14">
        <v>0.730609126185924</v>
      </c>
      <c r="AR897" s="14"/>
      <c r="AS897" s="14" t="s">
        <v>88</v>
      </c>
      <c r="AT897" s="14">
        <v>0.780085995911037</v>
      </c>
      <c r="AU897" s="14" t="s">
        <v>88</v>
      </c>
      <c r="AV897" s="14"/>
      <c r="AW897" s="14">
        <v>0.75406891436254297</v>
      </c>
      <c r="AX897" s="14">
        <v>0.87415991466924003</v>
      </c>
      <c r="AY897" s="14"/>
      <c r="AZ897" s="14">
        <v>0.82266052477602902</v>
      </c>
      <c r="BA897" s="14">
        <v>0.64249899233483798</v>
      </c>
    </row>
    <row r="898" spans="2:53" x14ac:dyDescent="0.35"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</row>
    <row r="899" spans="2:53" x14ac:dyDescent="0.35">
      <c r="B899" s="6" t="s">
        <v>286</v>
      </c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</row>
    <row r="900" spans="2:53" x14ac:dyDescent="0.35">
      <c r="B900" s="30" t="s">
        <v>328</v>
      </c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</row>
    <row r="901" spans="2:53" x14ac:dyDescent="0.35">
      <c r="B901" t="s">
        <v>226</v>
      </c>
      <c r="C901" s="14">
        <v>0.27681467065433302</v>
      </c>
      <c r="D901" s="14">
        <v>0.25157490110208602</v>
      </c>
      <c r="E901" s="14">
        <v>0.299334384907533</v>
      </c>
      <c r="F901" s="14"/>
      <c r="G901" s="14">
        <v>0</v>
      </c>
      <c r="H901" s="14">
        <v>0.36086921366035901</v>
      </c>
      <c r="I901" s="14">
        <v>0.28250351837716697</v>
      </c>
      <c r="J901" s="14">
        <v>0.10395245006076199</v>
      </c>
      <c r="K901" s="14">
        <v>0.488680821396413</v>
      </c>
      <c r="L901" s="14">
        <v>0</v>
      </c>
      <c r="M901" s="14"/>
      <c r="N901" s="14">
        <v>0.319280256111792</v>
      </c>
      <c r="O901" s="14">
        <v>0.30664103310742502</v>
      </c>
      <c r="P901" s="14">
        <v>0.16082210503716399</v>
      </c>
      <c r="Q901" s="14">
        <v>0.28570532571892898</v>
      </c>
      <c r="R901" s="14"/>
      <c r="S901" s="14">
        <v>0.324133625613933</v>
      </c>
      <c r="T901" s="14">
        <v>0.229239083271744</v>
      </c>
      <c r="U901" s="14">
        <v>0.29899538330521003</v>
      </c>
      <c r="V901" s="14">
        <v>0.42267775556456</v>
      </c>
      <c r="W901" s="14">
        <v>0.176949988942082</v>
      </c>
      <c r="X901" s="14">
        <v>0.220514833883689</v>
      </c>
      <c r="Y901" s="14">
        <v>0.31524841896314698</v>
      </c>
      <c r="Z901" s="14">
        <v>0.38090639652484198</v>
      </c>
      <c r="AA901" s="14">
        <v>0.25192865179700202</v>
      </c>
      <c r="AB901" s="14"/>
      <c r="AC901" s="14">
        <v>0.20415267700121101</v>
      </c>
      <c r="AD901" s="14">
        <v>0.20270320413791601</v>
      </c>
      <c r="AE901" s="14">
        <v>0.27044290353772799</v>
      </c>
      <c r="AF901" s="14">
        <v>0.429187640839236</v>
      </c>
      <c r="AG901" s="14">
        <v>0.59772404612090002</v>
      </c>
      <c r="AH901" s="14"/>
      <c r="AI901" s="14">
        <v>0.333154283469903</v>
      </c>
      <c r="AJ901" s="14">
        <v>0.18761165248504799</v>
      </c>
      <c r="AK901" s="14">
        <v>0.37889159008922502</v>
      </c>
      <c r="AL901" s="14">
        <v>0.26778256202992301</v>
      </c>
      <c r="AM901" s="14">
        <v>0.32495205949114098</v>
      </c>
      <c r="AN901" s="14">
        <v>0.218380320653005</v>
      </c>
      <c r="AO901" s="14"/>
      <c r="AP901" s="14">
        <v>0.32144931557958301</v>
      </c>
      <c r="AQ901" s="14">
        <v>0.21569949273706901</v>
      </c>
      <c r="AR901" s="14"/>
      <c r="AS901" s="14" t="s">
        <v>88</v>
      </c>
      <c r="AT901" s="14">
        <v>0.27681467065433302</v>
      </c>
      <c r="AU901" s="14" t="s">
        <v>88</v>
      </c>
      <c r="AV901" s="14"/>
      <c r="AW901" s="14">
        <v>0.25657302822920602</v>
      </c>
      <c r="AX901" s="14">
        <v>0.34362572048987</v>
      </c>
      <c r="AY901" s="14"/>
      <c r="AZ901" s="14">
        <v>0.28176756208051201</v>
      </c>
      <c r="BA901" s="14">
        <v>0.26725455443408802</v>
      </c>
    </row>
    <row r="902" spans="2:53" x14ac:dyDescent="0.35">
      <c r="B902" t="s">
        <v>227</v>
      </c>
      <c r="C902" s="14">
        <v>0.36999700275561298</v>
      </c>
      <c r="D902" s="14">
        <v>0.45703151848826601</v>
      </c>
      <c r="E902" s="14">
        <v>0.29234207724578498</v>
      </c>
      <c r="F902" s="14"/>
      <c r="G902" s="14">
        <v>0</v>
      </c>
      <c r="H902" s="14">
        <v>0.31297605910323401</v>
      </c>
      <c r="I902" s="14">
        <v>0.37677217830910098</v>
      </c>
      <c r="J902" s="14">
        <v>0.43328138649276599</v>
      </c>
      <c r="K902" s="14">
        <v>0.511319178603587</v>
      </c>
      <c r="L902" s="14">
        <v>0</v>
      </c>
      <c r="M902" s="14"/>
      <c r="N902" s="14">
        <v>0.35533075020175198</v>
      </c>
      <c r="O902" s="14">
        <v>0.401458584271218</v>
      </c>
      <c r="P902" s="14">
        <v>0.42104992569059702</v>
      </c>
      <c r="Q902" s="14">
        <v>0.31556103734386998</v>
      </c>
      <c r="R902" s="14"/>
      <c r="S902" s="14">
        <v>0.437788040071804</v>
      </c>
      <c r="T902" s="14">
        <v>0.390517401314532</v>
      </c>
      <c r="U902" s="14">
        <v>0.36966520022086902</v>
      </c>
      <c r="V902" s="14">
        <v>0.37536596763035301</v>
      </c>
      <c r="W902" s="14">
        <v>0.308502317351185</v>
      </c>
      <c r="X902" s="14">
        <v>0.3916673368736</v>
      </c>
      <c r="Y902" s="14">
        <v>0.30815986659828398</v>
      </c>
      <c r="Z902" s="14">
        <v>0.48970253057815999</v>
      </c>
      <c r="AA902" s="14">
        <v>0.32382950196402499</v>
      </c>
      <c r="AB902" s="14"/>
      <c r="AC902" s="14">
        <v>0.33251856031633598</v>
      </c>
      <c r="AD902" s="14">
        <v>0.31390376193710101</v>
      </c>
      <c r="AE902" s="14">
        <v>0.467287515245848</v>
      </c>
      <c r="AF902" s="14">
        <v>0.34568562977929801</v>
      </c>
      <c r="AG902" s="14">
        <v>0.128182117872534</v>
      </c>
      <c r="AH902" s="14"/>
      <c r="AI902" s="14">
        <v>0.41439327600555298</v>
      </c>
      <c r="AJ902" s="14">
        <v>0.40300522669547401</v>
      </c>
      <c r="AK902" s="14">
        <v>0.28599728184255702</v>
      </c>
      <c r="AL902" s="14">
        <v>0.34726896556515402</v>
      </c>
      <c r="AM902" s="14">
        <v>0.269253284812627</v>
      </c>
      <c r="AN902" s="14">
        <v>0.24984516163763801</v>
      </c>
      <c r="AO902" s="14"/>
      <c r="AP902" s="14">
        <v>0.364327852486796</v>
      </c>
      <c r="AQ902" s="14">
        <v>0.37775938392608499</v>
      </c>
      <c r="AR902" s="14"/>
      <c r="AS902" s="14" t="s">
        <v>88</v>
      </c>
      <c r="AT902" s="14">
        <v>0.36999700275561298</v>
      </c>
      <c r="AU902" s="14" t="s">
        <v>88</v>
      </c>
      <c r="AV902" s="14"/>
      <c r="AW902" s="14">
        <v>0.34775716637698001</v>
      </c>
      <c r="AX902" s="14">
        <v>0.466881408113899</v>
      </c>
      <c r="AY902" s="14"/>
      <c r="AZ902" s="14">
        <v>0.39842548819567603</v>
      </c>
      <c r="BA902" s="14">
        <v>0.272897830469293</v>
      </c>
    </row>
    <row r="903" spans="2:53" x14ac:dyDescent="0.35">
      <c r="B903" t="s">
        <v>228</v>
      </c>
      <c r="C903" s="14">
        <v>0.20927841996816099</v>
      </c>
      <c r="D903" s="14">
        <v>0.22252092885417599</v>
      </c>
      <c r="E903" s="14">
        <v>0.19746303807684801</v>
      </c>
      <c r="F903" s="14"/>
      <c r="G903" s="14">
        <v>0</v>
      </c>
      <c r="H903" s="14">
        <v>0.20191253991260999</v>
      </c>
      <c r="I903" s="14">
        <v>0.203923922732415</v>
      </c>
      <c r="J903" s="14">
        <v>0.30078744308027899</v>
      </c>
      <c r="K903" s="14">
        <v>0</v>
      </c>
      <c r="L903" s="14">
        <v>0</v>
      </c>
      <c r="M903" s="14"/>
      <c r="N903" s="14">
        <v>0.20353745044264801</v>
      </c>
      <c r="O903" s="14">
        <v>0.178314536482018</v>
      </c>
      <c r="P903" s="14">
        <v>0.26311689274132599</v>
      </c>
      <c r="Q903" s="14">
        <v>0.21151772922952999</v>
      </c>
      <c r="R903" s="14"/>
      <c r="S903" s="14">
        <v>0.19752455341269001</v>
      </c>
      <c r="T903" s="14">
        <v>0.14380560318058</v>
      </c>
      <c r="U903" s="14">
        <v>0.15082734541484899</v>
      </c>
      <c r="V903" s="14">
        <v>7.55502570100587E-2</v>
      </c>
      <c r="W903" s="14">
        <v>0.31549864070497802</v>
      </c>
      <c r="X903" s="14">
        <v>0.27357284950528699</v>
      </c>
      <c r="Y903" s="14">
        <v>0.28746751410626697</v>
      </c>
      <c r="Z903" s="14">
        <v>0</v>
      </c>
      <c r="AA903" s="14">
        <v>0.25939412834372699</v>
      </c>
      <c r="AB903" s="14"/>
      <c r="AC903" s="14">
        <v>0.26407157470387099</v>
      </c>
      <c r="AD903" s="14">
        <v>0.25523001600919598</v>
      </c>
      <c r="AE903" s="14">
        <v>0.16463762154631201</v>
      </c>
      <c r="AF903" s="14">
        <v>0.13053673083870701</v>
      </c>
      <c r="AG903" s="14">
        <v>0.274093836006567</v>
      </c>
      <c r="AH903" s="14"/>
      <c r="AI903" s="14">
        <v>0.14489506289821799</v>
      </c>
      <c r="AJ903" s="14">
        <v>0.28045153801302602</v>
      </c>
      <c r="AK903" s="14">
        <v>0.21578534495667201</v>
      </c>
      <c r="AL903" s="14">
        <v>0.19287856292694699</v>
      </c>
      <c r="AM903" s="14">
        <v>0.27715090171232998</v>
      </c>
      <c r="AN903" s="14">
        <v>0.41160321241306103</v>
      </c>
      <c r="AO903" s="14"/>
      <c r="AP903" s="14">
        <v>0.20290025091051</v>
      </c>
      <c r="AQ903" s="14">
        <v>0.218011612254052</v>
      </c>
      <c r="AR903" s="14"/>
      <c r="AS903" s="14" t="s">
        <v>88</v>
      </c>
      <c r="AT903" s="14">
        <v>0.20927841996816099</v>
      </c>
      <c r="AU903" s="14" t="s">
        <v>88</v>
      </c>
      <c r="AV903" s="14"/>
      <c r="AW903" s="14">
        <v>0.22515043073308999</v>
      </c>
      <c r="AX903" s="14">
        <v>0.14478025804815201</v>
      </c>
      <c r="AY903" s="14"/>
      <c r="AZ903" s="14">
        <v>0.21065951405507299</v>
      </c>
      <c r="BA903" s="14">
        <v>0.211188754734459</v>
      </c>
    </row>
    <row r="904" spans="2:53" x14ac:dyDescent="0.35">
      <c r="B904" t="s">
        <v>229</v>
      </c>
      <c r="C904" s="14">
        <v>8.5540824723633793E-2</v>
      </c>
      <c r="D904" s="14">
        <v>3.4829439835933201E-2</v>
      </c>
      <c r="E904" s="14">
        <v>0.130787113311613</v>
      </c>
      <c r="F904" s="14"/>
      <c r="G904" s="14">
        <v>1</v>
      </c>
      <c r="H904" s="14">
        <v>4.3888372146194697E-2</v>
      </c>
      <c r="I904" s="14">
        <v>9.24954207212592E-2</v>
      </c>
      <c r="J904" s="14">
        <v>0.118745397052717</v>
      </c>
      <c r="K904" s="14">
        <v>0</v>
      </c>
      <c r="L904" s="14">
        <v>0</v>
      </c>
      <c r="M904" s="14"/>
      <c r="N904" s="14">
        <v>9.3820147989425201E-2</v>
      </c>
      <c r="O904" s="14">
        <v>0.104276637464847</v>
      </c>
      <c r="P904" s="14">
        <v>6.5452383960181507E-2</v>
      </c>
      <c r="Q904" s="14">
        <v>7.1956508021788795E-2</v>
      </c>
      <c r="R904" s="14"/>
      <c r="S904" s="14">
        <v>2.7035854465001501E-2</v>
      </c>
      <c r="T904" s="14">
        <v>0.101772258835667</v>
      </c>
      <c r="U904" s="14">
        <v>0.12761716881330601</v>
      </c>
      <c r="V904" s="14">
        <v>3.3205262294401502E-2</v>
      </c>
      <c r="W904" s="14">
        <v>0.129931846272513</v>
      </c>
      <c r="X904" s="14">
        <v>9.3204644466132594E-2</v>
      </c>
      <c r="Y904" s="14">
        <v>5.7225203223564197E-2</v>
      </c>
      <c r="Z904" s="14">
        <v>0.129391072896999</v>
      </c>
      <c r="AA904" s="14">
        <v>0.10671153637693299</v>
      </c>
      <c r="AB904" s="14"/>
      <c r="AC904" s="14">
        <v>0.102715319551428</v>
      </c>
      <c r="AD904" s="14">
        <v>0.12611355989715201</v>
      </c>
      <c r="AE904" s="14">
        <v>7.8846343885972198E-2</v>
      </c>
      <c r="AF904" s="14">
        <v>6.23267207678272E-2</v>
      </c>
      <c r="AG904" s="14">
        <v>0</v>
      </c>
      <c r="AH904" s="14"/>
      <c r="AI904" s="14">
        <v>7.9385024846104796E-2</v>
      </c>
      <c r="AJ904" s="14">
        <v>0.10435386860783499</v>
      </c>
      <c r="AK904" s="14">
        <v>5.2413235265963698E-2</v>
      </c>
      <c r="AL904" s="14">
        <v>0.116978271917218</v>
      </c>
      <c r="AM904" s="14">
        <v>0.12864375398390299</v>
      </c>
      <c r="AN904" s="14">
        <v>3.9601223047807901E-2</v>
      </c>
      <c r="AO904" s="14"/>
      <c r="AP904" s="14">
        <v>5.7564986932106099E-2</v>
      </c>
      <c r="AQ904" s="14">
        <v>0.123846233154171</v>
      </c>
      <c r="AR904" s="14"/>
      <c r="AS904" s="14" t="s">
        <v>88</v>
      </c>
      <c r="AT904" s="14">
        <v>8.5540824723633793E-2</v>
      </c>
      <c r="AU904" s="14" t="s">
        <v>88</v>
      </c>
      <c r="AV904" s="14"/>
      <c r="AW904" s="14">
        <v>0.100517627043156</v>
      </c>
      <c r="AX904" s="14">
        <v>3.1108633698334501E-2</v>
      </c>
      <c r="AY904" s="14"/>
      <c r="AZ904" s="14">
        <v>7.1764748372141002E-2</v>
      </c>
      <c r="BA904" s="14">
        <v>0.14176886233032901</v>
      </c>
    </row>
    <row r="905" spans="2:53" x14ac:dyDescent="0.35">
      <c r="B905" t="s">
        <v>116</v>
      </c>
      <c r="C905" s="14">
        <v>1.8688674645044201E-2</v>
      </c>
      <c r="D905" s="14">
        <v>1.49910889234023E-2</v>
      </c>
      <c r="E905" s="14">
        <v>2.1987776631919202E-2</v>
      </c>
      <c r="F905" s="14"/>
      <c r="G905" s="14">
        <v>0</v>
      </c>
      <c r="H905" s="14">
        <v>0</v>
      </c>
      <c r="I905" s="14">
        <v>8.1345811630514006E-3</v>
      </c>
      <c r="J905" s="14">
        <v>4.3233323313475999E-2</v>
      </c>
      <c r="K905" s="14">
        <v>0</v>
      </c>
      <c r="L905" s="14">
        <v>1</v>
      </c>
      <c r="M905" s="14"/>
      <c r="N905" s="14">
        <v>0</v>
      </c>
      <c r="O905" s="14">
        <v>0</v>
      </c>
      <c r="P905" s="14">
        <v>1.9644085331609999E-2</v>
      </c>
      <c r="Q905" s="14">
        <v>5.3518580772002097E-2</v>
      </c>
      <c r="R905" s="14"/>
      <c r="S905" s="14">
        <v>0</v>
      </c>
      <c r="T905" s="14">
        <v>2.4532338609760201E-2</v>
      </c>
      <c r="U905" s="14">
        <v>0</v>
      </c>
      <c r="V905" s="14">
        <v>4.61896178082149E-2</v>
      </c>
      <c r="W905" s="14">
        <v>6.9117206729242694E-2</v>
      </c>
      <c r="X905" s="14">
        <v>0</v>
      </c>
      <c r="Y905" s="14">
        <v>0</v>
      </c>
      <c r="Z905" s="14">
        <v>0</v>
      </c>
      <c r="AA905" s="14">
        <v>2.3155716763752499E-2</v>
      </c>
      <c r="AB905" s="14"/>
      <c r="AC905" s="14">
        <v>2.3816093003866098E-2</v>
      </c>
      <c r="AD905" s="14">
        <v>3.3392050654886103E-2</v>
      </c>
      <c r="AE905" s="14">
        <v>0</v>
      </c>
      <c r="AF905" s="14">
        <v>0</v>
      </c>
      <c r="AG905" s="14">
        <v>0</v>
      </c>
      <c r="AH905" s="14"/>
      <c r="AI905" s="14">
        <v>1.8080914994830999E-2</v>
      </c>
      <c r="AJ905" s="14">
        <v>0</v>
      </c>
      <c r="AK905" s="14">
        <v>0</v>
      </c>
      <c r="AL905" s="14">
        <v>5.5821279657939399E-2</v>
      </c>
      <c r="AM905" s="14">
        <v>0</v>
      </c>
      <c r="AN905" s="14">
        <v>0</v>
      </c>
      <c r="AO905" s="14"/>
      <c r="AP905" s="14">
        <v>2.0106554049195102E-2</v>
      </c>
      <c r="AQ905" s="14">
        <v>1.6747268990422601E-2</v>
      </c>
      <c r="AR905" s="14"/>
      <c r="AS905" s="14" t="s">
        <v>88</v>
      </c>
      <c r="AT905" s="14">
        <v>1.8688674645044201E-2</v>
      </c>
      <c r="AU905" s="14" t="s">
        <v>88</v>
      </c>
      <c r="AV905" s="14"/>
      <c r="AW905" s="14">
        <v>2.3220712240266599E-2</v>
      </c>
      <c r="AX905" s="14">
        <v>0</v>
      </c>
      <c r="AY905" s="14"/>
      <c r="AZ905" s="14">
        <v>4.5973721380093103E-3</v>
      </c>
      <c r="BA905" s="14">
        <v>3.9175348886145399E-2</v>
      </c>
    </row>
    <row r="906" spans="2:53" x14ac:dyDescent="0.35"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</row>
    <row r="907" spans="2:53" x14ac:dyDescent="0.35">
      <c r="B907" s="6" t="s">
        <v>287</v>
      </c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</row>
    <row r="908" spans="2:53" x14ac:dyDescent="0.35">
      <c r="B908" s="30" t="s">
        <v>328</v>
      </c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</row>
    <row r="909" spans="2:53" x14ac:dyDescent="0.35">
      <c r="B909" t="s">
        <v>231</v>
      </c>
      <c r="C909" s="14">
        <v>9.0189754978073494E-2</v>
      </c>
      <c r="D909" s="14">
        <v>9.3187635512817696E-2</v>
      </c>
      <c r="E909" s="14">
        <v>8.7514951911115205E-2</v>
      </c>
      <c r="F909" s="14"/>
      <c r="G909" s="14">
        <v>0</v>
      </c>
      <c r="H909" s="14">
        <v>0.12708042361791899</v>
      </c>
      <c r="I909" s="14">
        <v>7.7699983398927697E-2</v>
      </c>
      <c r="J909" s="14">
        <v>9.8277208177341605E-2</v>
      </c>
      <c r="K909" s="14">
        <v>0</v>
      </c>
      <c r="L909" s="14">
        <v>0</v>
      </c>
      <c r="M909" s="14"/>
      <c r="N909" s="14">
        <v>4.2903395061237103E-2</v>
      </c>
      <c r="O909" s="14">
        <v>0.118274375537472</v>
      </c>
      <c r="P909" s="14">
        <v>0.124695359789187</v>
      </c>
      <c r="Q909" s="14">
        <v>7.7579651131397906E-2</v>
      </c>
      <c r="R909" s="14"/>
      <c r="S909" s="14">
        <v>0.101963076252352</v>
      </c>
      <c r="T909" s="14">
        <v>0.101837791719515</v>
      </c>
      <c r="U909" s="14">
        <v>0.257155700984459</v>
      </c>
      <c r="V909" s="14">
        <v>7.55502570100587E-2</v>
      </c>
      <c r="W909" s="14">
        <v>3.7831058989414898E-2</v>
      </c>
      <c r="X909" s="14">
        <v>8.08415890463582E-2</v>
      </c>
      <c r="Y909" s="14">
        <v>6.5554624209167994E-2</v>
      </c>
      <c r="Z909" s="14">
        <v>0</v>
      </c>
      <c r="AA909" s="14">
        <v>5.2029578721401001E-2</v>
      </c>
      <c r="AB909" s="14"/>
      <c r="AC909" s="14">
        <v>7.3421447103598797E-2</v>
      </c>
      <c r="AD909" s="14">
        <v>0.123384077859077</v>
      </c>
      <c r="AE909" s="14">
        <v>5.3804258705359098E-2</v>
      </c>
      <c r="AF909" s="14">
        <v>0.13351486623051301</v>
      </c>
      <c r="AG909" s="14">
        <v>0.23678557089520999</v>
      </c>
      <c r="AH909" s="14"/>
      <c r="AI909" s="14">
        <v>0.109239097626111</v>
      </c>
      <c r="AJ909" s="14">
        <v>8.4384341601566396E-2</v>
      </c>
      <c r="AK909" s="14">
        <v>0.111029968095883</v>
      </c>
      <c r="AL909" s="14">
        <v>3.9814676207453499E-2</v>
      </c>
      <c r="AM909" s="14">
        <v>0</v>
      </c>
      <c r="AN909" s="14">
        <v>0.16908309608942901</v>
      </c>
      <c r="AO909" s="14"/>
      <c r="AP909" s="14">
        <v>0.10143698137584101</v>
      </c>
      <c r="AQ909" s="14">
        <v>7.4789694251109706E-2</v>
      </c>
      <c r="AR909" s="14"/>
      <c r="AS909" s="14" t="s">
        <v>88</v>
      </c>
      <c r="AT909" s="14">
        <v>9.0189754978073494E-2</v>
      </c>
      <c r="AU909" s="14" t="s">
        <v>88</v>
      </c>
      <c r="AV909" s="14"/>
      <c r="AW909" s="14">
        <v>8.6766244583440497E-2</v>
      </c>
      <c r="AX909" s="14">
        <v>0.13644577775675301</v>
      </c>
      <c r="AY909" s="14"/>
      <c r="AZ909" s="14">
        <v>9.2857944198236397E-2</v>
      </c>
      <c r="BA909" s="14">
        <v>8.2997873251823201E-2</v>
      </c>
    </row>
    <row r="910" spans="2:53" x14ac:dyDescent="0.35">
      <c r="B910" t="s">
        <v>232</v>
      </c>
      <c r="C910" s="14">
        <v>0.78130796561536497</v>
      </c>
      <c r="D910" s="14">
        <v>0.77680168202052002</v>
      </c>
      <c r="E910" s="14">
        <v>0.78532861321635605</v>
      </c>
      <c r="F910" s="14"/>
      <c r="G910" s="14">
        <v>1</v>
      </c>
      <c r="H910" s="14">
        <v>0.77773117434856798</v>
      </c>
      <c r="I910" s="14">
        <v>0.77586741433850803</v>
      </c>
      <c r="J910" s="14">
        <v>0.82058772577946604</v>
      </c>
      <c r="K910" s="14">
        <v>0.80796012937884398</v>
      </c>
      <c r="L910" s="14">
        <v>0</v>
      </c>
      <c r="M910" s="14"/>
      <c r="N910" s="14">
        <v>0.81095255682587097</v>
      </c>
      <c r="O910" s="14">
        <v>0.79656971726278603</v>
      </c>
      <c r="P910" s="14">
        <v>0.76436716171173202</v>
      </c>
      <c r="Q910" s="14">
        <v>0.75138542981103695</v>
      </c>
      <c r="R910" s="14"/>
      <c r="S910" s="14">
        <v>0.80910626603341995</v>
      </c>
      <c r="T910" s="14">
        <v>0.80712971978953696</v>
      </c>
      <c r="U910" s="14">
        <v>0.59731693056815705</v>
      </c>
      <c r="V910" s="14">
        <v>0.72872636484124398</v>
      </c>
      <c r="W910" s="14">
        <v>0.80015510246737698</v>
      </c>
      <c r="X910" s="14">
        <v>0.84491228667987806</v>
      </c>
      <c r="Y910" s="14">
        <v>0.83326014502842705</v>
      </c>
      <c r="Z910" s="14">
        <v>0.85799803628098203</v>
      </c>
      <c r="AA910" s="14">
        <v>0.75469108595205203</v>
      </c>
      <c r="AB910" s="14"/>
      <c r="AC910" s="14">
        <v>0.75990756187483399</v>
      </c>
      <c r="AD910" s="14">
        <v>0.78510717037436295</v>
      </c>
      <c r="AE910" s="14">
        <v>0.81978955563206002</v>
      </c>
      <c r="AF910" s="14">
        <v>0.756367565568973</v>
      </c>
      <c r="AG910" s="14">
        <v>0.76321442910478998</v>
      </c>
      <c r="AH910" s="14"/>
      <c r="AI910" s="14">
        <v>0.76668803454843604</v>
      </c>
      <c r="AJ910" s="14">
        <v>0.81199508222245798</v>
      </c>
      <c r="AK910" s="14">
        <v>0.62956371131190003</v>
      </c>
      <c r="AL910" s="14">
        <v>0.82162211671760799</v>
      </c>
      <c r="AM910" s="14">
        <v>0.87498292876341599</v>
      </c>
      <c r="AN910" s="14">
        <v>0.66416110099834902</v>
      </c>
      <c r="AO910" s="14"/>
      <c r="AP910" s="14">
        <v>0.753147736257886</v>
      </c>
      <c r="AQ910" s="14">
        <v>0.81986584885282598</v>
      </c>
      <c r="AR910" s="14"/>
      <c r="AS910" s="14" t="s">
        <v>88</v>
      </c>
      <c r="AT910" s="14">
        <v>0.78130796561536497</v>
      </c>
      <c r="AU910" s="14" t="s">
        <v>88</v>
      </c>
      <c r="AV910" s="14"/>
      <c r="AW910" s="14">
        <v>0.78702021486355001</v>
      </c>
      <c r="AX910" s="14">
        <v>0.74296398824490795</v>
      </c>
      <c r="AY910" s="14"/>
      <c r="AZ910" s="14">
        <v>0.79326444546326902</v>
      </c>
      <c r="BA910" s="14">
        <v>0.762146539038144</v>
      </c>
    </row>
    <row r="911" spans="2:53" x14ac:dyDescent="0.35">
      <c r="B911" t="s">
        <v>233</v>
      </c>
      <c r="C911" s="14">
        <v>8.3348024889772401E-2</v>
      </c>
      <c r="D911" s="14">
        <v>7.2061812248159204E-2</v>
      </c>
      <c r="E911" s="14">
        <v>9.3417937896064202E-2</v>
      </c>
      <c r="F911" s="14"/>
      <c r="G911" s="14">
        <v>0</v>
      </c>
      <c r="H911" s="14">
        <v>7.2049993580062102E-2</v>
      </c>
      <c r="I911" s="14">
        <v>9.6918442771857696E-2</v>
      </c>
      <c r="J911" s="14">
        <v>4.2063260265989701E-2</v>
      </c>
      <c r="K911" s="14">
        <v>0.19203987062115599</v>
      </c>
      <c r="L911" s="14">
        <v>0</v>
      </c>
      <c r="M911" s="14"/>
      <c r="N911" s="14">
        <v>0.107711967300614</v>
      </c>
      <c r="O911" s="14">
        <v>6.0185097921729998E-2</v>
      </c>
      <c r="P911" s="14">
        <v>6.99650219739235E-2</v>
      </c>
      <c r="Q911" s="14">
        <v>9.6151772330215005E-2</v>
      </c>
      <c r="R911" s="14"/>
      <c r="S911" s="14">
        <v>8.8930657714227604E-2</v>
      </c>
      <c r="T911" s="14">
        <v>5.0906073044871498E-2</v>
      </c>
      <c r="U911" s="14">
        <v>0.14552736844738401</v>
      </c>
      <c r="V911" s="14">
        <v>9.5221438658868604E-2</v>
      </c>
      <c r="W911" s="14">
        <v>5.4392733064784503E-2</v>
      </c>
      <c r="X911" s="14">
        <v>7.42461242737638E-2</v>
      </c>
      <c r="Y911" s="14">
        <v>7.3139217013910698E-2</v>
      </c>
      <c r="Z911" s="14">
        <v>0.14200196371901799</v>
      </c>
      <c r="AA911" s="14">
        <v>9.1010931544262597E-2</v>
      </c>
      <c r="AB911" s="14"/>
      <c r="AC911" s="14">
        <v>6.9502897061675104E-2</v>
      </c>
      <c r="AD911" s="14">
        <v>4.9347712210596598E-2</v>
      </c>
      <c r="AE911" s="14">
        <v>8.3936661622209294E-2</v>
      </c>
      <c r="AF911" s="14">
        <v>0.11011756820051399</v>
      </c>
      <c r="AG911" s="14">
        <v>0</v>
      </c>
      <c r="AH911" s="14"/>
      <c r="AI911" s="14">
        <v>9.1425240032833796E-2</v>
      </c>
      <c r="AJ911" s="14">
        <v>8.3984772600606203E-2</v>
      </c>
      <c r="AK911" s="14">
        <v>0.25940632059221702</v>
      </c>
      <c r="AL911" s="14">
        <v>6.2481372281536003E-2</v>
      </c>
      <c r="AM911" s="14">
        <v>5.1750325708826601E-2</v>
      </c>
      <c r="AN911" s="14">
        <v>7.3672583623661594E-2</v>
      </c>
      <c r="AO911" s="14"/>
      <c r="AP911" s="14">
        <v>9.7233104603510895E-2</v>
      </c>
      <c r="AQ911" s="14">
        <v>6.4336131359048407E-2</v>
      </c>
      <c r="AR911" s="14"/>
      <c r="AS911" s="14" t="s">
        <v>88</v>
      </c>
      <c r="AT911" s="14">
        <v>8.3348024889772401E-2</v>
      </c>
      <c r="AU911" s="14" t="s">
        <v>88</v>
      </c>
      <c r="AV911" s="14"/>
      <c r="AW911" s="14">
        <v>7.0109297182484903E-2</v>
      </c>
      <c r="AX911" s="14">
        <v>0.120590233998338</v>
      </c>
      <c r="AY911" s="14"/>
      <c r="AZ911" s="14">
        <v>7.0848501981896198E-2</v>
      </c>
      <c r="BA911" s="14">
        <v>0.13456436114036699</v>
      </c>
    </row>
    <row r="912" spans="2:53" x14ac:dyDescent="0.35">
      <c r="B912" t="s">
        <v>116</v>
      </c>
      <c r="C912" s="14">
        <v>4.5154254516788998E-2</v>
      </c>
      <c r="D912" s="14">
        <v>5.7948870218503402E-2</v>
      </c>
      <c r="E912" s="14">
        <v>3.3738496976464701E-2</v>
      </c>
      <c r="F912" s="14"/>
      <c r="G912" s="14">
        <v>0</v>
      </c>
      <c r="H912" s="14">
        <v>2.3138408453451598E-2</v>
      </c>
      <c r="I912" s="14">
        <v>4.9514159490706602E-2</v>
      </c>
      <c r="J912" s="14">
        <v>3.9071805777203102E-2</v>
      </c>
      <c r="K912" s="14">
        <v>0</v>
      </c>
      <c r="L912" s="14">
        <v>1</v>
      </c>
      <c r="M912" s="14"/>
      <c r="N912" s="14">
        <v>3.8432080812278398E-2</v>
      </c>
      <c r="O912" s="14">
        <v>2.4970809278011898E-2</v>
      </c>
      <c r="P912" s="14">
        <v>4.09724565251567E-2</v>
      </c>
      <c r="Q912" s="14">
        <v>7.4883146727350594E-2</v>
      </c>
      <c r="R912" s="14"/>
      <c r="S912" s="14">
        <v>0</v>
      </c>
      <c r="T912" s="14">
        <v>4.01264154460763E-2</v>
      </c>
      <c r="U912" s="14">
        <v>0</v>
      </c>
      <c r="V912" s="14">
        <v>0.100501939489829</v>
      </c>
      <c r="W912" s="14">
        <v>0.107621105478424</v>
      </c>
      <c r="X912" s="14">
        <v>0</v>
      </c>
      <c r="Y912" s="14">
        <v>2.8046013748494601E-2</v>
      </c>
      <c r="Z912" s="14">
        <v>0</v>
      </c>
      <c r="AA912" s="14">
        <v>0.10226840378228499</v>
      </c>
      <c r="AB912" s="14"/>
      <c r="AC912" s="14">
        <v>9.7168093959891996E-2</v>
      </c>
      <c r="AD912" s="14">
        <v>4.2161039555964001E-2</v>
      </c>
      <c r="AE912" s="14">
        <v>4.2469524040371097E-2</v>
      </c>
      <c r="AF912" s="14">
        <v>0</v>
      </c>
      <c r="AG912" s="14">
        <v>0</v>
      </c>
      <c r="AH912" s="14"/>
      <c r="AI912" s="14">
        <v>3.26476277926196E-2</v>
      </c>
      <c r="AJ912" s="14">
        <v>1.96358035753692E-2</v>
      </c>
      <c r="AK912" s="14">
        <v>0</v>
      </c>
      <c r="AL912" s="14">
        <v>7.6081834793402497E-2</v>
      </c>
      <c r="AM912" s="14">
        <v>7.3266745527757804E-2</v>
      </c>
      <c r="AN912" s="14">
        <v>9.3083219288560407E-2</v>
      </c>
      <c r="AO912" s="14"/>
      <c r="AP912" s="14">
        <v>4.8182177762762499E-2</v>
      </c>
      <c r="AQ912" s="14">
        <v>4.1008325537015701E-2</v>
      </c>
      <c r="AR912" s="14"/>
      <c r="AS912" s="14" t="s">
        <v>88</v>
      </c>
      <c r="AT912" s="14">
        <v>4.5154254516788998E-2</v>
      </c>
      <c r="AU912" s="14" t="s">
        <v>88</v>
      </c>
      <c r="AV912" s="14"/>
      <c r="AW912" s="14">
        <v>5.6104243370524901E-2</v>
      </c>
      <c r="AX912" s="14">
        <v>0</v>
      </c>
      <c r="AY912" s="14"/>
      <c r="AZ912" s="14">
        <v>4.3029108356598497E-2</v>
      </c>
      <c r="BA912" s="14">
        <v>2.0291226569666702E-2</v>
      </c>
    </row>
    <row r="913" spans="2:53" x14ac:dyDescent="0.35"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</row>
    <row r="914" spans="2:53" x14ac:dyDescent="0.35">
      <c r="B914" s="6" t="s">
        <v>288</v>
      </c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</row>
    <row r="915" spans="2:53" x14ac:dyDescent="0.35">
      <c r="B915" s="30" t="s">
        <v>328</v>
      </c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</row>
    <row r="916" spans="2:53" x14ac:dyDescent="0.35">
      <c r="B916" t="s">
        <v>235</v>
      </c>
      <c r="C916" s="14">
        <v>0.51828894005125603</v>
      </c>
      <c r="D916" s="14">
        <v>0.50513393369816495</v>
      </c>
      <c r="E916" s="14">
        <v>0.53002624943743804</v>
      </c>
      <c r="F916" s="14"/>
      <c r="G916" s="14">
        <v>0</v>
      </c>
      <c r="H916" s="14">
        <v>0.52971496660953099</v>
      </c>
      <c r="I916" s="14">
        <v>0.53825744181600699</v>
      </c>
      <c r="J916" s="14">
        <v>0.52332661290451299</v>
      </c>
      <c r="K916" s="14">
        <v>0.33979204690646803</v>
      </c>
      <c r="L916" s="14">
        <v>0</v>
      </c>
      <c r="M916" s="14"/>
      <c r="N916" s="14">
        <v>0.61483899856078605</v>
      </c>
      <c r="O916" s="14">
        <v>0.64388574941688603</v>
      </c>
      <c r="P916" s="14">
        <v>0.36215967782537201</v>
      </c>
      <c r="Q916" s="14">
        <v>0.40682716801702301</v>
      </c>
      <c r="R916" s="14"/>
      <c r="S916" s="14">
        <v>0.58178995358369201</v>
      </c>
      <c r="T916" s="14">
        <v>0.61228883318680905</v>
      </c>
      <c r="U916" s="14">
        <v>0.36873519632486301</v>
      </c>
      <c r="V916" s="14">
        <v>0.61315344211982503</v>
      </c>
      <c r="W916" s="14">
        <v>0.37944921518039998</v>
      </c>
      <c r="X916" s="14">
        <v>0.34158816936115399</v>
      </c>
      <c r="Y916" s="14">
        <v>0.59555207443043101</v>
      </c>
      <c r="Z916" s="14">
        <v>0.57863368540048099</v>
      </c>
      <c r="AA916" s="14">
        <v>0.56981741699232802</v>
      </c>
      <c r="AB916" s="14"/>
      <c r="AC916" s="14">
        <v>0.33975972607232602</v>
      </c>
      <c r="AD916" s="14">
        <v>0.46025239601245799</v>
      </c>
      <c r="AE916" s="14">
        <v>0.56879591454485001</v>
      </c>
      <c r="AF916" s="14">
        <v>0.71324495381979103</v>
      </c>
      <c r="AG916" s="14">
        <v>0.360938475225689</v>
      </c>
      <c r="AH916" s="14"/>
      <c r="AI916" s="14">
        <v>0.542948840252784</v>
      </c>
      <c r="AJ916" s="14">
        <v>0.52289748378282297</v>
      </c>
      <c r="AK916" s="14">
        <v>0.61636169098813498</v>
      </c>
      <c r="AL916" s="14">
        <v>0.48943377609761202</v>
      </c>
      <c r="AM916" s="14">
        <v>0.46713452475079698</v>
      </c>
      <c r="AN916" s="14">
        <v>0.49352341412300899</v>
      </c>
      <c r="AO916" s="14"/>
      <c r="AP916" s="14">
        <v>0.49968379908348798</v>
      </c>
      <c r="AQ916" s="14">
        <v>0.54376369183488105</v>
      </c>
      <c r="AR916" s="14"/>
      <c r="AS916" s="14" t="s">
        <v>88</v>
      </c>
      <c r="AT916" s="14">
        <v>0.51828894005125603</v>
      </c>
      <c r="AU916" s="14" t="s">
        <v>88</v>
      </c>
      <c r="AV916" s="14"/>
      <c r="AW916" s="14">
        <v>0.51474113909530705</v>
      </c>
      <c r="AX916" s="14">
        <v>0.55123991862103305</v>
      </c>
      <c r="AY916" s="14"/>
      <c r="AZ916" s="14">
        <v>0.54861611951948097</v>
      </c>
      <c r="BA916" s="14">
        <v>0.41898600279403297</v>
      </c>
    </row>
    <row r="917" spans="2:53" x14ac:dyDescent="0.35">
      <c r="B917" t="s">
        <v>236</v>
      </c>
      <c r="C917" s="14">
        <v>0.40554987516775598</v>
      </c>
      <c r="D917" s="14">
        <v>0.39206014203073097</v>
      </c>
      <c r="E917" s="14">
        <v>0.417585838292098</v>
      </c>
      <c r="F917" s="14"/>
      <c r="G917" s="14">
        <v>0</v>
      </c>
      <c r="H917" s="14">
        <v>0.41137579953356701</v>
      </c>
      <c r="I917" s="14">
        <v>0.39708467870102798</v>
      </c>
      <c r="J917" s="14">
        <v>0.39409049091968901</v>
      </c>
      <c r="K917" s="14">
        <v>0.66020795309353197</v>
      </c>
      <c r="L917" s="14">
        <v>0</v>
      </c>
      <c r="M917" s="14"/>
      <c r="N917" s="14">
        <v>0.35184438469603102</v>
      </c>
      <c r="O917" s="14">
        <v>0.32253385935114698</v>
      </c>
      <c r="P917" s="14">
        <v>0.48122316170304602</v>
      </c>
      <c r="Q917" s="14">
        <v>0.48878617979125</v>
      </c>
      <c r="R917" s="14"/>
      <c r="S917" s="14">
        <v>0.41407231921658</v>
      </c>
      <c r="T917" s="14">
        <v>0.28305548393455698</v>
      </c>
      <c r="U917" s="14">
        <v>0.57836990142937295</v>
      </c>
      <c r="V917" s="14">
        <v>0.25698397918850202</v>
      </c>
      <c r="W917" s="14">
        <v>0.47827341260244199</v>
      </c>
      <c r="X917" s="14">
        <v>0.55200389396209204</v>
      </c>
      <c r="Y917" s="14">
        <v>0.40444792556956999</v>
      </c>
      <c r="Z917" s="14">
        <v>0.42136631459951901</v>
      </c>
      <c r="AA917" s="14">
        <v>0.33710293081742199</v>
      </c>
      <c r="AB917" s="14"/>
      <c r="AC917" s="14">
        <v>0.53762005466143903</v>
      </c>
      <c r="AD917" s="14">
        <v>0.48789792370306501</v>
      </c>
      <c r="AE917" s="14">
        <v>0.38499122586645401</v>
      </c>
      <c r="AF917" s="14">
        <v>0.25465104266448801</v>
      </c>
      <c r="AG917" s="14">
        <v>0.639061524774311</v>
      </c>
      <c r="AH917" s="14"/>
      <c r="AI917" s="14">
        <v>0.37102971767877402</v>
      </c>
      <c r="AJ917" s="14">
        <v>0.40486068694085903</v>
      </c>
      <c r="AK917" s="14">
        <v>0.31923711329214899</v>
      </c>
      <c r="AL917" s="14">
        <v>0.44801267006801798</v>
      </c>
      <c r="AM917" s="14">
        <v>0.53286547524920302</v>
      </c>
      <c r="AN917" s="14">
        <v>0.244310270499002</v>
      </c>
      <c r="AO917" s="14"/>
      <c r="AP917" s="14">
        <v>0.41190126071454503</v>
      </c>
      <c r="AQ917" s="14">
        <v>0.39685335571827401</v>
      </c>
      <c r="AR917" s="14"/>
      <c r="AS917" s="14" t="s">
        <v>88</v>
      </c>
      <c r="AT917" s="14">
        <v>0.40554987516775598</v>
      </c>
      <c r="AU917" s="14" t="s">
        <v>88</v>
      </c>
      <c r="AV917" s="14"/>
      <c r="AW917" s="14">
        <v>0.40888899081900698</v>
      </c>
      <c r="AX917" s="14">
        <v>0.41056900942024799</v>
      </c>
      <c r="AY917" s="14"/>
      <c r="AZ917" s="14">
        <v>0.37731633508845103</v>
      </c>
      <c r="BA917" s="14">
        <v>0.52876345152455395</v>
      </c>
    </row>
    <row r="918" spans="2:53" x14ac:dyDescent="0.35">
      <c r="B918" t="s">
        <v>237</v>
      </c>
      <c r="C918" s="14">
        <v>4.8550476738960603E-2</v>
      </c>
      <c r="D918" s="14">
        <v>6.41247122676213E-2</v>
      </c>
      <c r="E918" s="14">
        <v>3.4654655182767002E-2</v>
      </c>
      <c r="F918" s="14"/>
      <c r="G918" s="14">
        <v>0</v>
      </c>
      <c r="H918" s="14">
        <v>3.7207976163703402E-2</v>
      </c>
      <c r="I918" s="14">
        <v>5.5092786506718797E-2</v>
      </c>
      <c r="J918" s="14">
        <v>6.1619929469203298E-2</v>
      </c>
      <c r="K918" s="14">
        <v>0</v>
      </c>
      <c r="L918" s="14">
        <v>0</v>
      </c>
      <c r="M918" s="14"/>
      <c r="N918" s="14">
        <v>3.0688457707043901E-2</v>
      </c>
      <c r="O918" s="14">
        <v>0</v>
      </c>
      <c r="P918" s="14">
        <v>0.13697307513997301</v>
      </c>
      <c r="Q918" s="14">
        <v>5.6876415443422597E-2</v>
      </c>
      <c r="R918" s="14"/>
      <c r="S918" s="14">
        <v>0</v>
      </c>
      <c r="T918" s="14">
        <v>6.4529260996776E-2</v>
      </c>
      <c r="U918" s="14">
        <v>5.2894902245764999E-2</v>
      </c>
      <c r="V918" s="14">
        <v>7.55502570100587E-2</v>
      </c>
      <c r="W918" s="14">
        <v>7.3160165487915596E-2</v>
      </c>
      <c r="X918" s="14">
        <v>0.10640793667675399</v>
      </c>
      <c r="Y918" s="14">
        <v>0</v>
      </c>
      <c r="Z918" s="14">
        <v>0</v>
      </c>
      <c r="AA918" s="14">
        <v>3.7212895006818902E-2</v>
      </c>
      <c r="AB918" s="14"/>
      <c r="AC918" s="14">
        <v>6.6836496342122798E-2</v>
      </c>
      <c r="AD918" s="14">
        <v>4.1147833816253802E-2</v>
      </c>
      <c r="AE918" s="14">
        <v>3.5968781713791802E-2</v>
      </c>
      <c r="AF918" s="14">
        <v>0</v>
      </c>
      <c r="AG918" s="14">
        <v>0</v>
      </c>
      <c r="AH918" s="14"/>
      <c r="AI918" s="14">
        <v>3.8714643226427502E-2</v>
      </c>
      <c r="AJ918" s="14">
        <v>6.8348046591961101E-2</v>
      </c>
      <c r="AK918" s="14">
        <v>6.4401195719715906E-2</v>
      </c>
      <c r="AL918" s="14">
        <v>3.6487434712861103E-2</v>
      </c>
      <c r="AM918" s="14">
        <v>0</v>
      </c>
      <c r="AN918" s="14">
        <v>0.16908309608942901</v>
      </c>
      <c r="AO918" s="14"/>
      <c r="AP918" s="14">
        <v>5.7302939912791603E-2</v>
      </c>
      <c r="AQ918" s="14">
        <v>3.65663253028106E-2</v>
      </c>
      <c r="AR918" s="14"/>
      <c r="AS918" s="14" t="s">
        <v>88</v>
      </c>
      <c r="AT918" s="14">
        <v>4.8550476738960603E-2</v>
      </c>
      <c r="AU918" s="14" t="s">
        <v>88</v>
      </c>
      <c r="AV918" s="14"/>
      <c r="AW918" s="14">
        <v>4.28354612782346E-2</v>
      </c>
      <c r="AX918" s="14">
        <v>3.40270045712074E-2</v>
      </c>
      <c r="AY918" s="14"/>
      <c r="AZ918" s="14">
        <v>4.8028530726416899E-2</v>
      </c>
      <c r="BA918" s="14">
        <v>5.2250545681412297E-2</v>
      </c>
    </row>
    <row r="919" spans="2:53" x14ac:dyDescent="0.35">
      <c r="B919" t="s">
        <v>238</v>
      </c>
      <c r="C919" s="14">
        <v>0</v>
      </c>
      <c r="D919" s="14">
        <v>0</v>
      </c>
      <c r="E919" s="14">
        <v>0</v>
      </c>
      <c r="F919" s="14"/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/>
      <c r="N919" s="14">
        <v>0</v>
      </c>
      <c r="O919" s="14">
        <v>0</v>
      </c>
      <c r="P919" s="14">
        <v>0</v>
      </c>
      <c r="Q919" s="14">
        <v>0</v>
      </c>
      <c r="R919" s="14"/>
      <c r="S919" s="14">
        <v>0</v>
      </c>
      <c r="T919" s="14">
        <v>0</v>
      </c>
      <c r="U919" s="14">
        <v>0</v>
      </c>
      <c r="V919" s="14">
        <v>0</v>
      </c>
      <c r="W919" s="14">
        <v>0</v>
      </c>
      <c r="X919" s="14">
        <v>0</v>
      </c>
      <c r="Y919" s="14">
        <v>0</v>
      </c>
      <c r="Z919" s="14">
        <v>0</v>
      </c>
      <c r="AA919" s="14">
        <v>0</v>
      </c>
      <c r="AB919" s="14"/>
      <c r="AC919" s="14">
        <v>0</v>
      </c>
      <c r="AD919" s="14">
        <v>0</v>
      </c>
      <c r="AE919" s="14">
        <v>0</v>
      </c>
      <c r="AF919" s="14">
        <v>0</v>
      </c>
      <c r="AG919" s="14">
        <v>0</v>
      </c>
      <c r="AH919" s="14"/>
      <c r="AI919" s="14">
        <v>0</v>
      </c>
      <c r="AJ919" s="14">
        <v>0</v>
      </c>
      <c r="AK919" s="14">
        <v>0</v>
      </c>
      <c r="AL919" s="14">
        <v>0</v>
      </c>
      <c r="AM919" s="14">
        <v>0</v>
      </c>
      <c r="AN919" s="14">
        <v>0</v>
      </c>
      <c r="AO919" s="14"/>
      <c r="AP919" s="14">
        <v>0</v>
      </c>
      <c r="AQ919" s="14">
        <v>0</v>
      </c>
      <c r="AR919" s="14"/>
      <c r="AS919" s="14" t="s">
        <v>88</v>
      </c>
      <c r="AT919" s="14">
        <v>0</v>
      </c>
      <c r="AU919" s="14" t="s">
        <v>88</v>
      </c>
      <c r="AV919" s="14"/>
      <c r="AW919" s="14">
        <v>0</v>
      </c>
      <c r="AX919" s="14">
        <v>0</v>
      </c>
      <c r="AY919" s="14"/>
      <c r="AZ919" s="14">
        <v>0</v>
      </c>
      <c r="BA919" s="14">
        <v>0</v>
      </c>
    </row>
    <row r="920" spans="2:53" x14ac:dyDescent="0.35">
      <c r="B920" t="s">
        <v>116</v>
      </c>
      <c r="C920" s="14">
        <v>2.7610708042027001E-2</v>
      </c>
      <c r="D920" s="14">
        <v>3.8681212003482297E-2</v>
      </c>
      <c r="E920" s="14">
        <v>1.77332570876979E-2</v>
      </c>
      <c r="F920" s="14"/>
      <c r="G920" s="14">
        <v>1</v>
      </c>
      <c r="H920" s="14">
        <v>2.1701257693198899E-2</v>
      </c>
      <c r="I920" s="14">
        <v>9.5650929762459893E-3</v>
      </c>
      <c r="J920" s="14">
        <v>2.0962966706594099E-2</v>
      </c>
      <c r="K920" s="14">
        <v>0</v>
      </c>
      <c r="L920" s="14">
        <v>1</v>
      </c>
      <c r="M920" s="14"/>
      <c r="N920" s="14">
        <v>2.6281590361383E-3</v>
      </c>
      <c r="O920" s="14">
        <v>3.3580391231967398E-2</v>
      </c>
      <c r="P920" s="14">
        <v>1.9644085331609999E-2</v>
      </c>
      <c r="Q920" s="14">
        <v>4.7510236748305297E-2</v>
      </c>
      <c r="R920" s="14"/>
      <c r="S920" s="14">
        <v>4.13772719972788E-3</v>
      </c>
      <c r="T920" s="14">
        <v>4.01264218818582E-2</v>
      </c>
      <c r="U920" s="14">
        <v>0</v>
      </c>
      <c r="V920" s="14">
        <v>5.4312321681613797E-2</v>
      </c>
      <c r="W920" s="14">
        <v>6.9117206729242694E-2</v>
      </c>
      <c r="X920" s="14">
        <v>0</v>
      </c>
      <c r="Y920" s="14">
        <v>0</v>
      </c>
      <c r="Z920" s="14">
        <v>0</v>
      </c>
      <c r="AA920" s="14">
        <v>5.5866757183430302E-2</v>
      </c>
      <c r="AB920" s="14"/>
      <c r="AC920" s="14">
        <v>5.5783722924112301E-2</v>
      </c>
      <c r="AD920" s="14">
        <v>1.07018464682233E-2</v>
      </c>
      <c r="AE920" s="14">
        <v>1.02440778749044E-2</v>
      </c>
      <c r="AF920" s="14">
        <v>3.2104003515721201E-2</v>
      </c>
      <c r="AG920" s="14">
        <v>0</v>
      </c>
      <c r="AH920" s="14"/>
      <c r="AI920" s="14">
        <v>4.7306798842014101E-2</v>
      </c>
      <c r="AJ920" s="14">
        <v>3.8937826843569601E-3</v>
      </c>
      <c r="AK920" s="14">
        <v>0</v>
      </c>
      <c r="AL920" s="14">
        <v>2.6066119121508701E-2</v>
      </c>
      <c r="AM920" s="14">
        <v>0</v>
      </c>
      <c r="AN920" s="14">
        <v>9.3083219288560407E-2</v>
      </c>
      <c r="AO920" s="14"/>
      <c r="AP920" s="14">
        <v>3.1112000289175702E-2</v>
      </c>
      <c r="AQ920" s="14">
        <v>2.2816627144034301E-2</v>
      </c>
      <c r="AR920" s="14"/>
      <c r="AS920" s="14" t="s">
        <v>88</v>
      </c>
      <c r="AT920" s="14">
        <v>2.7610708042027001E-2</v>
      </c>
      <c r="AU920" s="14" t="s">
        <v>88</v>
      </c>
      <c r="AV920" s="14"/>
      <c r="AW920" s="14">
        <v>3.3534408807451198E-2</v>
      </c>
      <c r="AX920" s="14">
        <v>4.1640673875106698E-3</v>
      </c>
      <c r="AY920" s="14"/>
      <c r="AZ920" s="14">
        <v>2.6039014665650499E-2</v>
      </c>
      <c r="BA920" s="14">
        <v>0</v>
      </c>
    </row>
    <row r="921" spans="2:53" x14ac:dyDescent="0.35"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</row>
    <row r="922" spans="2:53" x14ac:dyDescent="0.35">
      <c r="B922" s="6" t="s">
        <v>289</v>
      </c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</row>
    <row r="923" spans="2:53" x14ac:dyDescent="0.35">
      <c r="B923" s="30" t="s">
        <v>328</v>
      </c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</row>
    <row r="924" spans="2:53" x14ac:dyDescent="0.35">
      <c r="B924" t="s">
        <v>220</v>
      </c>
      <c r="C924" s="14">
        <v>0.34515647701638502</v>
      </c>
      <c r="D924" s="14">
        <v>0.349947606337489</v>
      </c>
      <c r="E924" s="14">
        <v>0.34088168112183298</v>
      </c>
      <c r="F924" s="14"/>
      <c r="G924" s="14">
        <v>0</v>
      </c>
      <c r="H924" s="14">
        <v>0.38894656138447498</v>
      </c>
      <c r="I924" s="14">
        <v>0.366763510356655</v>
      </c>
      <c r="J924" s="14">
        <v>0.242505610786836</v>
      </c>
      <c r="K924" s="14">
        <v>0.33979204690646803</v>
      </c>
      <c r="L924" s="14">
        <v>0</v>
      </c>
      <c r="M924" s="14"/>
      <c r="N924" s="14">
        <v>0.46734635769899202</v>
      </c>
      <c r="O924" s="14">
        <v>0.36322225078213199</v>
      </c>
      <c r="P924" s="14">
        <v>0.18956663052884901</v>
      </c>
      <c r="Q924" s="14">
        <v>0.32549187400990998</v>
      </c>
      <c r="R924" s="14"/>
      <c r="S924" s="14">
        <v>0.32082972060764497</v>
      </c>
      <c r="T924" s="14">
        <v>0.419801038777387</v>
      </c>
      <c r="U924" s="14">
        <v>0.34901443283632799</v>
      </c>
      <c r="V924" s="14">
        <v>0.41012889538964298</v>
      </c>
      <c r="W924" s="14">
        <v>0.41121508585620797</v>
      </c>
      <c r="X924" s="14">
        <v>0.18919407975625499</v>
      </c>
      <c r="Y924" s="14">
        <v>0.40384291418694201</v>
      </c>
      <c r="Z924" s="14">
        <v>0.35632580054891899</v>
      </c>
      <c r="AA924" s="14">
        <v>0.29846237779774198</v>
      </c>
      <c r="AB924" s="14"/>
      <c r="AC924" s="14">
        <v>0.25619842960316502</v>
      </c>
      <c r="AD924" s="14">
        <v>0.22561259434779199</v>
      </c>
      <c r="AE924" s="14">
        <v>0.400312321614962</v>
      </c>
      <c r="AF924" s="14">
        <v>0.51765380873045097</v>
      </c>
      <c r="AG924" s="14">
        <v>0.92623588132973</v>
      </c>
      <c r="AH924" s="14"/>
      <c r="AI924" s="14">
        <v>0.38478834873446699</v>
      </c>
      <c r="AJ924" s="14">
        <v>0.28588957866867698</v>
      </c>
      <c r="AK924" s="14">
        <v>0.45388646348450401</v>
      </c>
      <c r="AL924" s="14">
        <v>0.26485598091170798</v>
      </c>
      <c r="AM924" s="14">
        <v>0.28634087138054598</v>
      </c>
      <c r="AN924" s="14">
        <v>0.60913793296793906</v>
      </c>
      <c r="AO924" s="14"/>
      <c r="AP924" s="14">
        <v>0.37088285440623298</v>
      </c>
      <c r="AQ924" s="14">
        <v>0.30993110143693797</v>
      </c>
      <c r="AR924" s="14"/>
      <c r="AS924" s="14" t="s">
        <v>88</v>
      </c>
      <c r="AT924" s="14">
        <v>0.34515647701638502</v>
      </c>
      <c r="AU924" s="14" t="s">
        <v>88</v>
      </c>
      <c r="AV924" s="14"/>
      <c r="AW924" s="14">
        <v>0.29384223188957698</v>
      </c>
      <c r="AX924" s="14">
        <v>0.60819728857194499</v>
      </c>
      <c r="AY924" s="14"/>
      <c r="AZ924" s="14">
        <v>0.38105596954645599</v>
      </c>
      <c r="BA924" s="14">
        <v>0.218310429527561</v>
      </c>
    </row>
    <row r="925" spans="2:53" x14ac:dyDescent="0.35">
      <c r="B925" t="s">
        <v>221</v>
      </c>
      <c r="C925" s="14">
        <v>0.46007051382980402</v>
      </c>
      <c r="D925" s="14">
        <v>0.50631446122756696</v>
      </c>
      <c r="E925" s="14">
        <v>0.41881021312928102</v>
      </c>
      <c r="F925" s="14"/>
      <c r="G925" s="14">
        <v>0</v>
      </c>
      <c r="H925" s="14">
        <v>0.47315854664156698</v>
      </c>
      <c r="I925" s="14">
        <v>0.411438197576173</v>
      </c>
      <c r="J925" s="14">
        <v>0.572460632061077</v>
      </c>
      <c r="K925" s="14">
        <v>0.66020795309353197</v>
      </c>
      <c r="L925" s="14">
        <v>0</v>
      </c>
      <c r="M925" s="14"/>
      <c r="N925" s="14">
        <v>0.36952476727150402</v>
      </c>
      <c r="O925" s="14">
        <v>0.49528951330728899</v>
      </c>
      <c r="P925" s="14">
        <v>0.53822447178578803</v>
      </c>
      <c r="Q925" s="14">
        <v>0.44761959619450398</v>
      </c>
      <c r="R925" s="14"/>
      <c r="S925" s="14">
        <v>0.55679059352297899</v>
      </c>
      <c r="T925" s="14">
        <v>0.37960450787160199</v>
      </c>
      <c r="U925" s="14">
        <v>0.39349393248276299</v>
      </c>
      <c r="V925" s="14">
        <v>0.49667033707767699</v>
      </c>
      <c r="W925" s="14">
        <v>0.38604961509192998</v>
      </c>
      <c r="X925" s="14">
        <v>0.53152091560851</v>
      </c>
      <c r="Y925" s="14">
        <v>0.48854893551568102</v>
      </c>
      <c r="Z925" s="14">
        <v>0.51654415725482705</v>
      </c>
      <c r="AA925" s="14">
        <v>0.42796913038242002</v>
      </c>
      <c r="AB925" s="14"/>
      <c r="AC925" s="14">
        <v>0.53236816223406502</v>
      </c>
      <c r="AD925" s="14">
        <v>0.52516447186745396</v>
      </c>
      <c r="AE925" s="14">
        <v>0.44366741976285101</v>
      </c>
      <c r="AF925" s="14">
        <v>0.34832281117890701</v>
      </c>
      <c r="AG925" s="14">
        <v>7.3764118670269996E-2</v>
      </c>
      <c r="AH925" s="14"/>
      <c r="AI925" s="14">
        <v>0.405485243072429</v>
      </c>
      <c r="AJ925" s="14">
        <v>0.56101869910847002</v>
      </c>
      <c r="AK925" s="14">
        <v>0.34658721132612103</v>
      </c>
      <c r="AL925" s="14">
        <v>0.54188147537431797</v>
      </c>
      <c r="AM925" s="14">
        <v>0.65590852036555503</v>
      </c>
      <c r="AN925" s="14">
        <v>0.351260843984254</v>
      </c>
      <c r="AO925" s="14"/>
      <c r="AP925" s="14">
        <v>0.47573881653772998</v>
      </c>
      <c r="AQ925" s="14">
        <v>0.43861697456092302</v>
      </c>
      <c r="AR925" s="14"/>
      <c r="AS925" s="14" t="s">
        <v>88</v>
      </c>
      <c r="AT925" s="14">
        <v>0.46007051382980402</v>
      </c>
      <c r="AU925" s="14" t="s">
        <v>88</v>
      </c>
      <c r="AV925" s="14"/>
      <c r="AW925" s="14">
        <v>0.48380871044405799</v>
      </c>
      <c r="AX925" s="14">
        <v>0.28576931191608002</v>
      </c>
      <c r="AY925" s="14"/>
      <c r="AZ925" s="14">
        <v>0.49415836242948302</v>
      </c>
      <c r="BA925" s="14">
        <v>0.34421019964156901</v>
      </c>
    </row>
    <row r="926" spans="2:53" x14ac:dyDescent="0.35">
      <c r="B926" t="s">
        <v>222</v>
      </c>
      <c r="C926" s="14">
        <v>0.11721329504193501</v>
      </c>
      <c r="D926" s="14">
        <v>8.4437315865028395E-2</v>
      </c>
      <c r="E926" s="14">
        <v>0.146457051959162</v>
      </c>
      <c r="F926" s="14"/>
      <c r="G926" s="14">
        <v>1</v>
      </c>
      <c r="H926" s="14">
        <v>0.100903307260878</v>
      </c>
      <c r="I926" s="14">
        <v>0.13357401497636201</v>
      </c>
      <c r="J926" s="14">
        <v>9.3731401572322501E-2</v>
      </c>
      <c r="K926" s="14">
        <v>0</v>
      </c>
      <c r="L926" s="14">
        <v>0</v>
      </c>
      <c r="M926" s="14"/>
      <c r="N926" s="14">
        <v>7.1633672093500703E-2</v>
      </c>
      <c r="O926" s="14">
        <v>0.111703786726284</v>
      </c>
      <c r="P926" s="14">
        <v>0.209902140948939</v>
      </c>
      <c r="Q926" s="14">
        <v>0.100517170239232</v>
      </c>
      <c r="R926" s="14"/>
      <c r="S926" s="14">
        <v>5.1787207808169498E-2</v>
      </c>
      <c r="T926" s="14">
        <v>8.2159773432566099E-2</v>
      </c>
      <c r="U926" s="14">
        <v>0.20459674428765601</v>
      </c>
      <c r="V926" s="14">
        <v>9.3200767532679404E-2</v>
      </c>
      <c r="W926" s="14">
        <v>0.123436998476948</v>
      </c>
      <c r="X926" s="14">
        <v>0.18181806637923401</v>
      </c>
      <c r="Y926" s="14">
        <v>7.5709153188639994E-2</v>
      </c>
      <c r="Z926" s="14">
        <v>0.12713004219625401</v>
      </c>
      <c r="AA926" s="14">
        <v>0.14684131528855901</v>
      </c>
      <c r="AB926" s="14"/>
      <c r="AC926" s="14">
        <v>0.126207146907795</v>
      </c>
      <c r="AD926" s="14">
        <v>0.10931232586638399</v>
      </c>
      <c r="AE926" s="14">
        <v>0.111101295883432</v>
      </c>
      <c r="AF926" s="14">
        <v>9.6583490574198294E-2</v>
      </c>
      <c r="AG926" s="14">
        <v>0</v>
      </c>
      <c r="AH926" s="14"/>
      <c r="AI926" s="14">
        <v>0.151299137813143</v>
      </c>
      <c r="AJ926" s="14">
        <v>6.0162097073579598E-2</v>
      </c>
      <c r="AK926" s="14">
        <v>8.46138331258217E-2</v>
      </c>
      <c r="AL926" s="14">
        <v>0.147926066689647</v>
      </c>
      <c r="AM926" s="14">
        <v>0</v>
      </c>
      <c r="AN926" s="14">
        <v>0</v>
      </c>
      <c r="AO926" s="14"/>
      <c r="AP926" s="14">
        <v>0.105192840069145</v>
      </c>
      <c r="AQ926" s="14">
        <v>0.133672084969329</v>
      </c>
      <c r="AR926" s="14"/>
      <c r="AS926" s="14" t="s">
        <v>88</v>
      </c>
      <c r="AT926" s="14">
        <v>0.11721329504193501</v>
      </c>
      <c r="AU926" s="14" t="s">
        <v>88</v>
      </c>
      <c r="AV926" s="14"/>
      <c r="AW926" s="14">
        <v>0.13053749752053001</v>
      </c>
      <c r="AX926" s="14">
        <v>8.1454379391612694E-2</v>
      </c>
      <c r="AY926" s="14"/>
      <c r="AZ926" s="14">
        <v>6.9139477055968193E-2</v>
      </c>
      <c r="BA926" s="14">
        <v>0.307149198927954</v>
      </c>
    </row>
    <row r="927" spans="2:53" x14ac:dyDescent="0.35">
      <c r="B927" t="s">
        <v>223</v>
      </c>
      <c r="C927" s="14">
        <v>1.8507356696634201E-2</v>
      </c>
      <c r="D927" s="14">
        <v>9.8132091890445802E-3</v>
      </c>
      <c r="E927" s="14">
        <v>2.6264547868320401E-2</v>
      </c>
      <c r="F927" s="14"/>
      <c r="G927" s="14">
        <v>0</v>
      </c>
      <c r="H927" s="14">
        <v>0</v>
      </c>
      <c r="I927" s="14">
        <v>2.61788753525336E-2</v>
      </c>
      <c r="J927" s="14">
        <v>2.9960193195678601E-2</v>
      </c>
      <c r="K927" s="14">
        <v>0</v>
      </c>
      <c r="L927" s="14">
        <v>0</v>
      </c>
      <c r="M927" s="14"/>
      <c r="N927" s="14">
        <v>3.00300103538312E-2</v>
      </c>
      <c r="O927" s="14">
        <v>1.2051718397495199E-2</v>
      </c>
      <c r="P927" s="14">
        <v>2.5851137050178202E-2</v>
      </c>
      <c r="Q927" s="14">
        <v>1.08361561683906E-2</v>
      </c>
      <c r="R927" s="14"/>
      <c r="S927" s="14">
        <v>0</v>
      </c>
      <c r="T927" s="14">
        <v>2.6373735394762E-2</v>
      </c>
      <c r="U927" s="14">
        <v>5.2894890393253298E-2</v>
      </c>
      <c r="V927" s="14">
        <v>0</v>
      </c>
      <c r="W927" s="14">
        <v>1.01810938456712E-2</v>
      </c>
      <c r="X927" s="14">
        <v>5.2070108011847901E-2</v>
      </c>
      <c r="Y927" s="14">
        <v>0</v>
      </c>
      <c r="Z927" s="14">
        <v>0</v>
      </c>
      <c r="AA927" s="14">
        <v>1.2229386998046999E-2</v>
      </c>
      <c r="AB927" s="14"/>
      <c r="AC927" s="14">
        <v>2.0025797215328201E-2</v>
      </c>
      <c r="AD927" s="14">
        <v>4.2921350891651999E-2</v>
      </c>
      <c r="AE927" s="14">
        <v>1.6682218255266099E-2</v>
      </c>
      <c r="AF927" s="14">
        <v>0</v>
      </c>
      <c r="AG927" s="14">
        <v>0</v>
      </c>
      <c r="AH927" s="14"/>
      <c r="AI927" s="14">
        <v>4.8995874529320802E-3</v>
      </c>
      <c r="AJ927" s="14">
        <v>5.2387088708285103E-2</v>
      </c>
      <c r="AK927" s="14">
        <v>3.2200597859857898E-2</v>
      </c>
      <c r="AL927" s="14">
        <v>0</v>
      </c>
      <c r="AM927" s="14">
        <v>0</v>
      </c>
      <c r="AN927" s="14">
        <v>3.9601223047807901E-2</v>
      </c>
      <c r="AO927" s="14"/>
      <c r="AP927" s="14">
        <v>0</v>
      </c>
      <c r="AQ927" s="14">
        <v>4.3848219140757802E-2</v>
      </c>
      <c r="AR927" s="14"/>
      <c r="AS927" s="14" t="s">
        <v>88</v>
      </c>
      <c r="AT927" s="14">
        <v>1.8507356696634201E-2</v>
      </c>
      <c r="AU927" s="14" t="s">
        <v>88</v>
      </c>
      <c r="AV927" s="14"/>
      <c r="AW927" s="14">
        <v>2.2995424359558501E-2</v>
      </c>
      <c r="AX927" s="14">
        <v>0</v>
      </c>
      <c r="AY927" s="14"/>
      <c r="AZ927" s="14">
        <v>9.9157367722437807E-3</v>
      </c>
      <c r="BA927" s="14">
        <v>5.2367621421155398E-2</v>
      </c>
    </row>
    <row r="928" spans="2:53" x14ac:dyDescent="0.35">
      <c r="B928" t="s">
        <v>116</v>
      </c>
      <c r="C928" s="14">
        <v>1.7110275768931201E-2</v>
      </c>
      <c r="D928" s="14">
        <v>1.49910889234023E-2</v>
      </c>
      <c r="E928" s="14">
        <v>1.90010807587177E-2</v>
      </c>
      <c r="F928" s="14"/>
      <c r="G928" s="14">
        <v>0</v>
      </c>
      <c r="H928" s="14">
        <v>9.6771570060141306E-3</v>
      </c>
      <c r="I928" s="14">
        <v>0</v>
      </c>
      <c r="J928" s="14">
        <v>4.3233323313475999E-2</v>
      </c>
      <c r="K928" s="14">
        <v>0</v>
      </c>
      <c r="L928" s="14">
        <v>1</v>
      </c>
      <c r="M928" s="14"/>
      <c r="N928" s="14">
        <v>0</v>
      </c>
      <c r="O928" s="14">
        <v>8.6095819539554995E-3</v>
      </c>
      <c r="P928" s="14">
        <v>1.9644085331609999E-2</v>
      </c>
      <c r="Q928" s="14">
        <v>3.8807591426400001E-2</v>
      </c>
      <c r="R928" s="14"/>
      <c r="S928" s="14">
        <v>0</v>
      </c>
      <c r="T928" s="14">
        <v>2.4532338609760201E-2</v>
      </c>
      <c r="U928" s="14">
        <v>0</v>
      </c>
      <c r="V928" s="14">
        <v>0</v>
      </c>
      <c r="W928" s="14">
        <v>6.9117206729242694E-2</v>
      </c>
      <c r="X928" s="14">
        <v>0</v>
      </c>
      <c r="Y928" s="14">
        <v>0</v>
      </c>
      <c r="Z928" s="14">
        <v>0</v>
      </c>
      <c r="AA928" s="14">
        <v>3.9511236488934898E-2</v>
      </c>
      <c r="AB928" s="14"/>
      <c r="AC928" s="14">
        <v>2.3816093003866098E-2</v>
      </c>
      <c r="AD928" s="14">
        <v>2.6798182222566198E-2</v>
      </c>
      <c r="AE928" s="14">
        <v>0</v>
      </c>
      <c r="AF928" s="14">
        <v>0</v>
      </c>
      <c r="AG928" s="14">
        <v>0</v>
      </c>
      <c r="AH928" s="14"/>
      <c r="AI928" s="14">
        <v>2.4633598235984801E-2</v>
      </c>
      <c r="AJ928" s="14">
        <v>0</v>
      </c>
      <c r="AK928" s="14">
        <v>0</v>
      </c>
      <c r="AL928" s="14">
        <v>2.6066119121508701E-2</v>
      </c>
      <c r="AM928" s="14">
        <v>0</v>
      </c>
      <c r="AN928" s="14">
        <v>0</v>
      </c>
      <c r="AO928" s="14"/>
      <c r="AP928" s="14">
        <v>1.2942719097636699E-2</v>
      </c>
      <c r="AQ928" s="14">
        <v>2.2816627144034301E-2</v>
      </c>
      <c r="AR928" s="14"/>
      <c r="AS928" s="14" t="s">
        <v>88</v>
      </c>
      <c r="AT928" s="14">
        <v>1.7110275768931201E-2</v>
      </c>
      <c r="AU928" s="14" t="s">
        <v>88</v>
      </c>
      <c r="AV928" s="14"/>
      <c r="AW928" s="14">
        <v>2.1259548765664701E-2</v>
      </c>
      <c r="AX928" s="14">
        <v>0</v>
      </c>
      <c r="AY928" s="14"/>
      <c r="AZ928" s="14">
        <v>7.8446225450846205E-3</v>
      </c>
      <c r="BA928" s="14">
        <v>1.8884122316478701E-2</v>
      </c>
    </row>
    <row r="929" spans="2:53" x14ac:dyDescent="0.35">
      <c r="B929" t="s">
        <v>224</v>
      </c>
      <c r="C929" s="14">
        <v>0.80522699084618998</v>
      </c>
      <c r="D929" s="14">
        <v>0.85626206756505596</v>
      </c>
      <c r="E929" s="14">
        <v>0.75969189425111405</v>
      </c>
      <c r="F929" s="14"/>
      <c r="G929" s="14">
        <v>0</v>
      </c>
      <c r="H929" s="14">
        <v>0.86210510802604201</v>
      </c>
      <c r="I929" s="14">
        <v>0.77820170793282795</v>
      </c>
      <c r="J929" s="14">
        <v>0.81496624284791397</v>
      </c>
      <c r="K929" s="14">
        <v>1</v>
      </c>
      <c r="L929" s="14">
        <v>0</v>
      </c>
      <c r="M929" s="14"/>
      <c r="N929" s="14">
        <v>0.83687112497049598</v>
      </c>
      <c r="O929" s="14">
        <v>0.85851176408942198</v>
      </c>
      <c r="P929" s="14">
        <v>0.72779110231463695</v>
      </c>
      <c r="Q929" s="14">
        <v>0.77311147020441395</v>
      </c>
      <c r="R929" s="14"/>
      <c r="S929" s="14">
        <v>0.87762031413062402</v>
      </c>
      <c r="T929" s="14">
        <v>0.799405546648989</v>
      </c>
      <c r="U929" s="14">
        <v>0.74250836531909103</v>
      </c>
      <c r="V929" s="14">
        <v>0.90679923246732097</v>
      </c>
      <c r="W929" s="14">
        <v>0.79726470094813795</v>
      </c>
      <c r="X929" s="14">
        <v>0.72071499536476502</v>
      </c>
      <c r="Y929" s="14">
        <v>0.89239184970262297</v>
      </c>
      <c r="Z929" s="14">
        <v>0.87286995780374599</v>
      </c>
      <c r="AA929" s="14">
        <v>0.726431508180162</v>
      </c>
      <c r="AB929" s="14"/>
      <c r="AC929" s="14">
        <v>0.78856659183723099</v>
      </c>
      <c r="AD929" s="14">
        <v>0.75077706621524498</v>
      </c>
      <c r="AE929" s="14">
        <v>0.84397974137781295</v>
      </c>
      <c r="AF929" s="14">
        <v>0.86597661990935904</v>
      </c>
      <c r="AG929" s="14">
        <v>1</v>
      </c>
      <c r="AH929" s="14"/>
      <c r="AI929" s="14">
        <v>0.79027359180689505</v>
      </c>
      <c r="AJ929" s="14">
        <v>0.84690827777714806</v>
      </c>
      <c r="AK929" s="14">
        <v>0.80047367481062404</v>
      </c>
      <c r="AL929" s="14">
        <v>0.806737456286025</v>
      </c>
      <c r="AM929" s="14">
        <v>0.94224939174610101</v>
      </c>
      <c r="AN929" s="14">
        <v>0.960398776952192</v>
      </c>
      <c r="AO929" s="14"/>
      <c r="AP929" s="14">
        <v>0.84662167094396301</v>
      </c>
      <c r="AQ929" s="14">
        <v>0.74854807599786</v>
      </c>
      <c r="AR929" s="14"/>
      <c r="AS929" s="14" t="s">
        <v>88</v>
      </c>
      <c r="AT929" s="14">
        <v>0.80522699084618998</v>
      </c>
      <c r="AU929" s="14" t="s">
        <v>88</v>
      </c>
      <c r="AV929" s="14"/>
      <c r="AW929" s="14">
        <v>0.77765094233363496</v>
      </c>
      <c r="AX929" s="14">
        <v>0.89396660048802601</v>
      </c>
      <c r="AY929" s="14"/>
      <c r="AZ929" s="14">
        <v>0.87521433197593901</v>
      </c>
      <c r="BA929" s="14">
        <v>0.56252062916913004</v>
      </c>
    </row>
    <row r="930" spans="2:53" x14ac:dyDescent="0.35"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</row>
    <row r="931" spans="2:53" x14ac:dyDescent="0.35">
      <c r="B931" s="6" t="s">
        <v>290</v>
      </c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</row>
    <row r="932" spans="2:53" x14ac:dyDescent="0.35">
      <c r="B932" s="30" t="s">
        <v>320</v>
      </c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</row>
    <row r="933" spans="2:53" x14ac:dyDescent="0.35">
      <c r="B933" t="s">
        <v>154</v>
      </c>
      <c r="C933" s="14">
        <v>0.73053657819129703</v>
      </c>
      <c r="D933" s="14">
        <v>0.76268709645924404</v>
      </c>
      <c r="E933" s="14">
        <v>0.70386476085764105</v>
      </c>
      <c r="F933" s="14"/>
      <c r="G933" s="14">
        <v>1</v>
      </c>
      <c r="H933" s="14">
        <v>0.65946595094170901</v>
      </c>
      <c r="I933" s="14">
        <v>0.74337270607815398</v>
      </c>
      <c r="J933" s="14">
        <v>0.77319120563055299</v>
      </c>
      <c r="K933" s="14">
        <v>1</v>
      </c>
      <c r="L933" s="14">
        <v>0</v>
      </c>
      <c r="M933" s="14"/>
      <c r="N933" s="14">
        <v>0.79423387109327903</v>
      </c>
      <c r="O933" s="14">
        <v>0.80621182392565605</v>
      </c>
      <c r="P933" s="14">
        <v>0.64500457336069394</v>
      </c>
      <c r="Q933" s="14">
        <v>0.66500972229720201</v>
      </c>
      <c r="R933" s="14"/>
      <c r="S933" s="14">
        <v>0.784918460474052</v>
      </c>
      <c r="T933" s="14">
        <v>0.68969722303647496</v>
      </c>
      <c r="U933" s="14">
        <v>0.71294005946225003</v>
      </c>
      <c r="V933" s="14">
        <v>0.82437608669620299</v>
      </c>
      <c r="W933" s="14">
        <v>0.70187735624681002</v>
      </c>
      <c r="X933" s="14">
        <v>0.67872554572521004</v>
      </c>
      <c r="Y933" s="14">
        <v>0.81763759526834401</v>
      </c>
      <c r="Z933" s="14">
        <v>0.465910873993793</v>
      </c>
      <c r="AA933" s="14">
        <v>0.74954192208891701</v>
      </c>
      <c r="AB933" s="14"/>
      <c r="AC933" s="14">
        <v>0.58576065629649399</v>
      </c>
      <c r="AD933" s="14">
        <v>0.71168281708808101</v>
      </c>
      <c r="AE933" s="14">
        <v>0.79238711665986095</v>
      </c>
      <c r="AF933" s="14">
        <v>0.87513150756040903</v>
      </c>
      <c r="AG933" s="14">
        <v>0.88268980845103995</v>
      </c>
      <c r="AH933" s="14"/>
      <c r="AI933" s="14">
        <v>0.78047024934434905</v>
      </c>
      <c r="AJ933" s="14">
        <v>0.70357227093885899</v>
      </c>
      <c r="AK933" s="14">
        <v>0.73851174553413701</v>
      </c>
      <c r="AL933" s="14">
        <v>0.65939359332364</v>
      </c>
      <c r="AM933" s="14">
        <v>0.73613861398829805</v>
      </c>
      <c r="AN933" s="14">
        <v>0.75168813019816505</v>
      </c>
      <c r="AO933" s="14"/>
      <c r="AP933" s="14">
        <v>0.77578586122243298</v>
      </c>
      <c r="AQ933" s="14">
        <v>0.670872811212336</v>
      </c>
      <c r="AR933" s="14"/>
      <c r="AS933" s="14" t="s">
        <v>88</v>
      </c>
      <c r="AT933" s="14">
        <v>0.73007881525770701</v>
      </c>
      <c r="AU933" s="14">
        <v>1</v>
      </c>
      <c r="AV933" s="14"/>
      <c r="AW933" s="14">
        <v>0.71590290950546098</v>
      </c>
      <c r="AX933" s="14">
        <v>0.84807593733057196</v>
      </c>
      <c r="AY933" s="14"/>
      <c r="AZ933" s="14">
        <v>0.75969554770872305</v>
      </c>
      <c r="BA933" s="14">
        <v>0.66939065565725697</v>
      </c>
    </row>
    <row r="934" spans="2:53" x14ac:dyDescent="0.35">
      <c r="B934" t="s">
        <v>155</v>
      </c>
      <c r="C934" s="14">
        <v>0.14191891919246999</v>
      </c>
      <c r="D934" s="14">
        <v>9.9511057874336104E-2</v>
      </c>
      <c r="E934" s="14">
        <v>0.17710014772389099</v>
      </c>
      <c r="F934" s="14"/>
      <c r="G934" s="14">
        <v>0</v>
      </c>
      <c r="H934" s="14">
        <v>0.19056544956493099</v>
      </c>
      <c r="I934" s="14">
        <v>0.136791861986515</v>
      </c>
      <c r="J934" s="14">
        <v>0.106922655643133</v>
      </c>
      <c r="K934" s="14">
        <v>0</v>
      </c>
      <c r="L934" s="14">
        <v>0.34819201228478702</v>
      </c>
      <c r="M934" s="14"/>
      <c r="N934" s="14">
        <v>9.2876042350350602E-2</v>
      </c>
      <c r="O934" s="14">
        <v>0.126296820131864</v>
      </c>
      <c r="P934" s="14">
        <v>0.20043507279429201</v>
      </c>
      <c r="Q934" s="14">
        <v>0.15025322029178301</v>
      </c>
      <c r="R934" s="14"/>
      <c r="S934" s="14">
        <v>0.13126460080573299</v>
      </c>
      <c r="T934" s="14">
        <v>0.24037767188339099</v>
      </c>
      <c r="U934" s="14">
        <v>0.12986236083639899</v>
      </c>
      <c r="V934" s="14">
        <v>4.1466747014112897E-2</v>
      </c>
      <c r="W934" s="14">
        <v>0.122121552352689</v>
      </c>
      <c r="X934" s="14">
        <v>0.14684141874081499</v>
      </c>
      <c r="Y934" s="14">
        <v>0.12773005976214599</v>
      </c>
      <c r="Z934" s="14">
        <v>0.170801456536159</v>
      </c>
      <c r="AA934" s="14">
        <v>0.115775390100067</v>
      </c>
      <c r="AB934" s="14"/>
      <c r="AC934" s="14">
        <v>0.18323720591658399</v>
      </c>
      <c r="AD934" s="14">
        <v>0.137467051499545</v>
      </c>
      <c r="AE934" s="14">
        <v>0.14083067642213901</v>
      </c>
      <c r="AF934" s="14">
        <v>6.3390851586719005E-2</v>
      </c>
      <c r="AG934" s="14">
        <v>0</v>
      </c>
      <c r="AH934" s="14"/>
      <c r="AI934" s="14">
        <v>0.14191393526135901</v>
      </c>
      <c r="AJ934" s="14">
        <v>0.16240652872164901</v>
      </c>
      <c r="AK934" s="14">
        <v>0.17431678645082199</v>
      </c>
      <c r="AL934" s="14">
        <v>0.170851949976978</v>
      </c>
      <c r="AM934" s="14">
        <v>5.8160450603666598E-2</v>
      </c>
      <c r="AN934" s="14">
        <v>7.91678848634563E-2</v>
      </c>
      <c r="AO934" s="14"/>
      <c r="AP934" s="14">
        <v>0.151878971638262</v>
      </c>
      <c r="AQ934" s="14">
        <v>0.128786020538252</v>
      </c>
      <c r="AR934" s="14"/>
      <c r="AS934" s="14" t="s">
        <v>88</v>
      </c>
      <c r="AT934" s="14">
        <v>0.14216001024796601</v>
      </c>
      <c r="AU934" s="14">
        <v>0</v>
      </c>
      <c r="AV934" s="14"/>
      <c r="AW934" s="14">
        <v>0.143715648848039</v>
      </c>
      <c r="AX934" s="14">
        <v>0.109705803482832</v>
      </c>
      <c r="AY934" s="14"/>
      <c r="AZ934" s="14">
        <v>0.13521232930861801</v>
      </c>
      <c r="BA934" s="14">
        <v>0.17260703693016</v>
      </c>
    </row>
    <row r="935" spans="2:53" x14ac:dyDescent="0.35">
      <c r="B935" t="s">
        <v>116</v>
      </c>
      <c r="C935" s="14">
        <v>0.12754450261623301</v>
      </c>
      <c r="D935" s="14">
        <v>0.13780184566642001</v>
      </c>
      <c r="E935" s="14">
        <v>0.11903509141846801</v>
      </c>
      <c r="F935" s="14"/>
      <c r="G935" s="14">
        <v>0</v>
      </c>
      <c r="H935" s="14">
        <v>0.149968599493361</v>
      </c>
      <c r="I935" s="14">
        <v>0.119835431935331</v>
      </c>
      <c r="J935" s="14">
        <v>0.119886138726314</v>
      </c>
      <c r="K935" s="14">
        <v>0</v>
      </c>
      <c r="L935" s="14">
        <v>0.65180798771521298</v>
      </c>
      <c r="M935" s="14"/>
      <c r="N935" s="14">
        <v>0.11289008655637101</v>
      </c>
      <c r="O935" s="14">
        <v>6.7491355942480097E-2</v>
      </c>
      <c r="P935" s="14">
        <v>0.15456035384501399</v>
      </c>
      <c r="Q935" s="14">
        <v>0.18473705741101501</v>
      </c>
      <c r="R935" s="14"/>
      <c r="S935" s="14">
        <v>8.3816938720215103E-2</v>
      </c>
      <c r="T935" s="14">
        <v>6.9925105080134206E-2</v>
      </c>
      <c r="U935" s="14">
        <v>0.15719757970135101</v>
      </c>
      <c r="V935" s="14">
        <v>0.13415716628968399</v>
      </c>
      <c r="W935" s="14">
        <v>0.17600109140050099</v>
      </c>
      <c r="X935" s="14">
        <v>0.17443303553397499</v>
      </c>
      <c r="Y935" s="14">
        <v>5.4632344969509701E-2</v>
      </c>
      <c r="Z935" s="14">
        <v>0.36328766947004798</v>
      </c>
      <c r="AA935" s="14">
        <v>0.134682687811016</v>
      </c>
      <c r="AB935" s="14"/>
      <c r="AC935" s="14">
        <v>0.231002137786922</v>
      </c>
      <c r="AD935" s="14">
        <v>0.15085013141237399</v>
      </c>
      <c r="AE935" s="14">
        <v>6.6782206918000006E-2</v>
      </c>
      <c r="AF935" s="14">
        <v>6.1477640852871697E-2</v>
      </c>
      <c r="AG935" s="14">
        <v>0.11731019154896</v>
      </c>
      <c r="AH935" s="14"/>
      <c r="AI935" s="14">
        <v>7.7615815394291798E-2</v>
      </c>
      <c r="AJ935" s="14">
        <v>0.134021200339492</v>
      </c>
      <c r="AK935" s="14">
        <v>8.7171468015040707E-2</v>
      </c>
      <c r="AL935" s="14">
        <v>0.169754456699381</v>
      </c>
      <c r="AM935" s="14">
        <v>0.205700935408035</v>
      </c>
      <c r="AN935" s="14">
        <v>0.16914398493837801</v>
      </c>
      <c r="AO935" s="14"/>
      <c r="AP935" s="14">
        <v>7.2335167139304907E-2</v>
      </c>
      <c r="AQ935" s="14">
        <v>0.200341168249412</v>
      </c>
      <c r="AR935" s="14"/>
      <c r="AS935" s="14" t="s">
        <v>88</v>
      </c>
      <c r="AT935" s="14">
        <v>0.127761174494327</v>
      </c>
      <c r="AU935" s="14">
        <v>0</v>
      </c>
      <c r="AV935" s="14"/>
      <c r="AW935" s="14">
        <v>0.14038144164649999</v>
      </c>
      <c r="AX935" s="14">
        <v>4.2218259186595303E-2</v>
      </c>
      <c r="AY935" s="14"/>
      <c r="AZ935" s="14">
        <v>0.10509212298265901</v>
      </c>
      <c r="BA935" s="14">
        <v>0.158002307412583</v>
      </c>
    </row>
    <row r="936" spans="2:53" x14ac:dyDescent="0.35"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</row>
    <row r="937" spans="2:53" x14ac:dyDescent="0.35">
      <c r="B937" s="6" t="s">
        <v>291</v>
      </c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</row>
    <row r="938" spans="2:53" x14ac:dyDescent="0.35">
      <c r="B938" s="30" t="s">
        <v>328</v>
      </c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</row>
    <row r="939" spans="2:53" x14ac:dyDescent="0.35">
      <c r="B939" t="s">
        <v>214</v>
      </c>
      <c r="C939" s="14">
        <v>0.15859479992120601</v>
      </c>
      <c r="D939" s="14">
        <v>0.17295790117894999</v>
      </c>
      <c r="E939" s="14">
        <v>0.145683498255053</v>
      </c>
      <c r="F939" s="14"/>
      <c r="G939" s="14">
        <v>1</v>
      </c>
      <c r="H939" s="14">
        <v>0.23356884055367599</v>
      </c>
      <c r="I939" s="14">
        <v>0.15182270486474</v>
      </c>
      <c r="J939" s="14">
        <v>6.7808957970434403E-2</v>
      </c>
      <c r="K939" s="14">
        <v>9.2137950727161397E-2</v>
      </c>
      <c r="L939" s="14" t="s">
        <v>88</v>
      </c>
      <c r="M939" s="14"/>
      <c r="N939" s="14">
        <v>0.17043351180004701</v>
      </c>
      <c r="O939" s="14">
        <v>0.170752496201315</v>
      </c>
      <c r="P939" s="14">
        <v>0.10941713218212901</v>
      </c>
      <c r="Q939" s="14">
        <v>0.16408399738311999</v>
      </c>
      <c r="R939" s="14"/>
      <c r="S939" s="14">
        <v>0.19545350995605801</v>
      </c>
      <c r="T939" s="14">
        <v>0.20249100570415501</v>
      </c>
      <c r="U939" s="14">
        <v>0.12681595129515699</v>
      </c>
      <c r="V939" s="14">
        <v>0.13413534717770401</v>
      </c>
      <c r="W939" s="14">
        <v>0.13920343847733699</v>
      </c>
      <c r="X939" s="14">
        <v>0.111299422697502</v>
      </c>
      <c r="Y939" s="14">
        <v>0.18462293996564999</v>
      </c>
      <c r="Z939" s="14">
        <v>0.45692471927817702</v>
      </c>
      <c r="AA939" s="14">
        <v>8.7375905996635403E-2</v>
      </c>
      <c r="AB939" s="14"/>
      <c r="AC939" s="14">
        <v>9.9231575089473903E-2</v>
      </c>
      <c r="AD939" s="14">
        <v>5.9571406108728298E-2</v>
      </c>
      <c r="AE939" s="14">
        <v>0.14244442532523099</v>
      </c>
      <c r="AF939" s="14">
        <v>0.25654351080384002</v>
      </c>
      <c r="AG939" s="14">
        <v>0.31489635428224999</v>
      </c>
      <c r="AH939" s="14"/>
      <c r="AI939" s="14">
        <v>0.207616540963864</v>
      </c>
      <c r="AJ939" s="14">
        <v>7.8679703162688797E-2</v>
      </c>
      <c r="AK939" s="14">
        <v>0.31877702407040598</v>
      </c>
      <c r="AL939" s="14">
        <v>0.14913961913330101</v>
      </c>
      <c r="AM939" s="14">
        <v>5.7356774786267599E-2</v>
      </c>
      <c r="AN939" s="14">
        <v>0.16258199740233001</v>
      </c>
      <c r="AO939" s="14"/>
      <c r="AP939" s="14">
        <v>0.15570810888848699</v>
      </c>
      <c r="AQ939" s="14">
        <v>0.16299630228692499</v>
      </c>
      <c r="AR939" s="14"/>
      <c r="AS939" s="14" t="s">
        <v>88</v>
      </c>
      <c r="AT939" s="14">
        <v>0.158963828499388</v>
      </c>
      <c r="AU939" s="14">
        <v>0</v>
      </c>
      <c r="AV939" s="14"/>
      <c r="AW939" s="14">
        <v>0.15932518813042701</v>
      </c>
      <c r="AX939" s="14">
        <v>0.16464339367574099</v>
      </c>
      <c r="AY939" s="14"/>
      <c r="AZ939" s="14">
        <v>0.17214516240379901</v>
      </c>
      <c r="BA939" s="14">
        <v>0.10568097871068299</v>
      </c>
    </row>
    <row r="940" spans="2:53" x14ac:dyDescent="0.35">
      <c r="B940" t="s">
        <v>215</v>
      </c>
      <c r="C940" s="14">
        <v>0.57911783621379398</v>
      </c>
      <c r="D940" s="14">
        <v>0.60794056609175695</v>
      </c>
      <c r="E940" s="14">
        <v>0.55320846235236398</v>
      </c>
      <c r="F940" s="14"/>
      <c r="G940" s="14">
        <v>0</v>
      </c>
      <c r="H940" s="14">
        <v>0.48226088942601603</v>
      </c>
      <c r="I940" s="14">
        <v>0.60051792611852595</v>
      </c>
      <c r="J940" s="14">
        <v>0.62167191625406204</v>
      </c>
      <c r="K940" s="14">
        <v>0.74347305765793303</v>
      </c>
      <c r="L940" s="14" t="s">
        <v>88</v>
      </c>
      <c r="M940" s="14"/>
      <c r="N940" s="14">
        <v>0.60659119077409696</v>
      </c>
      <c r="O940" s="14">
        <v>0.57597463074196398</v>
      </c>
      <c r="P940" s="14">
        <v>0.62615349846569801</v>
      </c>
      <c r="Q940" s="14">
        <v>0.52635719518183199</v>
      </c>
      <c r="R940" s="14"/>
      <c r="S940" s="14">
        <v>0.701503084842237</v>
      </c>
      <c r="T940" s="14">
        <v>0.49641910841222803</v>
      </c>
      <c r="U940" s="14">
        <v>0.81866897816404705</v>
      </c>
      <c r="V940" s="14">
        <v>0.43045261179606897</v>
      </c>
      <c r="W940" s="14">
        <v>0.60097712831147199</v>
      </c>
      <c r="X940" s="14">
        <v>0.56114513240330999</v>
      </c>
      <c r="Y940" s="14">
        <v>0.53055687852328504</v>
      </c>
      <c r="Z940" s="14">
        <v>0.19625517178594301</v>
      </c>
      <c r="AA940" s="14">
        <v>0.59003098464655501</v>
      </c>
      <c r="AB940" s="14"/>
      <c r="AC940" s="14">
        <v>0.60980832352393499</v>
      </c>
      <c r="AD940" s="14">
        <v>0.62386748395423997</v>
      </c>
      <c r="AE940" s="14">
        <v>0.53076002073588502</v>
      </c>
      <c r="AF940" s="14">
        <v>0.60094435787582601</v>
      </c>
      <c r="AG940" s="14">
        <v>0.37354614694819899</v>
      </c>
      <c r="AH940" s="14"/>
      <c r="AI940" s="14">
        <v>0.59242904410527497</v>
      </c>
      <c r="AJ940" s="14">
        <v>0.66137898471910495</v>
      </c>
      <c r="AK940" s="14">
        <v>0.40359731566192197</v>
      </c>
      <c r="AL940" s="14">
        <v>0.63064149624440102</v>
      </c>
      <c r="AM940" s="14">
        <v>0.42213301912613599</v>
      </c>
      <c r="AN940" s="14">
        <v>0.65993923437023505</v>
      </c>
      <c r="AO940" s="14"/>
      <c r="AP940" s="14">
        <v>0.57470513012458602</v>
      </c>
      <c r="AQ940" s="14">
        <v>0.58584614072256203</v>
      </c>
      <c r="AR940" s="14"/>
      <c r="AS940" s="14" t="s">
        <v>88</v>
      </c>
      <c r="AT940" s="14">
        <v>0.58046536483266498</v>
      </c>
      <c r="AU940" s="14">
        <v>0</v>
      </c>
      <c r="AV940" s="14"/>
      <c r="AW940" s="14">
        <v>0.55719040361204097</v>
      </c>
      <c r="AX940" s="14">
        <v>0.66254853520051404</v>
      </c>
      <c r="AY940" s="14"/>
      <c r="AZ940" s="14">
        <v>0.58347913706337395</v>
      </c>
      <c r="BA940" s="14">
        <v>0.56208706720695201</v>
      </c>
    </row>
    <row r="941" spans="2:53" x14ac:dyDescent="0.35">
      <c r="B941" t="s">
        <v>216</v>
      </c>
      <c r="C941" s="14">
        <v>0.11937941976356101</v>
      </c>
      <c r="D941" s="14">
        <v>0.13710148837997899</v>
      </c>
      <c r="E941" s="14">
        <v>0.103448669854554</v>
      </c>
      <c r="F941" s="14"/>
      <c r="G941" s="14">
        <v>0</v>
      </c>
      <c r="H941" s="14">
        <v>9.849334165128E-2</v>
      </c>
      <c r="I941" s="14">
        <v>0.131158725685494</v>
      </c>
      <c r="J941" s="14">
        <v>0.12852237768436101</v>
      </c>
      <c r="K941" s="14">
        <v>8.0135625468646401E-2</v>
      </c>
      <c r="L941" s="14" t="s">
        <v>88</v>
      </c>
      <c r="M941" s="14"/>
      <c r="N941" s="14">
        <v>0.13266828615619999</v>
      </c>
      <c r="O941" s="14">
        <v>0.157062719605637</v>
      </c>
      <c r="P941" s="14">
        <v>5.9502750266580799E-2</v>
      </c>
      <c r="Q941" s="14">
        <v>9.8210516453543104E-2</v>
      </c>
      <c r="R941" s="14"/>
      <c r="S941" s="14">
        <v>5.3276380921986201E-2</v>
      </c>
      <c r="T941" s="14">
        <v>0.145335774236658</v>
      </c>
      <c r="U941" s="14">
        <v>0</v>
      </c>
      <c r="V941" s="14">
        <v>0.16564743397902801</v>
      </c>
      <c r="W941" s="14">
        <v>0.165414925181948</v>
      </c>
      <c r="X941" s="14">
        <v>0.17132375030878</v>
      </c>
      <c r="Y941" s="14">
        <v>0.113748293150325</v>
      </c>
      <c r="Z941" s="14">
        <v>8.1974224080893707E-2</v>
      </c>
      <c r="AA941" s="14">
        <v>0.14346659782176799</v>
      </c>
      <c r="AB941" s="14"/>
      <c r="AC941" s="14">
        <v>0.12797762553740799</v>
      </c>
      <c r="AD941" s="14">
        <v>0.118558635960464</v>
      </c>
      <c r="AE941" s="14">
        <v>0.17739206240625399</v>
      </c>
      <c r="AF941" s="14">
        <v>6.8557203516210405E-2</v>
      </c>
      <c r="AG941" s="14">
        <v>5.1609511836743997E-2</v>
      </c>
      <c r="AH941" s="14"/>
      <c r="AI941" s="14">
        <v>0.10284647266557</v>
      </c>
      <c r="AJ941" s="14">
        <v>7.9128298362660998E-2</v>
      </c>
      <c r="AK941" s="14">
        <v>0.19353955434751799</v>
      </c>
      <c r="AL941" s="14">
        <v>0.152169236018355</v>
      </c>
      <c r="AM941" s="14">
        <v>5.28273442018607E-2</v>
      </c>
      <c r="AN941" s="14">
        <v>6.1111291164951398E-2</v>
      </c>
      <c r="AO941" s="14"/>
      <c r="AP941" s="14">
        <v>0.12537356763313601</v>
      </c>
      <c r="AQ941" s="14">
        <v>0.110239800826389</v>
      </c>
      <c r="AR941" s="14"/>
      <c r="AS941" s="14" t="s">
        <v>88</v>
      </c>
      <c r="AT941" s="14">
        <v>0.117330335173119</v>
      </c>
      <c r="AU941" s="14">
        <v>1</v>
      </c>
      <c r="AV941" s="14"/>
      <c r="AW941" s="14">
        <v>0.115218362809818</v>
      </c>
      <c r="AX941" s="14">
        <v>0.12702227506445399</v>
      </c>
      <c r="AY941" s="14"/>
      <c r="AZ941" s="14">
        <v>0.11891662011166899</v>
      </c>
      <c r="BA941" s="14">
        <v>0.12118664064550801</v>
      </c>
    </row>
    <row r="942" spans="2:53" x14ac:dyDescent="0.35">
      <c r="B942" t="s">
        <v>217</v>
      </c>
      <c r="C942" s="14">
        <v>3.7754096973244597E-2</v>
      </c>
      <c r="D942" s="14">
        <v>1.1762111885963201E-2</v>
      </c>
      <c r="E942" s="14">
        <v>6.1118853256858598E-2</v>
      </c>
      <c r="F942" s="14"/>
      <c r="G942" s="14">
        <v>0</v>
      </c>
      <c r="H942" s="14">
        <v>3.4287035054030898E-2</v>
      </c>
      <c r="I942" s="14">
        <v>4.1989039223129701E-2</v>
      </c>
      <c r="J942" s="14">
        <v>4.1989319420175197E-2</v>
      </c>
      <c r="K942" s="14">
        <v>0</v>
      </c>
      <c r="L942" s="14" t="s">
        <v>88</v>
      </c>
      <c r="M942" s="14"/>
      <c r="N942" s="14">
        <v>3.1770616927015501E-2</v>
      </c>
      <c r="O942" s="14">
        <v>2.16635141737841E-2</v>
      </c>
      <c r="P942" s="14">
        <v>0</v>
      </c>
      <c r="Q942" s="14">
        <v>8.8393707785235198E-2</v>
      </c>
      <c r="R942" s="14"/>
      <c r="S942" s="14">
        <v>2.88978767876805E-2</v>
      </c>
      <c r="T942" s="14">
        <v>4.18084619071281E-2</v>
      </c>
      <c r="U942" s="14">
        <v>5.4515070540795102E-2</v>
      </c>
      <c r="V942" s="14">
        <v>3.5528806958033399E-2</v>
      </c>
      <c r="W942" s="14">
        <v>4.6786198852052797E-2</v>
      </c>
      <c r="X942" s="14">
        <v>5.2168894011057398E-2</v>
      </c>
      <c r="Y942" s="14">
        <v>1.6817640891234699E-2</v>
      </c>
      <c r="Z942" s="14">
        <v>0</v>
      </c>
      <c r="AA942" s="14">
        <v>4.01987241635599E-2</v>
      </c>
      <c r="AB942" s="14"/>
      <c r="AC942" s="14">
        <v>2.9107000794163701E-2</v>
      </c>
      <c r="AD942" s="14">
        <v>5.4522791953602399E-2</v>
      </c>
      <c r="AE942" s="14">
        <v>3.28661620070759E-2</v>
      </c>
      <c r="AF942" s="14">
        <v>3.7310310676516197E-2</v>
      </c>
      <c r="AG942" s="14">
        <v>0</v>
      </c>
      <c r="AH942" s="14"/>
      <c r="AI942" s="14">
        <v>1.19217856087053E-2</v>
      </c>
      <c r="AJ942" s="14">
        <v>0.131797356785786</v>
      </c>
      <c r="AK942" s="14">
        <v>0</v>
      </c>
      <c r="AL942" s="14">
        <v>7.1195965922217098E-3</v>
      </c>
      <c r="AM942" s="14">
        <v>9.6917896866990302E-2</v>
      </c>
      <c r="AN942" s="14">
        <v>0</v>
      </c>
      <c r="AO942" s="14"/>
      <c r="AP942" s="14">
        <v>2.5419857186757901E-2</v>
      </c>
      <c r="AQ942" s="14">
        <v>5.6560815456179199E-2</v>
      </c>
      <c r="AR942" s="14"/>
      <c r="AS942" s="14" t="s">
        <v>88</v>
      </c>
      <c r="AT942" s="14">
        <v>3.7841945633689401E-2</v>
      </c>
      <c r="AU942" s="14">
        <v>0</v>
      </c>
      <c r="AV942" s="14"/>
      <c r="AW942" s="14">
        <v>4.4890987183237599E-2</v>
      </c>
      <c r="AX942" s="14">
        <v>1.5582688320547799E-2</v>
      </c>
      <c r="AY942" s="14"/>
      <c r="AZ942" s="14">
        <v>3.6512248625578302E-2</v>
      </c>
      <c r="BA942" s="14">
        <v>4.2603483218329199E-2</v>
      </c>
    </row>
    <row r="943" spans="2:53" x14ac:dyDescent="0.35">
      <c r="B943" t="s">
        <v>116</v>
      </c>
      <c r="C943" s="14">
        <v>6.7024812054070695E-2</v>
      </c>
      <c r="D943" s="14">
        <v>6.0453957909775903E-2</v>
      </c>
      <c r="E943" s="14">
        <v>7.2931494638762903E-2</v>
      </c>
      <c r="F943" s="14"/>
      <c r="G943" s="14">
        <v>0</v>
      </c>
      <c r="H943" s="14">
        <v>8.0304105849612797E-2</v>
      </c>
      <c r="I943" s="14">
        <v>4.7573889042341097E-2</v>
      </c>
      <c r="J943" s="14">
        <v>0.10152491356172499</v>
      </c>
      <c r="K943" s="14">
        <v>8.4253366146259404E-2</v>
      </c>
      <c r="L943" s="14" t="s">
        <v>88</v>
      </c>
      <c r="M943" s="14"/>
      <c r="N943" s="14">
        <v>1.4253558346728999E-2</v>
      </c>
      <c r="O943" s="14">
        <v>6.5093144604214906E-2</v>
      </c>
      <c r="P943" s="14">
        <v>0.13495891845594599</v>
      </c>
      <c r="Q943" s="14">
        <v>7.5186519933468504E-2</v>
      </c>
      <c r="R943" s="14"/>
      <c r="S943" s="14">
        <v>0</v>
      </c>
      <c r="T943" s="14">
        <v>6.4024673509568003E-2</v>
      </c>
      <c r="U943" s="14">
        <v>0</v>
      </c>
      <c r="V943" s="14">
        <v>0.18393504678686701</v>
      </c>
      <c r="W943" s="14">
        <v>4.7618309177190399E-2</v>
      </c>
      <c r="X943" s="14">
        <v>5.8990229226616002E-2</v>
      </c>
      <c r="Y943" s="14">
        <v>9.1124018044160704E-2</v>
      </c>
      <c r="Z943" s="14">
        <v>0.264845884854986</v>
      </c>
      <c r="AA943" s="14">
        <v>7.5742037675220295E-2</v>
      </c>
      <c r="AB943" s="14"/>
      <c r="AC943" s="14">
        <v>0.119721928096406</v>
      </c>
      <c r="AD943" s="14">
        <v>7.2840574095548602E-2</v>
      </c>
      <c r="AE943" s="14">
        <v>8.7825522652500806E-2</v>
      </c>
      <c r="AF943" s="14">
        <v>0</v>
      </c>
      <c r="AG943" s="14">
        <v>0</v>
      </c>
      <c r="AH943" s="14"/>
      <c r="AI943" s="14">
        <v>4.6891925010921397E-2</v>
      </c>
      <c r="AJ943" s="14">
        <v>3.83623100215583E-2</v>
      </c>
      <c r="AK943" s="14">
        <v>0</v>
      </c>
      <c r="AL943" s="14">
        <v>6.0930052011721601E-2</v>
      </c>
      <c r="AM943" s="14">
        <v>0.30675785808716699</v>
      </c>
      <c r="AN943" s="14">
        <v>4.93587772782191E-2</v>
      </c>
      <c r="AO943" s="14"/>
      <c r="AP943" s="14">
        <v>6.8176177835217094E-2</v>
      </c>
      <c r="AQ943" s="14">
        <v>6.5269259017017897E-2</v>
      </c>
      <c r="AR943" s="14"/>
      <c r="AS943" s="14" t="s">
        <v>88</v>
      </c>
      <c r="AT943" s="14">
        <v>6.7180769696487397E-2</v>
      </c>
      <c r="AU943" s="14">
        <v>0</v>
      </c>
      <c r="AV943" s="14"/>
      <c r="AW943" s="14">
        <v>8.5829011480298104E-2</v>
      </c>
      <c r="AX943" s="14">
        <v>0</v>
      </c>
      <c r="AY943" s="14"/>
      <c r="AZ943" s="14">
        <v>4.8314823508765599E-2</v>
      </c>
      <c r="BA943" s="14">
        <v>0.14008684194507801</v>
      </c>
    </row>
    <row r="944" spans="2:53" x14ac:dyDescent="0.35"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</row>
    <row r="945" spans="2:53" x14ac:dyDescent="0.35">
      <c r="B945" s="6" t="s">
        <v>292</v>
      </c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</row>
    <row r="946" spans="2:53" x14ac:dyDescent="0.35">
      <c r="B946" s="30" t="s">
        <v>328</v>
      </c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</row>
    <row r="947" spans="2:53" x14ac:dyDescent="0.35">
      <c r="B947" t="s">
        <v>220</v>
      </c>
      <c r="C947" s="14">
        <v>0.202287471627044</v>
      </c>
      <c r="D947" s="14">
        <v>0.22051612624361699</v>
      </c>
      <c r="E947" s="14">
        <v>0.18590134063073099</v>
      </c>
      <c r="F947" s="14"/>
      <c r="G947" s="14">
        <v>0</v>
      </c>
      <c r="H947" s="14">
        <v>0.20847040735938799</v>
      </c>
      <c r="I947" s="14">
        <v>0.19914130453095699</v>
      </c>
      <c r="J947" s="14">
        <v>0.14973993616884701</v>
      </c>
      <c r="K947" s="14">
        <v>0.43110331301463201</v>
      </c>
      <c r="L947" s="14" t="s">
        <v>88</v>
      </c>
      <c r="M947" s="14"/>
      <c r="N947" s="14">
        <v>0.273044806913117</v>
      </c>
      <c r="O947" s="14">
        <v>0.19208437283187399</v>
      </c>
      <c r="P947" s="14">
        <v>0.15800918069009601</v>
      </c>
      <c r="Q947" s="14">
        <v>0.17697730150343</v>
      </c>
      <c r="R947" s="14"/>
      <c r="S947" s="14">
        <v>0.21313313073918599</v>
      </c>
      <c r="T947" s="14">
        <v>0.216051191388863</v>
      </c>
      <c r="U947" s="14">
        <v>0.182304868766971</v>
      </c>
      <c r="V947" s="14">
        <v>0.20714695866441701</v>
      </c>
      <c r="W947" s="14">
        <v>0.16435242342082401</v>
      </c>
      <c r="X947" s="14">
        <v>0.19511085284607199</v>
      </c>
      <c r="Y947" s="14">
        <v>0.133857209752198</v>
      </c>
      <c r="Z947" s="14">
        <v>0.45692471927817702</v>
      </c>
      <c r="AA947" s="14">
        <v>0.22392137763001099</v>
      </c>
      <c r="AB947" s="14"/>
      <c r="AC947" s="14">
        <v>0.210085380653416</v>
      </c>
      <c r="AD947" s="14">
        <v>0.130994229081658</v>
      </c>
      <c r="AE947" s="14">
        <v>0.21315259120765601</v>
      </c>
      <c r="AF947" s="14">
        <v>0.28564034957134998</v>
      </c>
      <c r="AG947" s="14">
        <v>0.34231061671619301</v>
      </c>
      <c r="AH947" s="14"/>
      <c r="AI947" s="14">
        <v>0.27194931093727398</v>
      </c>
      <c r="AJ947" s="14">
        <v>0.13347748294681</v>
      </c>
      <c r="AK947" s="14">
        <v>0.28583254220871002</v>
      </c>
      <c r="AL947" s="14">
        <v>0.18289957195231701</v>
      </c>
      <c r="AM947" s="14">
        <v>5.7356774786267599E-2</v>
      </c>
      <c r="AN947" s="14">
        <v>0.14262764572679201</v>
      </c>
      <c r="AO947" s="14"/>
      <c r="AP947" s="14">
        <v>0.20060661628809801</v>
      </c>
      <c r="AQ947" s="14">
        <v>0.20485036757501501</v>
      </c>
      <c r="AR947" s="14"/>
      <c r="AS947" s="14" t="s">
        <v>88</v>
      </c>
      <c r="AT947" s="14">
        <v>0.20275816712321201</v>
      </c>
      <c r="AU947" s="14">
        <v>0</v>
      </c>
      <c r="AV947" s="14"/>
      <c r="AW947" s="14">
        <v>0.17200859812720901</v>
      </c>
      <c r="AX947" s="14">
        <v>0.31431791519584301</v>
      </c>
      <c r="AY947" s="14"/>
      <c r="AZ947" s="14">
        <v>0.22141573450347099</v>
      </c>
      <c r="BA947" s="14">
        <v>0.12759209110040801</v>
      </c>
    </row>
    <row r="948" spans="2:53" x14ac:dyDescent="0.35">
      <c r="B948" t="s">
        <v>221</v>
      </c>
      <c r="C948" s="14">
        <v>0.47635696136424699</v>
      </c>
      <c r="D948" s="14">
        <v>0.50755296138823702</v>
      </c>
      <c r="E948" s="14">
        <v>0.44831420375506398</v>
      </c>
      <c r="F948" s="14"/>
      <c r="G948" s="14">
        <v>0</v>
      </c>
      <c r="H948" s="14">
        <v>0.39377417948539301</v>
      </c>
      <c r="I948" s="14">
        <v>0.509568808145337</v>
      </c>
      <c r="J948" s="14">
        <v>0.51208619101052899</v>
      </c>
      <c r="K948" s="14">
        <v>0.461470819536347</v>
      </c>
      <c r="L948" s="14" t="s">
        <v>88</v>
      </c>
      <c r="M948" s="14"/>
      <c r="N948" s="14">
        <v>0.49245890472752601</v>
      </c>
      <c r="O948" s="14">
        <v>0.451304735878236</v>
      </c>
      <c r="P948" s="14">
        <v>0.46951095216455402</v>
      </c>
      <c r="Q948" s="14">
        <v>0.49721956815575802</v>
      </c>
      <c r="R948" s="14"/>
      <c r="S948" s="14">
        <v>0.50816247182895002</v>
      </c>
      <c r="T948" s="14">
        <v>0.362136589965661</v>
      </c>
      <c r="U948" s="14">
        <v>0.61164988358342398</v>
      </c>
      <c r="V948" s="14">
        <v>0.40686276406819399</v>
      </c>
      <c r="W948" s="14">
        <v>0.43107678559225499</v>
      </c>
      <c r="X948" s="14">
        <v>0.51489789653350204</v>
      </c>
      <c r="Y948" s="14">
        <v>0.53266163044671999</v>
      </c>
      <c r="Z948" s="14">
        <v>0.387861303408569</v>
      </c>
      <c r="AA948" s="14">
        <v>0.497816967936212</v>
      </c>
      <c r="AB948" s="14"/>
      <c r="AC948" s="14">
        <v>0.46468865430296702</v>
      </c>
      <c r="AD948" s="14">
        <v>0.43932480140871499</v>
      </c>
      <c r="AE948" s="14">
        <v>0.492076276726438</v>
      </c>
      <c r="AF948" s="14">
        <v>0.47504057971033098</v>
      </c>
      <c r="AG948" s="14">
        <v>0.34613188451425603</v>
      </c>
      <c r="AH948" s="14"/>
      <c r="AI948" s="14">
        <v>0.49507946779540202</v>
      </c>
      <c r="AJ948" s="14">
        <v>0.66128118699229899</v>
      </c>
      <c r="AK948" s="14">
        <v>0.29049854506963202</v>
      </c>
      <c r="AL948" s="14">
        <v>0.47228966315721699</v>
      </c>
      <c r="AM948" s="14">
        <v>0.27558401775974201</v>
      </c>
      <c r="AN948" s="14">
        <v>0.48708074338101398</v>
      </c>
      <c r="AO948" s="14"/>
      <c r="AP948" s="14">
        <v>0.481579545776746</v>
      </c>
      <c r="AQ948" s="14">
        <v>0.468393789210999</v>
      </c>
      <c r="AR948" s="14"/>
      <c r="AS948" s="14" t="s">
        <v>88</v>
      </c>
      <c r="AT948" s="14">
        <v>0.477465379371943</v>
      </c>
      <c r="AU948" s="14">
        <v>0</v>
      </c>
      <c r="AV948" s="14"/>
      <c r="AW948" s="14">
        <v>0.48560079954713198</v>
      </c>
      <c r="AX948" s="14">
        <v>0.481823774772145</v>
      </c>
      <c r="AY948" s="14"/>
      <c r="AZ948" s="14">
        <v>0.49070483405293902</v>
      </c>
      <c r="BA948" s="14">
        <v>0.42032888306183602</v>
      </c>
    </row>
    <row r="949" spans="2:53" x14ac:dyDescent="0.35">
      <c r="B949" t="s">
        <v>222</v>
      </c>
      <c r="C949" s="14">
        <v>0.215967493903932</v>
      </c>
      <c r="D949" s="14">
        <v>0.22361789912233601</v>
      </c>
      <c r="E949" s="14">
        <v>0.20909037956277399</v>
      </c>
      <c r="F949" s="14"/>
      <c r="G949" s="14">
        <v>1</v>
      </c>
      <c r="H949" s="14">
        <v>0.28509965685520799</v>
      </c>
      <c r="I949" s="14">
        <v>0.18486527680922299</v>
      </c>
      <c r="J949" s="14">
        <v>0.23532390213617199</v>
      </c>
      <c r="K949" s="14">
        <v>2.3172501302761501E-2</v>
      </c>
      <c r="L949" s="14" t="s">
        <v>88</v>
      </c>
      <c r="M949" s="14"/>
      <c r="N949" s="14">
        <v>0.14182888295389601</v>
      </c>
      <c r="O949" s="14">
        <v>0.28638654807056102</v>
      </c>
      <c r="P949" s="14">
        <v>0.23825040113227999</v>
      </c>
      <c r="Q949" s="14">
        <v>0.18272367041111401</v>
      </c>
      <c r="R949" s="14"/>
      <c r="S949" s="14">
        <v>0.22893737315214599</v>
      </c>
      <c r="T949" s="14">
        <v>0.25841417152503998</v>
      </c>
      <c r="U949" s="14">
        <v>0.206045247649605</v>
      </c>
      <c r="V949" s="14">
        <v>0.31493266335132197</v>
      </c>
      <c r="W949" s="14">
        <v>0.25986831307070501</v>
      </c>
      <c r="X949" s="14">
        <v>0.13503510340378699</v>
      </c>
      <c r="Y949" s="14">
        <v>0.16240927144034201</v>
      </c>
      <c r="Z949" s="14">
        <v>0.15521397731325401</v>
      </c>
      <c r="AA949" s="14">
        <v>0.18846589440230399</v>
      </c>
      <c r="AB949" s="14"/>
      <c r="AC949" s="14">
        <v>0.27081215434676398</v>
      </c>
      <c r="AD949" s="14">
        <v>0.23557251993574899</v>
      </c>
      <c r="AE949" s="14">
        <v>0.18641856075030599</v>
      </c>
      <c r="AF949" s="14">
        <v>0.17553901932898899</v>
      </c>
      <c r="AG949" s="14">
        <v>0.31155749876955102</v>
      </c>
      <c r="AH949" s="14"/>
      <c r="AI949" s="14">
        <v>0.15491010322774701</v>
      </c>
      <c r="AJ949" s="14">
        <v>0.120174767244155</v>
      </c>
      <c r="AK949" s="14">
        <v>0.30671161484284698</v>
      </c>
      <c r="AL949" s="14">
        <v>0.233580269136865</v>
      </c>
      <c r="AM949" s="14">
        <v>0.42492999546931498</v>
      </c>
      <c r="AN949" s="14">
        <v>0.26994463021674697</v>
      </c>
      <c r="AO949" s="14"/>
      <c r="AP949" s="14">
        <v>0.234499697330291</v>
      </c>
      <c r="AQ949" s="14">
        <v>0.18771038696087899</v>
      </c>
      <c r="AR949" s="14"/>
      <c r="AS949" s="14" t="s">
        <v>88</v>
      </c>
      <c r="AT949" s="14">
        <v>0.216470020955566</v>
      </c>
      <c r="AU949" s="14">
        <v>0</v>
      </c>
      <c r="AV949" s="14"/>
      <c r="AW949" s="14">
        <v>0.217734728293869</v>
      </c>
      <c r="AX949" s="14">
        <v>0.170815968467043</v>
      </c>
      <c r="AY949" s="14"/>
      <c r="AZ949" s="14">
        <v>0.204343998860405</v>
      </c>
      <c r="BA949" s="14">
        <v>0.26135694672223603</v>
      </c>
    </row>
    <row r="950" spans="2:53" x14ac:dyDescent="0.35">
      <c r="B950" t="s">
        <v>223</v>
      </c>
      <c r="C950" s="14">
        <v>4.4420383105399801E-2</v>
      </c>
      <c r="D950" s="14">
        <v>1.73458135058739E-2</v>
      </c>
      <c r="E950" s="14">
        <v>6.8758297968478599E-2</v>
      </c>
      <c r="F950" s="14"/>
      <c r="G950" s="14">
        <v>0</v>
      </c>
      <c r="H950" s="14">
        <v>7.0066346080716893E-2</v>
      </c>
      <c r="I950" s="14">
        <v>3.2915196812734998E-2</v>
      </c>
      <c r="J950" s="14">
        <v>3.4440117355460202E-2</v>
      </c>
      <c r="K950" s="14">
        <v>8.4253366146259404E-2</v>
      </c>
      <c r="L950" s="14" t="s">
        <v>88</v>
      </c>
      <c r="M950" s="14"/>
      <c r="N950" s="14">
        <v>2.6341618185112801E-2</v>
      </c>
      <c r="O950" s="14">
        <v>5.2199628055018203E-2</v>
      </c>
      <c r="P950" s="14">
        <v>0</v>
      </c>
      <c r="Q950" s="14">
        <v>8.0707520437971206E-2</v>
      </c>
      <c r="R950" s="14"/>
      <c r="S950" s="14">
        <v>2.88978767876805E-2</v>
      </c>
      <c r="T950" s="14">
        <v>6.13564913965048E-2</v>
      </c>
      <c r="U950" s="14">
        <v>0</v>
      </c>
      <c r="V950" s="14">
        <v>3.5528806958033399E-2</v>
      </c>
      <c r="W950" s="14">
        <v>7.1935183795539703E-2</v>
      </c>
      <c r="X950" s="14">
        <v>7.0486590281061606E-2</v>
      </c>
      <c r="Y950" s="14">
        <v>6.8075736391478806E-2</v>
      </c>
      <c r="Z950" s="14">
        <v>0</v>
      </c>
      <c r="AA950" s="14">
        <v>2.6145001488080799E-2</v>
      </c>
      <c r="AB950" s="14"/>
      <c r="AC950" s="14">
        <v>0</v>
      </c>
      <c r="AD950" s="14">
        <v>0.112079324352718</v>
      </c>
      <c r="AE950" s="14">
        <v>4.6722765071028897E-2</v>
      </c>
      <c r="AF950" s="14">
        <v>8.1731776351805594E-3</v>
      </c>
      <c r="AG950" s="14">
        <v>0</v>
      </c>
      <c r="AH950" s="14"/>
      <c r="AI950" s="14">
        <v>3.3090436649754799E-2</v>
      </c>
      <c r="AJ950" s="14">
        <v>8.5066562816735899E-2</v>
      </c>
      <c r="AK950" s="14">
        <v>0</v>
      </c>
      <c r="AL950" s="14">
        <v>2.55591329354788E-2</v>
      </c>
      <c r="AM950" s="14">
        <v>6.1376359643173999E-2</v>
      </c>
      <c r="AN950" s="14">
        <v>5.0988203397228898E-2</v>
      </c>
      <c r="AO950" s="14"/>
      <c r="AP950" s="14">
        <v>2.7568022418092301E-2</v>
      </c>
      <c r="AQ950" s="14">
        <v>7.0116138069260897E-2</v>
      </c>
      <c r="AR950" s="14"/>
      <c r="AS950" s="14" t="s">
        <v>88</v>
      </c>
      <c r="AT950" s="14">
        <v>4.4523743309062502E-2</v>
      </c>
      <c r="AU950" s="14">
        <v>0</v>
      </c>
      <c r="AV950" s="14"/>
      <c r="AW950" s="14">
        <v>5.3910016649416498E-2</v>
      </c>
      <c r="AX950" s="14">
        <v>1.3406774270021999E-2</v>
      </c>
      <c r="AY950" s="14"/>
      <c r="AZ950" s="14">
        <v>2.4703708284695199E-2</v>
      </c>
      <c r="BA950" s="14">
        <v>0.121413497324226</v>
      </c>
    </row>
    <row r="951" spans="2:53" x14ac:dyDescent="0.35">
      <c r="B951" t="s">
        <v>116</v>
      </c>
      <c r="C951" s="14">
        <v>2.5747637851894802E-2</v>
      </c>
      <c r="D951" s="14">
        <v>0</v>
      </c>
      <c r="E951" s="14">
        <v>4.8892745132779303E-2</v>
      </c>
      <c r="F951" s="14"/>
      <c r="G951" s="14">
        <v>0</v>
      </c>
      <c r="H951" s="14">
        <v>2.83747614949349E-2</v>
      </c>
      <c r="I951" s="14">
        <v>2.3416687119491901E-2</v>
      </c>
      <c r="J951" s="14">
        <v>3.6628703868904502E-2</v>
      </c>
      <c r="K951" s="14">
        <v>0</v>
      </c>
      <c r="L951" s="14" t="s">
        <v>88</v>
      </c>
      <c r="M951" s="14"/>
      <c r="N951" s="14">
        <v>0</v>
      </c>
      <c r="O951" s="14">
        <v>1.8024715164309701E-2</v>
      </c>
      <c r="P951" s="14">
        <v>9.2125631641416406E-2</v>
      </c>
      <c r="Q951" s="14">
        <v>1.66208325069367E-2</v>
      </c>
      <c r="R951" s="14"/>
      <c r="S951" s="14">
        <v>0</v>
      </c>
      <c r="T951" s="14">
        <v>2.7191965173051499E-2</v>
      </c>
      <c r="U951" s="14">
        <v>0</v>
      </c>
      <c r="V951" s="14">
        <v>3.5528806958033399E-2</v>
      </c>
      <c r="W951" s="14">
        <v>4.7618309177190399E-2</v>
      </c>
      <c r="X951" s="14">
        <v>2.9495114613308001E-2</v>
      </c>
      <c r="Y951" s="14">
        <v>5.4335170277723499E-2</v>
      </c>
      <c r="Z951" s="14">
        <v>0</v>
      </c>
      <c r="AA951" s="14">
        <v>2.6610010335211501E-2</v>
      </c>
      <c r="AB951" s="14"/>
      <c r="AC951" s="14">
        <v>0</v>
      </c>
      <c r="AD951" s="14">
        <v>5.1622976990501702E-2</v>
      </c>
      <c r="AE951" s="14">
        <v>3.2917999371517299E-2</v>
      </c>
      <c r="AF951" s="14">
        <v>0</v>
      </c>
      <c r="AG951" s="14">
        <v>0</v>
      </c>
      <c r="AH951" s="14"/>
      <c r="AI951" s="14">
        <v>1.5739396071518499E-2</v>
      </c>
      <c r="AJ951" s="14">
        <v>0</v>
      </c>
      <c r="AK951" s="14">
        <v>0</v>
      </c>
      <c r="AL951" s="14">
        <v>6.0930052011721601E-2</v>
      </c>
      <c r="AM951" s="14">
        <v>8.1204208186106602E-2</v>
      </c>
      <c r="AN951" s="14">
        <v>4.93587772782191E-2</v>
      </c>
      <c r="AO951" s="14"/>
      <c r="AP951" s="14">
        <v>2.5594052873801499E-2</v>
      </c>
      <c r="AQ951" s="14">
        <v>2.5981817622696302E-2</v>
      </c>
      <c r="AR951" s="14"/>
      <c r="AS951" s="14" t="s">
        <v>88</v>
      </c>
      <c r="AT951" s="14">
        <v>2.5807549111234701E-2</v>
      </c>
      <c r="AU951" s="14">
        <v>0</v>
      </c>
      <c r="AV951" s="14"/>
      <c r="AW951" s="14">
        <v>3.29712868571427E-2</v>
      </c>
      <c r="AX951" s="14">
        <v>0</v>
      </c>
      <c r="AY951" s="14"/>
      <c r="AZ951" s="14">
        <v>2.1853641794643899E-2</v>
      </c>
      <c r="BA951" s="14">
        <v>4.0953593517844597E-2</v>
      </c>
    </row>
    <row r="952" spans="2:53" x14ac:dyDescent="0.35">
      <c r="B952" t="s">
        <v>224</v>
      </c>
      <c r="C952" s="14">
        <v>0.67864443299129096</v>
      </c>
      <c r="D952" s="14">
        <v>0.72806908763185396</v>
      </c>
      <c r="E952" s="14">
        <v>0.63421554438579497</v>
      </c>
      <c r="F952" s="14"/>
      <c r="G952" s="14">
        <v>0</v>
      </c>
      <c r="H952" s="14">
        <v>0.60224458684478099</v>
      </c>
      <c r="I952" s="14">
        <v>0.70871011267629402</v>
      </c>
      <c r="J952" s="14">
        <v>0.66182612717937706</v>
      </c>
      <c r="K952" s="14">
        <v>0.89257413255097895</v>
      </c>
      <c r="L952" s="14" t="s">
        <v>88</v>
      </c>
      <c r="M952" s="14"/>
      <c r="N952" s="14">
        <v>0.76550371164064301</v>
      </c>
      <c r="O952" s="14">
        <v>0.64338910871011101</v>
      </c>
      <c r="P952" s="14">
        <v>0.62752013285465003</v>
      </c>
      <c r="Q952" s="14">
        <v>0.67419686965918701</v>
      </c>
      <c r="R952" s="14"/>
      <c r="S952" s="14">
        <v>0.72129560256813596</v>
      </c>
      <c r="T952" s="14">
        <v>0.57818778135452298</v>
      </c>
      <c r="U952" s="14">
        <v>0.79395475235039503</v>
      </c>
      <c r="V952" s="14">
        <v>0.61400972273261101</v>
      </c>
      <c r="W952" s="14">
        <v>0.59542920901307805</v>
      </c>
      <c r="X952" s="14">
        <v>0.71000874937957403</v>
      </c>
      <c r="Y952" s="14">
        <v>0.66651884019891805</v>
      </c>
      <c r="Z952" s="14">
        <v>0.84478602268674596</v>
      </c>
      <c r="AA952" s="14">
        <v>0.72173834556622296</v>
      </c>
      <c r="AB952" s="14"/>
      <c r="AC952" s="14">
        <v>0.674774034956383</v>
      </c>
      <c r="AD952" s="14">
        <v>0.57031903049037302</v>
      </c>
      <c r="AE952" s="14">
        <v>0.70522886793409401</v>
      </c>
      <c r="AF952" s="14">
        <v>0.76068092928167996</v>
      </c>
      <c r="AG952" s="14">
        <v>0.68844250123044903</v>
      </c>
      <c r="AH952" s="14"/>
      <c r="AI952" s="14">
        <v>0.76702877873267605</v>
      </c>
      <c r="AJ952" s="14">
        <v>0.79475866993910904</v>
      </c>
      <c r="AK952" s="14">
        <v>0.57633108727834104</v>
      </c>
      <c r="AL952" s="14">
        <v>0.65518923510953397</v>
      </c>
      <c r="AM952" s="14">
        <v>0.33294079254601</v>
      </c>
      <c r="AN952" s="14">
        <v>0.62970838910780502</v>
      </c>
      <c r="AO952" s="14"/>
      <c r="AP952" s="14">
        <v>0.68218616206484395</v>
      </c>
      <c r="AQ952" s="14">
        <v>0.67324415678601501</v>
      </c>
      <c r="AR952" s="14"/>
      <c r="AS952" s="14" t="s">
        <v>88</v>
      </c>
      <c r="AT952" s="14">
        <v>0.68022354649515504</v>
      </c>
      <c r="AU952" s="14">
        <v>0</v>
      </c>
      <c r="AV952" s="14"/>
      <c r="AW952" s="14">
        <v>0.65760939767434101</v>
      </c>
      <c r="AX952" s="14">
        <v>0.79614168996798895</v>
      </c>
      <c r="AY952" s="14"/>
      <c r="AZ952" s="14">
        <v>0.71212056855641004</v>
      </c>
      <c r="BA952" s="14">
        <v>0.54792097416224395</v>
      </c>
    </row>
    <row r="953" spans="2:53" x14ac:dyDescent="0.35"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</row>
    <row r="954" spans="2:53" x14ac:dyDescent="0.35">
      <c r="B954" s="6" t="s">
        <v>293</v>
      </c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</row>
    <row r="955" spans="2:53" x14ac:dyDescent="0.35">
      <c r="B955" s="30" t="s">
        <v>328</v>
      </c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</row>
    <row r="956" spans="2:53" x14ac:dyDescent="0.35">
      <c r="B956" t="s">
        <v>226</v>
      </c>
      <c r="C956" s="14">
        <v>0.19217875767760501</v>
      </c>
      <c r="D956" s="14">
        <v>0.200438270855122</v>
      </c>
      <c r="E956" s="14">
        <v>0.18475410304788201</v>
      </c>
      <c r="F956" s="14"/>
      <c r="G956" s="14">
        <v>0</v>
      </c>
      <c r="H956" s="14">
        <v>0.23302988610645101</v>
      </c>
      <c r="I956" s="14">
        <v>0.21275129680820901</v>
      </c>
      <c r="J956" s="14">
        <v>8.5609899467749995E-2</v>
      </c>
      <c r="K956" s="14">
        <v>0.21142167105676701</v>
      </c>
      <c r="L956" s="14" t="s">
        <v>88</v>
      </c>
      <c r="M956" s="14"/>
      <c r="N956" s="14">
        <v>0.29418187432876802</v>
      </c>
      <c r="O956" s="14">
        <v>0.195743903603212</v>
      </c>
      <c r="P956" s="14">
        <v>0.12642119940100899</v>
      </c>
      <c r="Q956" s="14">
        <v>0.13385168580829701</v>
      </c>
      <c r="R956" s="14"/>
      <c r="S956" s="14">
        <v>0.157650880251266</v>
      </c>
      <c r="T956" s="14">
        <v>0.15375352631424299</v>
      </c>
      <c r="U956" s="14">
        <v>0.28803592729518601</v>
      </c>
      <c r="V956" s="14">
        <v>0.24864523688502899</v>
      </c>
      <c r="W956" s="14">
        <v>0.11756622384049301</v>
      </c>
      <c r="X956" s="14">
        <v>0.227777196485309</v>
      </c>
      <c r="Y956" s="14">
        <v>0.19631194355975201</v>
      </c>
      <c r="Z956" s="14">
        <v>0.45692471927817702</v>
      </c>
      <c r="AA956" s="14">
        <v>0.153406158065719</v>
      </c>
      <c r="AB956" s="14"/>
      <c r="AC956" s="14">
        <v>7.2456279075726604E-2</v>
      </c>
      <c r="AD956" s="14">
        <v>0.10132542111319801</v>
      </c>
      <c r="AE956" s="14">
        <v>0.20226976354801901</v>
      </c>
      <c r="AF956" s="14">
        <v>0.30257956641178402</v>
      </c>
      <c r="AG956" s="14">
        <v>0.56687579988751702</v>
      </c>
      <c r="AH956" s="14"/>
      <c r="AI956" s="14">
        <v>0.28570875254249001</v>
      </c>
      <c r="AJ956" s="14">
        <v>0.11905300970628301</v>
      </c>
      <c r="AK956" s="14">
        <v>0.213880533816383</v>
      </c>
      <c r="AL956" s="14">
        <v>0.21675589588965199</v>
      </c>
      <c r="AM956" s="14">
        <v>5.7356774786267599E-2</v>
      </c>
      <c r="AN956" s="14">
        <v>0.12035084284950801</v>
      </c>
      <c r="AO956" s="14"/>
      <c r="AP956" s="14">
        <v>0.19067721040971</v>
      </c>
      <c r="AQ956" s="14">
        <v>0.194468252388667</v>
      </c>
      <c r="AR956" s="14"/>
      <c r="AS956" s="14" t="s">
        <v>88</v>
      </c>
      <c r="AT956" s="14">
        <v>0.19262593156815999</v>
      </c>
      <c r="AU956" s="14">
        <v>0</v>
      </c>
      <c r="AV956" s="14"/>
      <c r="AW956" s="14">
        <v>0.15367516762178399</v>
      </c>
      <c r="AX956" s="14">
        <v>0.318848927830435</v>
      </c>
      <c r="AY956" s="14"/>
      <c r="AZ956" s="14">
        <v>0.21900087093975701</v>
      </c>
      <c r="BA956" s="14">
        <v>8.7439086878013494E-2</v>
      </c>
    </row>
    <row r="957" spans="2:53" x14ac:dyDescent="0.35">
      <c r="B957" t="s">
        <v>227</v>
      </c>
      <c r="C957" s="14">
        <v>0.37444206777554401</v>
      </c>
      <c r="D957" s="14">
        <v>0.449228480815622</v>
      </c>
      <c r="E957" s="14">
        <v>0.30721494725591397</v>
      </c>
      <c r="F957" s="14"/>
      <c r="G957" s="14">
        <v>1</v>
      </c>
      <c r="H957" s="14">
        <v>0.42126737498781902</v>
      </c>
      <c r="I957" s="14">
        <v>0.327089938870888</v>
      </c>
      <c r="J957" s="14">
        <v>0.33991305711610498</v>
      </c>
      <c r="K957" s="14">
        <v>0.68115246149421205</v>
      </c>
      <c r="L957" s="14" t="s">
        <v>88</v>
      </c>
      <c r="M957" s="14"/>
      <c r="N957" s="14">
        <v>0.31080743047940801</v>
      </c>
      <c r="O957" s="14">
        <v>0.42099954602870998</v>
      </c>
      <c r="P957" s="14">
        <v>0.24321393033976499</v>
      </c>
      <c r="Q957" s="14">
        <v>0.46154049842945499</v>
      </c>
      <c r="R957" s="14"/>
      <c r="S957" s="14">
        <v>0.53635987548293595</v>
      </c>
      <c r="T957" s="14">
        <v>0.38854386239792099</v>
      </c>
      <c r="U957" s="14">
        <v>0.43405678298928402</v>
      </c>
      <c r="V957" s="14">
        <v>0.35681437612460598</v>
      </c>
      <c r="W957" s="14">
        <v>0.30511471618673303</v>
      </c>
      <c r="X957" s="14">
        <v>0.266840104959779</v>
      </c>
      <c r="Y957" s="14">
        <v>0.24452969114032599</v>
      </c>
      <c r="Z957" s="14">
        <v>0.19625521675267801</v>
      </c>
      <c r="AA957" s="14">
        <v>0.41522636744498798</v>
      </c>
      <c r="AB957" s="14"/>
      <c r="AC957" s="14">
        <v>0.47936132988052499</v>
      </c>
      <c r="AD957" s="14">
        <v>0.313146490656524</v>
      </c>
      <c r="AE957" s="14">
        <v>0.37677291295580201</v>
      </c>
      <c r="AF957" s="14">
        <v>0.41084586819178698</v>
      </c>
      <c r="AG957" s="14">
        <v>0.121566701342932</v>
      </c>
      <c r="AH957" s="14"/>
      <c r="AI957" s="14">
        <v>0.38232856501196699</v>
      </c>
      <c r="AJ957" s="14">
        <v>0.44822009722878198</v>
      </c>
      <c r="AK957" s="14">
        <v>0.36245055346195898</v>
      </c>
      <c r="AL957" s="14">
        <v>0.36973471369608901</v>
      </c>
      <c r="AM957" s="14">
        <v>0.33990868751446801</v>
      </c>
      <c r="AN957" s="14">
        <v>0.43316994197922298</v>
      </c>
      <c r="AO957" s="14"/>
      <c r="AP957" s="14">
        <v>0.40017854906261702</v>
      </c>
      <c r="AQ957" s="14">
        <v>0.33520018771759602</v>
      </c>
      <c r="AR957" s="14"/>
      <c r="AS957" s="14" t="s">
        <v>88</v>
      </c>
      <c r="AT957" s="14">
        <v>0.37531334365565799</v>
      </c>
      <c r="AU957" s="14">
        <v>0</v>
      </c>
      <c r="AV957" s="14"/>
      <c r="AW957" s="14">
        <v>0.37864153120066601</v>
      </c>
      <c r="AX957" s="14">
        <v>0.37201409581115302</v>
      </c>
      <c r="AY957" s="14"/>
      <c r="AZ957" s="14">
        <v>0.38249218260015799</v>
      </c>
      <c r="BA957" s="14">
        <v>0.34300657392060402</v>
      </c>
    </row>
    <row r="958" spans="2:53" x14ac:dyDescent="0.35">
      <c r="B958" t="s">
        <v>228</v>
      </c>
      <c r="C958" s="14">
        <v>0.26911323610214199</v>
      </c>
      <c r="D958" s="14">
        <v>0.249952373262255</v>
      </c>
      <c r="E958" s="14">
        <v>0.28633734918678599</v>
      </c>
      <c r="F958" s="14"/>
      <c r="G958" s="14">
        <v>0</v>
      </c>
      <c r="H958" s="14">
        <v>0.172481839363781</v>
      </c>
      <c r="I958" s="14">
        <v>0.3161840830223</v>
      </c>
      <c r="J958" s="14">
        <v>0.34452817980766598</v>
      </c>
      <c r="K958" s="14">
        <v>0</v>
      </c>
      <c r="L958" s="14" t="s">
        <v>88</v>
      </c>
      <c r="M958" s="14"/>
      <c r="N958" s="14">
        <v>0.24311829894054801</v>
      </c>
      <c r="O958" s="14">
        <v>0.205122323648295</v>
      </c>
      <c r="P958" s="14">
        <v>0.48103259571453399</v>
      </c>
      <c r="Q958" s="14">
        <v>0.236396065678529</v>
      </c>
      <c r="R958" s="14"/>
      <c r="S958" s="14">
        <v>0.245003005092334</v>
      </c>
      <c r="T958" s="14">
        <v>0.31031441367407903</v>
      </c>
      <c r="U958" s="14">
        <v>0.17903032652251899</v>
      </c>
      <c r="V958" s="14">
        <v>0.20725709924223201</v>
      </c>
      <c r="W958" s="14">
        <v>0.30253121115336701</v>
      </c>
      <c r="X958" s="14">
        <v>0.29629533236635602</v>
      </c>
      <c r="Y958" s="14">
        <v>0.28620322932044401</v>
      </c>
      <c r="Z958" s="14">
        <v>0.237188156427413</v>
      </c>
      <c r="AA958" s="14">
        <v>0.29132101701263702</v>
      </c>
      <c r="AB958" s="14"/>
      <c r="AC958" s="14">
        <v>0.243778447166068</v>
      </c>
      <c r="AD958" s="14">
        <v>0.25908165335535399</v>
      </c>
      <c r="AE958" s="14">
        <v>0.31005289871450897</v>
      </c>
      <c r="AF958" s="14">
        <v>0.19398054453935401</v>
      </c>
      <c r="AG958" s="14">
        <v>0</v>
      </c>
      <c r="AH958" s="14"/>
      <c r="AI958" s="14">
        <v>0.22975700973199301</v>
      </c>
      <c r="AJ958" s="14">
        <v>0.232043327972975</v>
      </c>
      <c r="AK958" s="14">
        <v>0.233780369438364</v>
      </c>
      <c r="AL958" s="14">
        <v>0.24453480688572801</v>
      </c>
      <c r="AM958" s="14">
        <v>0.39554534135303498</v>
      </c>
      <c r="AN958" s="14">
        <v>0.20544902364550299</v>
      </c>
      <c r="AO958" s="14"/>
      <c r="AP958" s="14">
        <v>0.27365881750684701</v>
      </c>
      <c r="AQ958" s="14">
        <v>0.26218232902562999</v>
      </c>
      <c r="AR958" s="14"/>
      <c r="AS958" s="14" t="s">
        <v>88</v>
      </c>
      <c r="AT958" s="14">
        <v>0.26973942608402202</v>
      </c>
      <c r="AU958" s="14">
        <v>0</v>
      </c>
      <c r="AV958" s="14"/>
      <c r="AW958" s="14">
        <v>0.29789820351151303</v>
      </c>
      <c r="AX958" s="14">
        <v>0.16436695408218699</v>
      </c>
      <c r="AY958" s="14"/>
      <c r="AZ958" s="14">
        <v>0.26684708447156302</v>
      </c>
      <c r="BA958" s="14">
        <v>0.27796250064177502</v>
      </c>
    </row>
    <row r="959" spans="2:53" x14ac:dyDescent="0.35">
      <c r="B959" t="s">
        <v>229</v>
      </c>
      <c r="C959" s="14">
        <v>0.102516366856592</v>
      </c>
      <c r="D959" s="14">
        <v>7.5821393196648601E-2</v>
      </c>
      <c r="E959" s="14">
        <v>0.12651305473816801</v>
      </c>
      <c r="F959" s="14"/>
      <c r="G959" s="14">
        <v>0</v>
      </c>
      <c r="H959" s="14">
        <v>7.3562838571985895E-2</v>
      </c>
      <c r="I959" s="14">
        <v>0.106359267413957</v>
      </c>
      <c r="J959" s="14">
        <v>0.131386151156445</v>
      </c>
      <c r="K959" s="14">
        <v>0.107425867449021</v>
      </c>
      <c r="L959" s="14" t="s">
        <v>88</v>
      </c>
      <c r="M959" s="14"/>
      <c r="N959" s="14">
        <v>7.3246041656261598E-2</v>
      </c>
      <c r="O959" s="14">
        <v>0.14252327887805399</v>
      </c>
      <c r="P959" s="14">
        <v>5.9610163282800999E-2</v>
      </c>
      <c r="Q959" s="14">
        <v>0.10769390485829</v>
      </c>
      <c r="R959" s="14"/>
      <c r="S959" s="14">
        <v>3.58603815330409E-2</v>
      </c>
      <c r="T959" s="14">
        <v>0.100648202741132</v>
      </c>
      <c r="U959" s="14">
        <v>9.8876963193010994E-2</v>
      </c>
      <c r="V959" s="14">
        <v>0.15175448079010001</v>
      </c>
      <c r="W959" s="14">
        <v>0.20202055469872901</v>
      </c>
      <c r="X959" s="14">
        <v>0.126876864508946</v>
      </c>
      <c r="Y959" s="14">
        <v>0.15548973627641099</v>
      </c>
      <c r="Z959" s="14">
        <v>0</v>
      </c>
      <c r="AA959" s="14">
        <v>4.4940378432792E-2</v>
      </c>
      <c r="AB959" s="14"/>
      <c r="AC959" s="14">
        <v>0.16083946823352099</v>
      </c>
      <c r="AD959" s="14">
        <v>0.210453436907066</v>
      </c>
      <c r="AE959" s="14">
        <v>4.2801746101031601E-2</v>
      </c>
      <c r="AF959" s="14">
        <v>5.1417393601387799E-2</v>
      </c>
      <c r="AG959" s="14">
        <v>0.31155749876955102</v>
      </c>
      <c r="AH959" s="14"/>
      <c r="AI959" s="14">
        <v>5.5913701198727898E-2</v>
      </c>
      <c r="AJ959" s="14">
        <v>0.16237056652611001</v>
      </c>
      <c r="AK959" s="14">
        <v>0.14095550769105</v>
      </c>
      <c r="AL959" s="14">
        <v>0.14151096434523</v>
      </c>
      <c r="AM959" s="14">
        <v>6.1376359643173999E-2</v>
      </c>
      <c r="AN959" s="14">
        <v>0.19167141424754799</v>
      </c>
      <c r="AO959" s="14"/>
      <c r="AP959" s="14">
        <v>8.0247534489708103E-2</v>
      </c>
      <c r="AQ959" s="14">
        <v>0.13647092494183999</v>
      </c>
      <c r="AR959" s="14"/>
      <c r="AS959" s="14" t="s">
        <v>88</v>
      </c>
      <c r="AT959" s="14">
        <v>0.102754908530848</v>
      </c>
      <c r="AU959" s="14">
        <v>0</v>
      </c>
      <c r="AV959" s="14"/>
      <c r="AW959" s="14">
        <v>0.106464936973868</v>
      </c>
      <c r="AX959" s="14">
        <v>8.7130045302677595E-2</v>
      </c>
      <c r="AY959" s="14"/>
      <c r="AZ959" s="14">
        <v>7.1285611328878395E-2</v>
      </c>
      <c r="BA959" s="14">
        <v>0.22447167368958901</v>
      </c>
    </row>
    <row r="960" spans="2:53" x14ac:dyDescent="0.35">
      <c r="B960" t="s">
        <v>116</v>
      </c>
      <c r="C960" s="14">
        <v>3.5716091930206299E-2</v>
      </c>
      <c r="D960" s="14">
        <v>1.4775507316778E-2</v>
      </c>
      <c r="E960" s="14">
        <v>5.4540035322223797E-2</v>
      </c>
      <c r="F960" s="14"/>
      <c r="G960" s="14">
        <v>0</v>
      </c>
      <c r="H960" s="14">
        <v>4.5337573647464997E-2</v>
      </c>
      <c r="I960" s="14">
        <v>2.3905852349781102E-2</v>
      </c>
      <c r="J960" s="14">
        <v>6.6781562991946999E-2</v>
      </c>
      <c r="K960" s="14">
        <v>0</v>
      </c>
      <c r="L960" s="14" t="s">
        <v>88</v>
      </c>
      <c r="M960" s="14"/>
      <c r="N960" s="14">
        <v>3.0789871148254998E-2</v>
      </c>
      <c r="O960" s="14">
        <v>2.6157453168643499E-2</v>
      </c>
      <c r="P960" s="14">
        <v>6.8142871316809003E-2</v>
      </c>
      <c r="Q960" s="14">
        <v>3.1314959352934199E-2</v>
      </c>
      <c r="R960" s="14"/>
      <c r="S960" s="14">
        <v>0</v>
      </c>
      <c r="T960" s="14">
        <v>2.7191965173051499E-2</v>
      </c>
      <c r="U960" s="14">
        <v>0</v>
      </c>
      <c r="V960" s="14">
        <v>3.5528806958033399E-2</v>
      </c>
      <c r="W960" s="14">
        <v>4.7618309177190399E-2</v>
      </c>
      <c r="X960" s="14">
        <v>6.6633045313031006E-2</v>
      </c>
      <c r="Y960" s="14">
        <v>5.4335170277723499E-2</v>
      </c>
      <c r="Z960" s="14">
        <v>0.10963190754173199</v>
      </c>
      <c r="AA960" s="14">
        <v>4.5974051703856003E-2</v>
      </c>
      <c r="AB960" s="14"/>
      <c r="AC960" s="14">
        <v>2.94109286855458E-2</v>
      </c>
      <c r="AD960" s="14">
        <v>5.0506784424397898E-2</v>
      </c>
      <c r="AE960" s="14">
        <v>5.4880353904913297E-2</v>
      </c>
      <c r="AF960" s="14">
        <v>1.5620926096461899E-2</v>
      </c>
      <c r="AG960" s="14">
        <v>0</v>
      </c>
      <c r="AH960" s="14"/>
      <c r="AI960" s="14">
        <v>2.2474895067396101E-2</v>
      </c>
      <c r="AJ960" s="14">
        <v>2.3622035960995501E-2</v>
      </c>
      <c r="AK960" s="14">
        <v>0</v>
      </c>
      <c r="AL960" s="14">
        <v>2.7463619183301102E-2</v>
      </c>
      <c r="AM960" s="14">
        <v>0.145812836703056</v>
      </c>
      <c r="AN960" s="14">
        <v>4.93587772782191E-2</v>
      </c>
      <c r="AO960" s="14"/>
      <c r="AP960" s="14">
        <v>2.86824257423536E-2</v>
      </c>
      <c r="AQ960" s="14">
        <v>4.6440723702227397E-2</v>
      </c>
      <c r="AR960" s="14"/>
      <c r="AS960" s="14" t="s">
        <v>88</v>
      </c>
      <c r="AT960" s="14">
        <v>3.5799198429472198E-2</v>
      </c>
      <c r="AU960" s="14">
        <v>0</v>
      </c>
      <c r="AV960" s="14"/>
      <c r="AW960" s="14">
        <v>4.0540784362941701E-2</v>
      </c>
      <c r="AX960" s="14">
        <v>2.3431774220473801E-2</v>
      </c>
      <c r="AY960" s="14"/>
      <c r="AZ960" s="14">
        <v>3.6745201926748301E-2</v>
      </c>
      <c r="BA960" s="14">
        <v>3.1697443541062402E-2</v>
      </c>
    </row>
    <row r="961" spans="2:53" x14ac:dyDescent="0.35"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</row>
    <row r="962" spans="2:53" x14ac:dyDescent="0.35">
      <c r="B962" s="6" t="s">
        <v>294</v>
      </c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</row>
    <row r="963" spans="2:53" x14ac:dyDescent="0.35">
      <c r="B963" s="30" t="s">
        <v>328</v>
      </c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</row>
    <row r="964" spans="2:53" x14ac:dyDescent="0.35">
      <c r="B964" t="s">
        <v>231</v>
      </c>
      <c r="C964" s="14">
        <v>0.101223918224653</v>
      </c>
      <c r="D964" s="14">
        <v>8.8353035620462594E-2</v>
      </c>
      <c r="E964" s="14">
        <v>0.112793832342103</v>
      </c>
      <c r="F964" s="14"/>
      <c r="G964" s="14">
        <v>1</v>
      </c>
      <c r="H964" s="14">
        <v>0.109087640200018</v>
      </c>
      <c r="I964" s="14">
        <v>0.10643456342459399</v>
      </c>
      <c r="J964" s="14">
        <v>7.01201482072384E-2</v>
      </c>
      <c r="K964" s="14">
        <v>0</v>
      </c>
      <c r="L964" s="14" t="s">
        <v>88</v>
      </c>
      <c r="M964" s="14"/>
      <c r="N964" s="14">
        <v>6.9544335357563297E-2</v>
      </c>
      <c r="O964" s="14">
        <v>8.3079837375670901E-2</v>
      </c>
      <c r="P964" s="14">
        <v>3.3571126078194E-2</v>
      </c>
      <c r="Q964" s="14">
        <v>0.19832800779646001</v>
      </c>
      <c r="R964" s="14"/>
      <c r="S964" s="14">
        <v>9.7932580809365705E-2</v>
      </c>
      <c r="T964" s="14">
        <v>0.12742220033467899</v>
      </c>
      <c r="U964" s="14">
        <v>0.16777963312407199</v>
      </c>
      <c r="V964" s="14">
        <v>0.106174404466174</v>
      </c>
      <c r="W964" s="14">
        <v>8.0420326384688295E-2</v>
      </c>
      <c r="X964" s="14">
        <v>0.150103576138301</v>
      </c>
      <c r="Y964" s="14">
        <v>6.8075747972651604E-2</v>
      </c>
      <c r="Z964" s="14">
        <v>0.17034160623509201</v>
      </c>
      <c r="AA964" s="14">
        <v>2.6145001488080799E-2</v>
      </c>
      <c r="AB964" s="14"/>
      <c r="AC964" s="14">
        <v>0.20842705916813001</v>
      </c>
      <c r="AD964" s="14">
        <v>2.7882174888646898E-2</v>
      </c>
      <c r="AE964" s="14">
        <v>7.1137456419039305E-2</v>
      </c>
      <c r="AF964" s="14">
        <v>0.16376036993159501</v>
      </c>
      <c r="AG964" s="14">
        <v>0.48451317010413097</v>
      </c>
      <c r="AH964" s="14"/>
      <c r="AI964" s="14">
        <v>0.100462548661594</v>
      </c>
      <c r="AJ964" s="14">
        <v>0.11710374754384199</v>
      </c>
      <c r="AK964" s="14">
        <v>0.14561026144919201</v>
      </c>
      <c r="AL964" s="14">
        <v>0.177045684997924</v>
      </c>
      <c r="AM964" s="14">
        <v>5.7356774786267599E-2</v>
      </c>
      <c r="AN964" s="14">
        <v>3.2935630599410098E-2</v>
      </c>
      <c r="AO964" s="14"/>
      <c r="AP964" s="14">
        <v>9.2860282957016094E-2</v>
      </c>
      <c r="AQ964" s="14">
        <v>0.113976429663964</v>
      </c>
      <c r="AR964" s="14"/>
      <c r="AS964" s="14" t="s">
        <v>88</v>
      </c>
      <c r="AT964" s="14">
        <v>0.101459452546327</v>
      </c>
      <c r="AU964" s="14">
        <v>0</v>
      </c>
      <c r="AV964" s="14"/>
      <c r="AW964" s="14">
        <v>0.10090739972429499</v>
      </c>
      <c r="AX964" s="14">
        <v>0.108833451567613</v>
      </c>
      <c r="AY964" s="14"/>
      <c r="AZ964" s="14">
        <v>8.7987216533606402E-2</v>
      </c>
      <c r="BA964" s="14">
        <v>0.152912902013595</v>
      </c>
    </row>
    <row r="965" spans="2:53" x14ac:dyDescent="0.35">
      <c r="B965" t="s">
        <v>232</v>
      </c>
      <c r="C965" s="14">
        <v>0.73271406801342098</v>
      </c>
      <c r="D965" s="14">
        <v>0.76022646343776001</v>
      </c>
      <c r="E965" s="14">
        <v>0.707982582068445</v>
      </c>
      <c r="F965" s="14"/>
      <c r="G965" s="14">
        <v>0</v>
      </c>
      <c r="H965" s="14">
        <v>0.72343960898645698</v>
      </c>
      <c r="I965" s="14">
        <v>0.73089828603893903</v>
      </c>
      <c r="J965" s="14">
        <v>0.73444644563071004</v>
      </c>
      <c r="K965" s="14">
        <v>0.89257413255097895</v>
      </c>
      <c r="L965" s="14" t="s">
        <v>88</v>
      </c>
      <c r="M965" s="14"/>
      <c r="N965" s="14">
        <v>0.78120395362547401</v>
      </c>
      <c r="O965" s="14">
        <v>0.72127812705208205</v>
      </c>
      <c r="P965" s="14">
        <v>0.81674935576209795</v>
      </c>
      <c r="Q965" s="14">
        <v>0.64637067670759896</v>
      </c>
      <c r="R965" s="14"/>
      <c r="S965" s="14">
        <v>0.78987399862931196</v>
      </c>
      <c r="T965" s="14">
        <v>0.54626748455479601</v>
      </c>
      <c r="U965" s="14">
        <v>0.82206718725279604</v>
      </c>
      <c r="V965" s="14">
        <v>0.80018395165975997</v>
      </c>
      <c r="W965" s="14">
        <v>0.71326010187781097</v>
      </c>
      <c r="X965" s="14">
        <v>0.64557717441615803</v>
      </c>
      <c r="Y965" s="14">
        <v>0.78719373456656805</v>
      </c>
      <c r="Z965" s="14">
        <v>0.720026486223176</v>
      </c>
      <c r="AA965" s="14">
        <v>0.81419201759795101</v>
      </c>
      <c r="AB965" s="14"/>
      <c r="AC965" s="14">
        <v>0.61895993276883599</v>
      </c>
      <c r="AD965" s="14">
        <v>0.82187889391921798</v>
      </c>
      <c r="AE965" s="14">
        <v>0.71570516471543999</v>
      </c>
      <c r="AF965" s="14">
        <v>0.73977002735808195</v>
      </c>
      <c r="AG965" s="14">
        <v>0.51548682989586903</v>
      </c>
      <c r="AH965" s="14"/>
      <c r="AI965" s="14">
        <v>0.74541089968799801</v>
      </c>
      <c r="AJ965" s="14">
        <v>0.768395537662102</v>
      </c>
      <c r="AK965" s="14">
        <v>0.61705460278441904</v>
      </c>
      <c r="AL965" s="14">
        <v>0.71133158629901405</v>
      </c>
      <c r="AM965" s="14">
        <v>0.86143901702762604</v>
      </c>
      <c r="AN965" s="14">
        <v>0.76375281979552601</v>
      </c>
      <c r="AO965" s="14"/>
      <c r="AP965" s="14">
        <v>0.75201405327908399</v>
      </c>
      <c r="AQ965" s="14">
        <v>0.70328628033462204</v>
      </c>
      <c r="AR965" s="14"/>
      <c r="AS965" s="14" t="s">
        <v>88</v>
      </c>
      <c r="AT965" s="14">
        <v>0.73441899422075896</v>
      </c>
      <c r="AU965" s="14">
        <v>0</v>
      </c>
      <c r="AV965" s="14"/>
      <c r="AW965" s="14">
        <v>0.72434298066479796</v>
      </c>
      <c r="AX965" s="14">
        <v>0.818954859760057</v>
      </c>
      <c r="AY965" s="14"/>
      <c r="AZ965" s="14">
        <v>0.74640326484599595</v>
      </c>
      <c r="BA965" s="14">
        <v>0.67925810219368199</v>
      </c>
    </row>
    <row r="966" spans="2:53" x14ac:dyDescent="0.35">
      <c r="B966" t="s">
        <v>233</v>
      </c>
      <c r="C966" s="14">
        <v>0.1006823522531</v>
      </c>
      <c r="D966" s="14">
        <v>0.109598621892181</v>
      </c>
      <c r="E966" s="14">
        <v>9.2667325067736506E-2</v>
      </c>
      <c r="F966" s="14"/>
      <c r="G966" s="14">
        <v>0</v>
      </c>
      <c r="H966" s="14">
        <v>0.10948807959604701</v>
      </c>
      <c r="I966" s="14">
        <v>0.115823333375251</v>
      </c>
      <c r="J966" s="14">
        <v>7.2219289702498496E-2</v>
      </c>
      <c r="K966" s="14">
        <v>2.3172501302761501E-2</v>
      </c>
      <c r="L966" s="14" t="s">
        <v>88</v>
      </c>
      <c r="M966" s="14"/>
      <c r="N966" s="14">
        <v>0.109364669165361</v>
      </c>
      <c r="O966" s="14">
        <v>0.13166190091323501</v>
      </c>
      <c r="P966" s="14">
        <v>5.7553886518291901E-2</v>
      </c>
      <c r="Q966" s="14">
        <v>8.1428719554318907E-2</v>
      </c>
      <c r="R966" s="14"/>
      <c r="S966" s="14">
        <v>0.112193420561323</v>
      </c>
      <c r="T966" s="14">
        <v>0.22266789480392701</v>
      </c>
      <c r="U966" s="14">
        <v>1.0153179623131101E-2</v>
      </c>
      <c r="V966" s="14">
        <v>5.8112836916033299E-2</v>
      </c>
      <c r="W966" s="14">
        <v>9.99181520048881E-2</v>
      </c>
      <c r="X966" s="14">
        <v>0.12687687906408099</v>
      </c>
      <c r="Y966" s="14">
        <v>5.3606499416619401E-2</v>
      </c>
      <c r="Z966" s="14">
        <v>0</v>
      </c>
      <c r="AA966" s="14">
        <v>6.9867220882495196E-2</v>
      </c>
      <c r="AB966" s="14"/>
      <c r="AC966" s="14">
        <v>8.8788268680635898E-2</v>
      </c>
      <c r="AD966" s="14">
        <v>8.2590808191680395E-2</v>
      </c>
      <c r="AE966" s="14">
        <v>0.14601867116634201</v>
      </c>
      <c r="AF966" s="14">
        <v>5.5338312354215997E-2</v>
      </c>
      <c r="AG966" s="14">
        <v>0</v>
      </c>
      <c r="AH966" s="14"/>
      <c r="AI966" s="14">
        <v>0.11094722090649201</v>
      </c>
      <c r="AJ966" s="14">
        <v>9.4139581578947001E-2</v>
      </c>
      <c r="AK966" s="14">
        <v>8.8892565579454297E-2</v>
      </c>
      <c r="AL966" s="14">
        <v>5.0692676691340102E-2</v>
      </c>
      <c r="AM966" s="14">
        <v>0</v>
      </c>
      <c r="AN966" s="14">
        <v>0.15395277232684501</v>
      </c>
      <c r="AO966" s="14"/>
      <c r="AP966" s="14">
        <v>0.102240845370011</v>
      </c>
      <c r="AQ966" s="14">
        <v>9.8306028959997294E-2</v>
      </c>
      <c r="AR966" s="14"/>
      <c r="AS966" s="14" t="s">
        <v>88</v>
      </c>
      <c r="AT966" s="14">
        <v>0.10091662642424901</v>
      </c>
      <c r="AU966" s="14">
        <v>0</v>
      </c>
      <c r="AV966" s="14"/>
      <c r="AW966" s="14">
        <v>9.4000077544316996E-2</v>
      </c>
      <c r="AX966" s="14">
        <v>7.2211688672330507E-2</v>
      </c>
      <c r="AY966" s="14"/>
      <c r="AZ966" s="14">
        <v>0.109676546946731</v>
      </c>
      <c r="BA966" s="14">
        <v>6.5560250496573602E-2</v>
      </c>
    </row>
    <row r="967" spans="2:53" x14ac:dyDescent="0.35">
      <c r="B967" t="s">
        <v>116</v>
      </c>
      <c r="C967" s="14">
        <v>6.5379661508827E-2</v>
      </c>
      <c r="D967" s="14">
        <v>4.1821879049596299E-2</v>
      </c>
      <c r="E967" s="14">
        <v>8.6556260521714903E-2</v>
      </c>
      <c r="F967" s="14"/>
      <c r="G967" s="14">
        <v>0</v>
      </c>
      <c r="H967" s="14">
        <v>5.7984671217478197E-2</v>
      </c>
      <c r="I967" s="14">
        <v>4.68438171612151E-2</v>
      </c>
      <c r="J967" s="14">
        <v>0.12321411645955301</v>
      </c>
      <c r="K967" s="14">
        <v>8.4253366146259404E-2</v>
      </c>
      <c r="L967" s="14" t="s">
        <v>88</v>
      </c>
      <c r="M967" s="14"/>
      <c r="N967" s="14">
        <v>3.9887041851601697E-2</v>
      </c>
      <c r="O967" s="14">
        <v>6.39801346590117E-2</v>
      </c>
      <c r="P967" s="14">
        <v>9.2125631641416406E-2</v>
      </c>
      <c r="Q967" s="14">
        <v>7.3872595941622002E-2</v>
      </c>
      <c r="R967" s="14"/>
      <c r="S967" s="14">
        <v>0</v>
      </c>
      <c r="T967" s="14">
        <v>0.103642420306598</v>
      </c>
      <c r="U967" s="14">
        <v>0</v>
      </c>
      <c r="V967" s="14">
        <v>3.5528806958033399E-2</v>
      </c>
      <c r="W967" s="14">
        <v>0.106401419732613</v>
      </c>
      <c r="X967" s="14">
        <v>7.7442370381459499E-2</v>
      </c>
      <c r="Y967" s="14">
        <v>9.1124018044160704E-2</v>
      </c>
      <c r="Z967" s="14">
        <v>0.10963190754173199</v>
      </c>
      <c r="AA967" s="14">
        <v>8.9795760031473201E-2</v>
      </c>
      <c r="AB967" s="14"/>
      <c r="AC967" s="14">
        <v>8.38247393823984E-2</v>
      </c>
      <c r="AD967" s="14">
        <v>6.7648123000454405E-2</v>
      </c>
      <c r="AE967" s="14">
        <v>6.7138707699178596E-2</v>
      </c>
      <c r="AF967" s="14">
        <v>4.1131290356107499E-2</v>
      </c>
      <c r="AG967" s="14">
        <v>0</v>
      </c>
      <c r="AH967" s="14"/>
      <c r="AI967" s="14">
        <v>4.3179330743915598E-2</v>
      </c>
      <c r="AJ967" s="14">
        <v>2.0361133215108799E-2</v>
      </c>
      <c r="AK967" s="14">
        <v>0.14844257018693499</v>
      </c>
      <c r="AL967" s="14">
        <v>6.0930052011721601E-2</v>
      </c>
      <c r="AM967" s="14">
        <v>8.1204208186106602E-2</v>
      </c>
      <c r="AN967" s="14">
        <v>4.93587772782191E-2</v>
      </c>
      <c r="AO967" s="14"/>
      <c r="AP967" s="14">
        <v>5.2884818393888401E-2</v>
      </c>
      <c r="AQ967" s="14">
        <v>8.4431261041417002E-2</v>
      </c>
      <c r="AR967" s="14"/>
      <c r="AS967" s="14" t="s">
        <v>88</v>
      </c>
      <c r="AT967" s="14">
        <v>6.3204926808666198E-2</v>
      </c>
      <c r="AU967" s="14">
        <v>1</v>
      </c>
      <c r="AV967" s="14"/>
      <c r="AW967" s="14">
        <v>8.0749542066590102E-2</v>
      </c>
      <c r="AX967" s="14">
        <v>0</v>
      </c>
      <c r="AY967" s="14"/>
      <c r="AZ967" s="14">
        <v>5.5932971673666003E-2</v>
      </c>
      <c r="BA967" s="14">
        <v>0.10226874529615</v>
      </c>
    </row>
    <row r="968" spans="2:53" x14ac:dyDescent="0.35"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</row>
    <row r="969" spans="2:53" x14ac:dyDescent="0.35">
      <c r="B969" s="6" t="s">
        <v>295</v>
      </c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</row>
    <row r="970" spans="2:53" x14ac:dyDescent="0.35">
      <c r="B970" s="30" t="s">
        <v>328</v>
      </c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</row>
    <row r="971" spans="2:53" x14ac:dyDescent="0.35">
      <c r="B971" t="s">
        <v>235</v>
      </c>
      <c r="C971" s="14">
        <v>0.37663561799008199</v>
      </c>
      <c r="D971" s="14">
        <v>0.412456326298757</v>
      </c>
      <c r="E971" s="14">
        <v>0.34443561030586101</v>
      </c>
      <c r="F971" s="14"/>
      <c r="G971" s="14">
        <v>0</v>
      </c>
      <c r="H971" s="14">
        <v>0.34222823145736297</v>
      </c>
      <c r="I971" s="14">
        <v>0.39200399346287901</v>
      </c>
      <c r="J971" s="14">
        <v>0.37516333979827399</v>
      </c>
      <c r="K971" s="14">
        <v>0.44116535619074398</v>
      </c>
      <c r="L971" s="14" t="s">
        <v>88</v>
      </c>
      <c r="M971" s="14"/>
      <c r="N971" s="14">
        <v>0.482881463565279</v>
      </c>
      <c r="O971" s="14">
        <v>0.38435604294284997</v>
      </c>
      <c r="P971" s="14">
        <v>0.24655260931797901</v>
      </c>
      <c r="Q971" s="14">
        <v>0.35099625257513001</v>
      </c>
      <c r="R971" s="14"/>
      <c r="S971" s="14">
        <v>0.37190735781376799</v>
      </c>
      <c r="T971" s="14">
        <v>0.32963546069466798</v>
      </c>
      <c r="U971" s="14">
        <v>0.24741194982619999</v>
      </c>
      <c r="V971" s="14">
        <v>0.46780743612741998</v>
      </c>
      <c r="W971" s="14">
        <v>0.45435368394903702</v>
      </c>
      <c r="X971" s="14">
        <v>0.39068664594570801</v>
      </c>
      <c r="Y971" s="14">
        <v>0.48115084808519998</v>
      </c>
      <c r="Z971" s="14">
        <v>0.32101475321624801</v>
      </c>
      <c r="AA971" s="14">
        <v>0.318856107534226</v>
      </c>
      <c r="AB971" s="14"/>
      <c r="AC971" s="14">
        <v>0.23695265472167601</v>
      </c>
      <c r="AD971" s="14">
        <v>0.24506701369384401</v>
      </c>
      <c r="AE971" s="14">
        <v>0.431934179586762</v>
      </c>
      <c r="AF971" s="14">
        <v>0.56039292474567803</v>
      </c>
      <c r="AG971" s="14">
        <v>0.45057293928057601</v>
      </c>
      <c r="AH971" s="14"/>
      <c r="AI971" s="14">
        <v>0.46719052394640598</v>
      </c>
      <c r="AJ971" s="14">
        <v>0.29632812040449402</v>
      </c>
      <c r="AK971" s="14">
        <v>0.62509963035067095</v>
      </c>
      <c r="AL971" s="14">
        <v>0.35587317310523697</v>
      </c>
      <c r="AM971" s="14">
        <v>0.16725635323437399</v>
      </c>
      <c r="AN971" s="14">
        <v>0.19851119639196499</v>
      </c>
      <c r="AO971" s="14"/>
      <c r="AP971" s="14">
        <v>0.37941383107725801</v>
      </c>
      <c r="AQ971" s="14">
        <v>0.37239951813142902</v>
      </c>
      <c r="AR971" s="14"/>
      <c r="AS971" s="14" t="s">
        <v>88</v>
      </c>
      <c r="AT971" s="14">
        <v>0.37518513366337702</v>
      </c>
      <c r="AU971" s="14">
        <v>1</v>
      </c>
      <c r="AV971" s="14"/>
      <c r="AW971" s="14">
        <v>0.35774164654200102</v>
      </c>
      <c r="AX971" s="14">
        <v>0.47016425223950298</v>
      </c>
      <c r="AY971" s="14"/>
      <c r="AZ971" s="14">
        <v>0.40640881189327999</v>
      </c>
      <c r="BA971" s="14">
        <v>0.260372052267478</v>
      </c>
    </row>
    <row r="972" spans="2:53" x14ac:dyDescent="0.35">
      <c r="B972" t="s">
        <v>236</v>
      </c>
      <c r="C972" s="14">
        <v>0.50594046085644195</v>
      </c>
      <c r="D972" s="14">
        <v>0.484952595628375</v>
      </c>
      <c r="E972" s="14">
        <v>0.52480690581323997</v>
      </c>
      <c r="F972" s="14"/>
      <c r="G972" s="14">
        <v>1</v>
      </c>
      <c r="H972" s="14">
        <v>0.51837062558365099</v>
      </c>
      <c r="I972" s="14">
        <v>0.50272952702517604</v>
      </c>
      <c r="J972" s="14">
        <v>0.47249740747591401</v>
      </c>
      <c r="K972" s="14">
        <v>0.53566214250649502</v>
      </c>
      <c r="L972" s="14" t="s">
        <v>88</v>
      </c>
      <c r="M972" s="14"/>
      <c r="N972" s="14">
        <v>0.431082560414011</v>
      </c>
      <c r="O972" s="14">
        <v>0.48117020194822702</v>
      </c>
      <c r="P972" s="14">
        <v>0.599755489155545</v>
      </c>
      <c r="Q972" s="14">
        <v>0.54702738649568305</v>
      </c>
      <c r="R972" s="14"/>
      <c r="S972" s="14">
        <v>0.57950829451132202</v>
      </c>
      <c r="T972" s="14">
        <v>0.454163677201389</v>
      </c>
      <c r="U972" s="14">
        <v>0.64541976571720605</v>
      </c>
      <c r="V972" s="14">
        <v>0.357714019113899</v>
      </c>
      <c r="W972" s="14">
        <v>0.48293463991582702</v>
      </c>
      <c r="X972" s="14">
        <v>0.46800339975218502</v>
      </c>
      <c r="Y972" s="14">
        <v>0.41139344242364601</v>
      </c>
      <c r="Z972" s="14">
        <v>0.67898524678375205</v>
      </c>
      <c r="AA972" s="14">
        <v>0.58106877202588003</v>
      </c>
      <c r="AB972" s="14"/>
      <c r="AC972" s="14">
        <v>0.59510398440256596</v>
      </c>
      <c r="AD972" s="14">
        <v>0.64608389808798194</v>
      </c>
      <c r="AE972" s="14">
        <v>0.46892105700137698</v>
      </c>
      <c r="AF972" s="14">
        <v>0.37916593994150899</v>
      </c>
      <c r="AG972" s="14">
        <v>0.23786956194987299</v>
      </c>
      <c r="AH972" s="14"/>
      <c r="AI972" s="14">
        <v>0.46561321839555497</v>
      </c>
      <c r="AJ972" s="14">
        <v>0.58678379199935304</v>
      </c>
      <c r="AK972" s="14">
        <v>0.27055516501719801</v>
      </c>
      <c r="AL972" s="14">
        <v>0.48827959727875198</v>
      </c>
      <c r="AM972" s="14">
        <v>0.77136728712245195</v>
      </c>
      <c r="AN972" s="14">
        <v>0.50747832789845904</v>
      </c>
      <c r="AO972" s="14"/>
      <c r="AP972" s="14">
        <v>0.49602133524243702</v>
      </c>
      <c r="AQ972" s="14">
        <v>0.52106471709344304</v>
      </c>
      <c r="AR972" s="14"/>
      <c r="AS972" s="14" t="s">
        <v>88</v>
      </c>
      <c r="AT972" s="14">
        <v>0.50711771565299002</v>
      </c>
      <c r="AU972" s="14">
        <v>0</v>
      </c>
      <c r="AV972" s="14"/>
      <c r="AW972" s="14">
        <v>0.51942457451785395</v>
      </c>
      <c r="AX972" s="14">
        <v>0.46316178998187202</v>
      </c>
      <c r="AY972" s="14"/>
      <c r="AZ972" s="14">
        <v>0.46746349890518102</v>
      </c>
      <c r="BA972" s="14">
        <v>0.65619201966370899</v>
      </c>
    </row>
    <row r="973" spans="2:53" x14ac:dyDescent="0.35">
      <c r="B973" t="s">
        <v>237</v>
      </c>
      <c r="C973" s="14">
        <v>9.0535797266520404E-2</v>
      </c>
      <c r="D973" s="14">
        <v>6.2195894282589301E-2</v>
      </c>
      <c r="E973" s="14">
        <v>0.11601114761384</v>
      </c>
      <c r="F973" s="14"/>
      <c r="G973" s="14">
        <v>0</v>
      </c>
      <c r="H973" s="14">
        <v>0.124916088178313</v>
      </c>
      <c r="I973" s="14">
        <v>6.82188667011773E-2</v>
      </c>
      <c r="J973" s="14">
        <v>0.12942097214505499</v>
      </c>
      <c r="K973" s="14">
        <v>2.3172501302761501E-2</v>
      </c>
      <c r="L973" s="14" t="s">
        <v>88</v>
      </c>
      <c r="M973" s="14"/>
      <c r="N973" s="14">
        <v>8.6035976020710406E-2</v>
      </c>
      <c r="O973" s="14">
        <v>0.119011109630901</v>
      </c>
      <c r="P973" s="14">
        <v>0.133167307359357</v>
      </c>
      <c r="Q973" s="14">
        <v>3.1001098545332399E-2</v>
      </c>
      <c r="R973" s="14"/>
      <c r="S973" s="14">
        <v>4.8584347674909198E-2</v>
      </c>
      <c r="T973" s="14">
        <v>0.157035085817537</v>
      </c>
      <c r="U973" s="14">
        <v>0.107168284456594</v>
      </c>
      <c r="V973" s="14">
        <v>9.3641643874066705E-2</v>
      </c>
      <c r="W973" s="14">
        <v>6.2711676135135397E-2</v>
      </c>
      <c r="X973" s="14">
        <v>0.111814839688798</v>
      </c>
      <c r="Y973" s="14">
        <v>0.107455709491154</v>
      </c>
      <c r="Z973" s="14">
        <v>0</v>
      </c>
      <c r="AA973" s="14">
        <v>5.7310940480499298E-2</v>
      </c>
      <c r="AB973" s="14"/>
      <c r="AC973" s="14">
        <v>0.109475016092176</v>
      </c>
      <c r="AD973" s="14">
        <v>8.9141269570747E-2</v>
      </c>
      <c r="AE973" s="14">
        <v>8.8213260394045603E-2</v>
      </c>
      <c r="AF973" s="14">
        <v>3.7852127822524798E-2</v>
      </c>
      <c r="AG973" s="14">
        <v>0.31155749876955102</v>
      </c>
      <c r="AH973" s="14"/>
      <c r="AI973" s="14">
        <v>6.7196257658039105E-2</v>
      </c>
      <c r="AJ973" s="14">
        <v>7.9009017437319501E-2</v>
      </c>
      <c r="AK973" s="14">
        <v>3.2735592727065298E-2</v>
      </c>
      <c r="AL973" s="14">
        <v>0.155847229616012</v>
      </c>
      <c r="AM973" s="14">
        <v>6.1376359643173999E-2</v>
      </c>
      <c r="AN973" s="14">
        <v>0.13696393498348999</v>
      </c>
      <c r="AO973" s="14"/>
      <c r="AP973" s="14">
        <v>8.8416411610717102E-2</v>
      </c>
      <c r="AQ973" s="14">
        <v>9.3767345385856501E-2</v>
      </c>
      <c r="AR973" s="14"/>
      <c r="AS973" s="14" t="s">
        <v>88</v>
      </c>
      <c r="AT973" s="14">
        <v>9.0746461781097604E-2</v>
      </c>
      <c r="AU973" s="14">
        <v>0</v>
      </c>
      <c r="AV973" s="14"/>
      <c r="AW973" s="14">
        <v>8.8402036081761504E-2</v>
      </c>
      <c r="AX973" s="14">
        <v>6.6673957778624698E-2</v>
      </c>
      <c r="AY973" s="14"/>
      <c r="AZ973" s="14">
        <v>9.7756302147910104E-2</v>
      </c>
      <c r="BA973" s="14">
        <v>6.2339909161359501E-2</v>
      </c>
    </row>
    <row r="974" spans="2:53" x14ac:dyDescent="0.35">
      <c r="B974" t="s">
        <v>238</v>
      </c>
      <c r="C974" s="14">
        <v>1.8366143685814799E-2</v>
      </c>
      <c r="D974" s="14">
        <v>2.9711948897850501E-2</v>
      </c>
      <c r="E974" s="14">
        <v>8.1671545462632406E-3</v>
      </c>
      <c r="F974" s="14"/>
      <c r="G974" s="14">
        <v>0</v>
      </c>
      <c r="H974" s="14">
        <v>0</v>
      </c>
      <c r="I974" s="14">
        <v>2.72497034383045E-2</v>
      </c>
      <c r="J974" s="14">
        <v>2.2918280580756699E-2</v>
      </c>
      <c r="K974" s="14">
        <v>0</v>
      </c>
      <c r="L974" s="14" t="s">
        <v>88</v>
      </c>
      <c r="M974" s="14"/>
      <c r="N974" s="14">
        <v>0</v>
      </c>
      <c r="O974" s="14">
        <v>0</v>
      </c>
      <c r="P974" s="14">
        <v>0</v>
      </c>
      <c r="Q974" s="14">
        <v>7.0975262383854196E-2</v>
      </c>
      <c r="R974" s="14"/>
      <c r="S974" s="14">
        <v>0</v>
      </c>
      <c r="T974" s="14">
        <v>2.7191965173051499E-2</v>
      </c>
      <c r="U974" s="14">
        <v>0</v>
      </c>
      <c r="V974" s="14">
        <v>8.0836900884615107E-2</v>
      </c>
      <c r="W974" s="14">
        <v>0</v>
      </c>
      <c r="X974" s="14">
        <v>0</v>
      </c>
      <c r="Y974" s="14">
        <v>0</v>
      </c>
      <c r="Z974" s="14">
        <v>0</v>
      </c>
      <c r="AA974" s="14">
        <v>4.2764179959394001E-2</v>
      </c>
      <c r="AB974" s="14"/>
      <c r="AC974" s="14">
        <v>5.8468344783582198E-2</v>
      </c>
      <c r="AD974" s="14">
        <v>1.97078186474266E-2</v>
      </c>
      <c r="AE974" s="14">
        <v>0</v>
      </c>
      <c r="AF974" s="14">
        <v>0</v>
      </c>
      <c r="AG974" s="14">
        <v>0</v>
      </c>
      <c r="AH974" s="14"/>
      <c r="AI974" s="14">
        <v>0</v>
      </c>
      <c r="AJ974" s="14">
        <v>3.7879070158833801E-2</v>
      </c>
      <c r="AK974" s="14">
        <v>0</v>
      </c>
      <c r="AL974" s="14">
        <v>0</v>
      </c>
      <c r="AM974" s="14">
        <v>0</v>
      </c>
      <c r="AN974" s="14">
        <v>0.107687763447867</v>
      </c>
      <c r="AO974" s="14"/>
      <c r="AP974" s="14">
        <v>3.0411435924302201E-2</v>
      </c>
      <c r="AQ974" s="14">
        <v>0</v>
      </c>
      <c r="AR974" s="14"/>
      <c r="AS974" s="14" t="s">
        <v>88</v>
      </c>
      <c r="AT974" s="14">
        <v>1.8408879209895299E-2</v>
      </c>
      <c r="AU974" s="14">
        <v>0</v>
      </c>
      <c r="AV974" s="14"/>
      <c r="AW974" s="14">
        <v>2.3518871727486901E-2</v>
      </c>
      <c r="AX974" s="14">
        <v>0</v>
      </c>
      <c r="AY974" s="14"/>
      <c r="AZ974" s="14">
        <v>1.7667067377598902E-2</v>
      </c>
      <c r="BA974" s="14">
        <v>2.1096018907453499E-2</v>
      </c>
    </row>
    <row r="975" spans="2:53" x14ac:dyDescent="0.35">
      <c r="B975" t="s">
        <v>116</v>
      </c>
      <c r="C975" s="14">
        <v>8.5219802011411092E-3</v>
      </c>
      <c r="D975" s="14">
        <v>1.06832348924276E-2</v>
      </c>
      <c r="E975" s="14">
        <v>6.5791817207959003E-3</v>
      </c>
      <c r="F975" s="14"/>
      <c r="G975" s="14">
        <v>0</v>
      </c>
      <c r="H975" s="14">
        <v>1.4485054780673299E-2</v>
      </c>
      <c r="I975" s="14">
        <v>9.7979093724632604E-3</v>
      </c>
      <c r="J975" s="14">
        <v>0</v>
      </c>
      <c r="K975" s="14">
        <v>0</v>
      </c>
      <c r="L975" s="14" t="s">
        <v>88</v>
      </c>
      <c r="M975" s="14"/>
      <c r="N975" s="14">
        <v>0</v>
      </c>
      <c r="O975" s="14">
        <v>1.5462645478021999E-2</v>
      </c>
      <c r="P975" s="14">
        <v>2.05245941671196E-2</v>
      </c>
      <c r="Q975" s="14">
        <v>0</v>
      </c>
      <c r="R975" s="14"/>
      <c r="S975" s="14">
        <v>0</v>
      </c>
      <c r="T975" s="14">
        <v>3.1973811113354601E-2</v>
      </c>
      <c r="U975" s="14">
        <v>0</v>
      </c>
      <c r="V975" s="14">
        <v>0</v>
      </c>
      <c r="W975" s="14">
        <v>0</v>
      </c>
      <c r="X975" s="14">
        <v>2.9495114613308001E-2</v>
      </c>
      <c r="Y975" s="14">
        <v>0</v>
      </c>
      <c r="Z975" s="14">
        <v>0</v>
      </c>
      <c r="AA975" s="14">
        <v>0</v>
      </c>
      <c r="AB975" s="14"/>
      <c r="AC975" s="14">
        <v>0</v>
      </c>
      <c r="AD975" s="14">
        <v>0</v>
      </c>
      <c r="AE975" s="14">
        <v>1.09315030178156E-2</v>
      </c>
      <c r="AF975" s="14">
        <v>2.2589007490288401E-2</v>
      </c>
      <c r="AG975" s="14">
        <v>0</v>
      </c>
      <c r="AH975" s="14"/>
      <c r="AI975" s="14">
        <v>0</v>
      </c>
      <c r="AJ975" s="14">
        <v>0</v>
      </c>
      <c r="AK975" s="14">
        <v>7.1609611905065998E-2</v>
      </c>
      <c r="AL975" s="14">
        <v>0</v>
      </c>
      <c r="AM975" s="14">
        <v>0</v>
      </c>
      <c r="AN975" s="14">
        <v>4.93587772782191E-2</v>
      </c>
      <c r="AO975" s="14"/>
      <c r="AP975" s="14">
        <v>5.7369861452850101E-3</v>
      </c>
      <c r="AQ975" s="14">
        <v>1.2768419389271301E-2</v>
      </c>
      <c r="AR975" s="14"/>
      <c r="AS975" s="14" t="s">
        <v>88</v>
      </c>
      <c r="AT975" s="14">
        <v>8.5418096926407599E-3</v>
      </c>
      <c r="AU975" s="14">
        <v>0</v>
      </c>
      <c r="AV975" s="14"/>
      <c r="AW975" s="14">
        <v>1.0912871130896199E-2</v>
      </c>
      <c r="AX975" s="14">
        <v>0</v>
      </c>
      <c r="AY975" s="14"/>
      <c r="AZ975" s="14">
        <v>1.07043196760301E-2</v>
      </c>
      <c r="BA975" s="14">
        <v>0</v>
      </c>
    </row>
    <row r="976" spans="2:53" x14ac:dyDescent="0.35"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</row>
    <row r="977" spans="2:53" x14ac:dyDescent="0.35">
      <c r="B977" s="6" t="s">
        <v>296</v>
      </c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</row>
    <row r="978" spans="2:53" x14ac:dyDescent="0.35">
      <c r="B978" s="30" t="s">
        <v>328</v>
      </c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</row>
    <row r="979" spans="2:53" x14ac:dyDescent="0.35">
      <c r="B979" t="s">
        <v>220</v>
      </c>
      <c r="C979" s="14">
        <v>0.258377337018452</v>
      </c>
      <c r="D979" s="14">
        <v>0.34306736668750498</v>
      </c>
      <c r="E979" s="14">
        <v>0.18224764179799099</v>
      </c>
      <c r="F979" s="14"/>
      <c r="G979" s="14">
        <v>0</v>
      </c>
      <c r="H979" s="14">
        <v>0.26605179333622397</v>
      </c>
      <c r="I979" s="14">
        <v>0.26501477816720398</v>
      </c>
      <c r="J979" s="14">
        <v>0.2185755458816</v>
      </c>
      <c r="K979" s="14">
        <v>0.33896536228747098</v>
      </c>
      <c r="L979" s="14" t="s">
        <v>88</v>
      </c>
      <c r="M979" s="14"/>
      <c r="N979" s="14">
        <v>0.28638953123857103</v>
      </c>
      <c r="O979" s="14">
        <v>0.28892876413292901</v>
      </c>
      <c r="P979" s="14">
        <v>0.13207755650170899</v>
      </c>
      <c r="Q979" s="14">
        <v>0.2755931638295</v>
      </c>
      <c r="R979" s="14"/>
      <c r="S979" s="14">
        <v>0.30368407904855599</v>
      </c>
      <c r="T979" s="14">
        <v>0.26756688672870999</v>
      </c>
      <c r="U979" s="14">
        <v>0.15928767793593299</v>
      </c>
      <c r="V979" s="14">
        <v>0.23968210954570801</v>
      </c>
      <c r="W979" s="14">
        <v>0.23912158894499899</v>
      </c>
      <c r="X979" s="14">
        <v>0.210869071770554</v>
      </c>
      <c r="Y979" s="14">
        <v>0.38636681811003798</v>
      </c>
      <c r="Z979" s="14">
        <v>0.304423056475153</v>
      </c>
      <c r="AA979" s="14">
        <v>0.21183008915176499</v>
      </c>
      <c r="AB979" s="14"/>
      <c r="AC979" s="14">
        <v>0.23126933025950699</v>
      </c>
      <c r="AD979" s="14">
        <v>9.7595483245504294E-2</v>
      </c>
      <c r="AE979" s="14">
        <v>0.25526954586428602</v>
      </c>
      <c r="AF979" s="14">
        <v>0.46427361730164002</v>
      </c>
      <c r="AG979" s="14">
        <v>0.82682378682032398</v>
      </c>
      <c r="AH979" s="14"/>
      <c r="AI979" s="14">
        <v>0.35479526573039599</v>
      </c>
      <c r="AJ979" s="14">
        <v>0.132993134054777</v>
      </c>
      <c r="AK979" s="14">
        <v>0.34912359299747697</v>
      </c>
      <c r="AL979" s="14">
        <v>0.233063243418625</v>
      </c>
      <c r="AM979" s="14">
        <v>0.138790783526612</v>
      </c>
      <c r="AN979" s="14">
        <v>0.217140693683261</v>
      </c>
      <c r="AO979" s="14"/>
      <c r="AP979" s="14">
        <v>0.26513857010674402</v>
      </c>
      <c r="AQ979" s="14">
        <v>0.24806809952265299</v>
      </c>
      <c r="AR979" s="14"/>
      <c r="AS979" s="14" t="s">
        <v>88</v>
      </c>
      <c r="AT979" s="14">
        <v>0.25897854602001902</v>
      </c>
      <c r="AU979" s="14">
        <v>0</v>
      </c>
      <c r="AV979" s="14"/>
      <c r="AW979" s="14">
        <v>0.218527610319774</v>
      </c>
      <c r="AX979" s="14">
        <v>0.42403017624663703</v>
      </c>
      <c r="AY979" s="14"/>
      <c r="AZ979" s="14">
        <v>0.29256656003606402</v>
      </c>
      <c r="BA979" s="14">
        <v>0.124869289805354</v>
      </c>
    </row>
    <row r="980" spans="2:53" x14ac:dyDescent="0.35">
      <c r="B980" t="s">
        <v>221</v>
      </c>
      <c r="C980" s="14">
        <v>0.46925768460342898</v>
      </c>
      <c r="D980" s="14">
        <v>0.43352290201215599</v>
      </c>
      <c r="E980" s="14">
        <v>0.50138045180606094</v>
      </c>
      <c r="F980" s="14"/>
      <c r="G980" s="14">
        <v>0</v>
      </c>
      <c r="H980" s="14">
        <v>0.42168385140775</v>
      </c>
      <c r="I980" s="14">
        <v>0.45086716423200202</v>
      </c>
      <c r="J980" s="14">
        <v>0.54702180265289402</v>
      </c>
      <c r="K980" s="14">
        <v>0.66103463771252902</v>
      </c>
      <c r="L980" s="14" t="s">
        <v>88</v>
      </c>
      <c r="M980" s="14"/>
      <c r="N980" s="14">
        <v>0.44816894435318</v>
      </c>
      <c r="O980" s="14">
        <v>0.495908639427944</v>
      </c>
      <c r="P980" s="14">
        <v>0.49672826743297899</v>
      </c>
      <c r="Q980" s="14">
        <v>0.43764840278011002</v>
      </c>
      <c r="R980" s="14"/>
      <c r="S980" s="14">
        <v>0.52608949374250702</v>
      </c>
      <c r="T980" s="14">
        <v>0.40151149891971999</v>
      </c>
      <c r="U980" s="14">
        <v>0.73168217751337306</v>
      </c>
      <c r="V980" s="14">
        <v>0.52608209397700301</v>
      </c>
      <c r="W980" s="14">
        <v>0.37757957292319599</v>
      </c>
      <c r="X980" s="14">
        <v>0.502088483850058</v>
      </c>
      <c r="Y980" s="14">
        <v>0.35534015736458602</v>
      </c>
      <c r="Z980" s="14">
        <v>0.123015463520318</v>
      </c>
      <c r="AA980" s="14">
        <v>0.46873477744680397</v>
      </c>
      <c r="AB980" s="14"/>
      <c r="AC980" s="14">
        <v>0.380096916504927</v>
      </c>
      <c r="AD980" s="14">
        <v>0.54973572724615805</v>
      </c>
      <c r="AE980" s="14">
        <v>0.49348493514636599</v>
      </c>
      <c r="AF980" s="14">
        <v>0.37239166684749198</v>
      </c>
      <c r="AG980" s="14">
        <v>0.121566701342932</v>
      </c>
      <c r="AH980" s="14"/>
      <c r="AI980" s="14">
        <v>0.42394760244711099</v>
      </c>
      <c r="AJ980" s="14">
        <v>0.70280347201917703</v>
      </c>
      <c r="AK980" s="14">
        <v>0.27503589571529102</v>
      </c>
      <c r="AL980" s="14">
        <v>0.53282515155390797</v>
      </c>
      <c r="AM980" s="14">
        <v>0.36445926329452</v>
      </c>
      <c r="AN980" s="14">
        <v>0.56990863749785903</v>
      </c>
      <c r="AO980" s="14"/>
      <c r="AP980" s="14">
        <v>0.46013146301694002</v>
      </c>
      <c r="AQ980" s="14">
        <v>0.483172954872297</v>
      </c>
      <c r="AR980" s="14"/>
      <c r="AS980" s="14" t="s">
        <v>88</v>
      </c>
      <c r="AT980" s="14">
        <v>0.47034958355746997</v>
      </c>
      <c r="AU980" s="14">
        <v>0</v>
      </c>
      <c r="AV980" s="14"/>
      <c r="AW980" s="14">
        <v>0.48571102521614901</v>
      </c>
      <c r="AX980" s="14">
        <v>0.379659958568692</v>
      </c>
      <c r="AY980" s="14"/>
      <c r="AZ980" s="14">
        <v>0.50940142863417504</v>
      </c>
      <c r="BA980" s="14">
        <v>0.312497384124931</v>
      </c>
    </row>
    <row r="981" spans="2:53" x14ac:dyDescent="0.35">
      <c r="B981" t="s">
        <v>222</v>
      </c>
      <c r="C981" s="14">
        <v>0.172515074332561</v>
      </c>
      <c r="D981" s="14">
        <v>0.14864778096012701</v>
      </c>
      <c r="E981" s="14">
        <v>0.19396989938435499</v>
      </c>
      <c r="F981" s="14"/>
      <c r="G981" s="14">
        <v>0</v>
      </c>
      <c r="H981" s="14">
        <v>0.213426809972209</v>
      </c>
      <c r="I981" s="14">
        <v>0.166116788289353</v>
      </c>
      <c r="J981" s="14">
        <v>0.19035326845360701</v>
      </c>
      <c r="K981" s="14">
        <v>0</v>
      </c>
      <c r="L981" s="14" t="s">
        <v>88</v>
      </c>
      <c r="M981" s="14"/>
      <c r="N981" s="14">
        <v>0.15042118994594</v>
      </c>
      <c r="O981" s="14">
        <v>0.14471943348008201</v>
      </c>
      <c r="P981" s="14">
        <v>0.27518743823105901</v>
      </c>
      <c r="Q981" s="14">
        <v>0.16161777487655599</v>
      </c>
      <c r="R981" s="14"/>
      <c r="S981" s="14">
        <v>0.10229604904667999</v>
      </c>
      <c r="T981" s="14">
        <v>0.148125217213051</v>
      </c>
      <c r="U981" s="14">
        <v>6.4668251898477996E-2</v>
      </c>
      <c r="V981" s="14">
        <v>0.18393504317498899</v>
      </c>
      <c r="W981" s="14">
        <v>0.33568052895461498</v>
      </c>
      <c r="X981" s="14">
        <v>0.16158141301753901</v>
      </c>
      <c r="Y981" s="14">
        <v>0.17834515420879599</v>
      </c>
      <c r="Z981" s="14">
        <v>0.572561480004529</v>
      </c>
      <c r="AA981" s="14">
        <v>0.16744131935176401</v>
      </c>
      <c r="AB981" s="14"/>
      <c r="AC981" s="14">
        <v>0.374480206276954</v>
      </c>
      <c r="AD981" s="14">
        <v>0.19197116861271099</v>
      </c>
      <c r="AE981" s="14">
        <v>0.13957470637547201</v>
      </c>
      <c r="AF981" s="14">
        <v>4.0249820653065801E-2</v>
      </c>
      <c r="AG981" s="14">
        <v>5.1609511836743997E-2</v>
      </c>
      <c r="AH981" s="14"/>
      <c r="AI981" s="14">
        <v>0.141267949374632</v>
      </c>
      <c r="AJ981" s="14">
        <v>9.1848949744280803E-2</v>
      </c>
      <c r="AK981" s="14">
        <v>0.13412514897163</v>
      </c>
      <c r="AL981" s="14">
        <v>0.20937029422106701</v>
      </c>
      <c r="AM981" s="14">
        <v>0.28693000954423398</v>
      </c>
      <c r="AN981" s="14">
        <v>0.11300633843520599</v>
      </c>
      <c r="AO981" s="14"/>
      <c r="AP981" s="14">
        <v>0.18869644142172101</v>
      </c>
      <c r="AQ981" s="14">
        <v>0.147842421556</v>
      </c>
      <c r="AR981" s="14"/>
      <c r="AS981" s="14" t="s">
        <v>88</v>
      </c>
      <c r="AT981" s="14">
        <v>0.17058962919981999</v>
      </c>
      <c r="AU981" s="14">
        <v>1</v>
      </c>
      <c r="AV981" s="14"/>
      <c r="AW981" s="14">
        <v>0.17996160471596001</v>
      </c>
      <c r="AX981" s="14">
        <v>0.14190452628477199</v>
      </c>
      <c r="AY981" s="14"/>
      <c r="AZ981" s="14">
        <v>0.11649214442432</v>
      </c>
      <c r="BA981" s="14">
        <v>0.39128319220855501</v>
      </c>
    </row>
    <row r="982" spans="2:53" x14ac:dyDescent="0.35">
      <c r="B982" t="s">
        <v>223</v>
      </c>
      <c r="C982" s="14">
        <v>3.71240967346744E-2</v>
      </c>
      <c r="D982" s="14">
        <v>2.3316401733199699E-2</v>
      </c>
      <c r="E982" s="14">
        <v>4.9536131731793401E-2</v>
      </c>
      <c r="F982" s="14"/>
      <c r="G982" s="14">
        <v>1</v>
      </c>
      <c r="H982" s="14">
        <v>1.0231193775950199E-2</v>
      </c>
      <c r="I982" s="14">
        <v>4.45952234676769E-2</v>
      </c>
      <c r="J982" s="14">
        <v>2.4638526206356599E-2</v>
      </c>
      <c r="K982" s="14">
        <v>0</v>
      </c>
      <c r="L982" s="14" t="s">
        <v>88</v>
      </c>
      <c r="M982" s="14"/>
      <c r="N982" s="14">
        <v>2.8078944426367599E-2</v>
      </c>
      <c r="O982" s="14">
        <v>3.1226460213121299E-2</v>
      </c>
      <c r="P982" s="14">
        <v>0</v>
      </c>
      <c r="Q982" s="14">
        <v>7.7372595251033002E-2</v>
      </c>
      <c r="R982" s="14"/>
      <c r="S982" s="14">
        <v>4.2804520521832798E-2</v>
      </c>
      <c r="T982" s="14">
        <v>0.100901609794901</v>
      </c>
      <c r="U982" s="14">
        <v>4.4361892652215899E-2</v>
      </c>
      <c r="V982" s="14">
        <v>0</v>
      </c>
      <c r="W982" s="14">
        <v>0</v>
      </c>
      <c r="X982" s="14">
        <v>5.4909132673001099E-2</v>
      </c>
      <c r="Y982" s="14">
        <v>0</v>
      </c>
      <c r="Z982" s="14">
        <v>0</v>
      </c>
      <c r="AA982" s="14">
        <v>2.6145001488080799E-2</v>
      </c>
      <c r="AB982" s="14"/>
      <c r="AC982" s="14">
        <v>0</v>
      </c>
      <c r="AD982" s="14">
        <v>5.1128532450054102E-2</v>
      </c>
      <c r="AE982" s="14">
        <v>4.7857096766355002E-2</v>
      </c>
      <c r="AF982" s="14">
        <v>4.8230344483444501E-2</v>
      </c>
      <c r="AG982" s="14">
        <v>0</v>
      </c>
      <c r="AH982" s="14"/>
      <c r="AI982" s="14">
        <v>3.5472669051630101E-2</v>
      </c>
      <c r="AJ982" s="14">
        <v>4.6462717983948798E-2</v>
      </c>
      <c r="AK982" s="14">
        <v>8.6019644490383004E-2</v>
      </c>
      <c r="AL982" s="14">
        <v>0</v>
      </c>
      <c r="AM982" s="14">
        <v>0</v>
      </c>
      <c r="AN982" s="14">
        <v>3.2935630599410098E-2</v>
      </c>
      <c r="AO982" s="14"/>
      <c r="AP982" s="14">
        <v>1.9452411147221901E-2</v>
      </c>
      <c r="AQ982" s="14">
        <v>6.4069123077219597E-2</v>
      </c>
      <c r="AR982" s="14"/>
      <c r="AS982" s="14" t="s">
        <v>88</v>
      </c>
      <c r="AT982" s="14">
        <v>3.7210479470054798E-2</v>
      </c>
      <c r="AU982" s="14">
        <v>0</v>
      </c>
      <c r="AV982" s="14"/>
      <c r="AW982" s="14">
        <v>4.75394772053307E-2</v>
      </c>
      <c r="AX982" s="14">
        <v>0</v>
      </c>
      <c r="AY982" s="14"/>
      <c r="AZ982" s="14">
        <v>1.42387123998224E-2</v>
      </c>
      <c r="BA982" s="14">
        <v>0.12649094109651801</v>
      </c>
    </row>
    <row r="983" spans="2:53" x14ac:dyDescent="0.35">
      <c r="B983" t="s">
        <v>116</v>
      </c>
      <c r="C983" s="14">
        <v>1.9551177903031802E-2</v>
      </c>
      <c r="D983" s="14">
        <v>2.7951333380000901E-2</v>
      </c>
      <c r="E983" s="14">
        <v>1.20000968753696E-2</v>
      </c>
      <c r="F983" s="14"/>
      <c r="G983" s="14">
        <v>0</v>
      </c>
      <c r="H983" s="14">
        <v>1.4621181616640701E-2</v>
      </c>
      <c r="I983" s="14">
        <v>3.1102626355575199E-2</v>
      </c>
      <c r="J983" s="14">
        <v>0</v>
      </c>
      <c r="K983" s="14">
        <v>0</v>
      </c>
      <c r="L983" s="14" t="s">
        <v>88</v>
      </c>
      <c r="M983" s="14"/>
      <c r="N983" s="14">
        <v>2.2094513745112201E-2</v>
      </c>
      <c r="O983" s="14">
        <v>2.9763208072837999E-2</v>
      </c>
      <c r="P983" s="14">
        <v>2.6039037204606999E-2</v>
      </c>
      <c r="Q983" s="14">
        <v>0</v>
      </c>
      <c r="R983" s="14"/>
      <c r="S983" s="14">
        <v>0</v>
      </c>
      <c r="T983" s="14">
        <v>3.1973811113354601E-2</v>
      </c>
      <c r="U983" s="14">
        <v>0</v>
      </c>
      <c r="V983" s="14">
        <v>0</v>
      </c>
      <c r="W983" s="14">
        <v>4.7618309177190399E-2</v>
      </c>
      <c r="X983" s="14">
        <v>0</v>
      </c>
      <c r="Y983" s="14">
        <v>1.6817640891234699E-2</v>
      </c>
      <c r="Z983" s="14">
        <v>0</v>
      </c>
      <c r="AA983" s="14">
        <v>5.3729759369649098E-2</v>
      </c>
      <c r="AB983" s="14"/>
      <c r="AC983" s="14">
        <v>0</v>
      </c>
      <c r="AD983" s="14">
        <v>8.8155148391736993E-3</v>
      </c>
      <c r="AE983" s="14">
        <v>2.86256534316028E-2</v>
      </c>
      <c r="AF983" s="14">
        <v>3.8209933586750303E-2</v>
      </c>
      <c r="AG983" s="14">
        <v>0</v>
      </c>
      <c r="AH983" s="14"/>
      <c r="AI983" s="14">
        <v>1.1843665066616001E-2</v>
      </c>
      <c r="AJ983" s="14">
        <v>1.12007635929624E-2</v>
      </c>
      <c r="AK983" s="14">
        <v>7.1609611905065998E-2</v>
      </c>
      <c r="AL983" s="14">
        <v>0</v>
      </c>
      <c r="AM983" s="14">
        <v>0.145812836703056</v>
      </c>
      <c r="AN983" s="14">
        <v>0</v>
      </c>
      <c r="AO983" s="14"/>
      <c r="AP983" s="14">
        <v>1.35356227638015E-2</v>
      </c>
      <c r="AQ983" s="14">
        <v>2.87234377245103E-2</v>
      </c>
      <c r="AR983" s="14"/>
      <c r="AS983" s="14" t="s">
        <v>88</v>
      </c>
      <c r="AT983" s="14">
        <v>1.9596670840927099E-2</v>
      </c>
      <c r="AU983" s="14">
        <v>0</v>
      </c>
      <c r="AV983" s="14"/>
      <c r="AW983" s="14">
        <v>2.0557945219960801E-2</v>
      </c>
      <c r="AX983" s="14">
        <v>2.01971361468248E-2</v>
      </c>
      <c r="AY983" s="14"/>
      <c r="AZ983" s="14">
        <v>2.2141388473768099E-2</v>
      </c>
      <c r="BA983" s="14">
        <v>9.4364714356872294E-3</v>
      </c>
    </row>
    <row r="984" spans="2:53" x14ac:dyDescent="0.35">
      <c r="B984" t="s">
        <v>224</v>
      </c>
      <c r="C984" s="14">
        <v>0.72763502162188098</v>
      </c>
      <c r="D984" s="14">
        <v>0.77659026869966097</v>
      </c>
      <c r="E984" s="14">
        <v>0.68362809360405297</v>
      </c>
      <c r="F984" s="14"/>
      <c r="G984" s="14">
        <v>0</v>
      </c>
      <c r="H984" s="14">
        <v>0.68773564474397397</v>
      </c>
      <c r="I984" s="14">
        <v>0.71588194239920699</v>
      </c>
      <c r="J984" s="14">
        <v>0.76559734853449402</v>
      </c>
      <c r="K984" s="14">
        <v>1</v>
      </c>
      <c r="L984" s="14" t="s">
        <v>88</v>
      </c>
      <c r="M984" s="14"/>
      <c r="N984" s="14">
        <v>0.73455847559175103</v>
      </c>
      <c r="O984" s="14">
        <v>0.78483740356087295</v>
      </c>
      <c r="P984" s="14">
        <v>0.62880582393468798</v>
      </c>
      <c r="Q984" s="14">
        <v>0.71324156660961002</v>
      </c>
      <c r="R984" s="14"/>
      <c r="S984" s="14">
        <v>0.82977357279106301</v>
      </c>
      <c r="T984" s="14">
        <v>0.66907838564843003</v>
      </c>
      <c r="U984" s="14">
        <v>0.89096985544930596</v>
      </c>
      <c r="V984" s="14">
        <v>0.76576420352271102</v>
      </c>
      <c r="W984" s="14">
        <v>0.61670116186819401</v>
      </c>
      <c r="X984" s="14">
        <v>0.71295755562061103</v>
      </c>
      <c r="Y984" s="14">
        <v>0.74170697547462405</v>
      </c>
      <c r="Z984" s="14">
        <v>0.427438519995471</v>
      </c>
      <c r="AA984" s="14">
        <v>0.68056486659856896</v>
      </c>
      <c r="AB984" s="14"/>
      <c r="AC984" s="14">
        <v>0.61136624676443396</v>
      </c>
      <c r="AD984" s="14">
        <v>0.64733121049166198</v>
      </c>
      <c r="AE984" s="14">
        <v>0.74875448101065101</v>
      </c>
      <c r="AF984" s="14">
        <v>0.83666528414913199</v>
      </c>
      <c r="AG984" s="14">
        <v>0.948390488163256</v>
      </c>
      <c r="AH984" s="14"/>
      <c r="AI984" s="14">
        <v>0.77874286817750704</v>
      </c>
      <c r="AJ984" s="14">
        <v>0.83579660607395401</v>
      </c>
      <c r="AK984" s="14">
        <v>0.62415948871276705</v>
      </c>
      <c r="AL984" s="14">
        <v>0.76588839497253303</v>
      </c>
      <c r="AM984" s="14">
        <v>0.50325004682113195</v>
      </c>
      <c r="AN984" s="14">
        <v>0.78704933118111897</v>
      </c>
      <c r="AO984" s="14"/>
      <c r="AP984" s="14">
        <v>0.72527003312368399</v>
      </c>
      <c r="AQ984" s="14">
        <v>0.73124105439494902</v>
      </c>
      <c r="AR984" s="14"/>
      <c r="AS984" s="14" t="s">
        <v>88</v>
      </c>
      <c r="AT984" s="14">
        <v>0.72932812957749005</v>
      </c>
      <c r="AU984" s="14">
        <v>0</v>
      </c>
      <c r="AV984" s="14"/>
      <c r="AW984" s="14">
        <v>0.70423863553592303</v>
      </c>
      <c r="AX984" s="14">
        <v>0.80369013481532903</v>
      </c>
      <c r="AY984" s="14"/>
      <c r="AZ984" s="14">
        <v>0.801967988670238</v>
      </c>
      <c r="BA984" s="14">
        <v>0.437366673930285</v>
      </c>
    </row>
    <row r="985" spans="2:53" x14ac:dyDescent="0.35"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</row>
    <row r="986" spans="2:53" x14ac:dyDescent="0.35">
      <c r="B986" s="6" t="s">
        <v>297</v>
      </c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</row>
    <row r="987" spans="2:53" x14ac:dyDescent="0.35">
      <c r="B987" s="30" t="s">
        <v>320</v>
      </c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</row>
    <row r="988" spans="2:53" x14ac:dyDescent="0.35">
      <c r="B988" t="s">
        <v>154</v>
      </c>
      <c r="C988" s="14">
        <v>0.61660985512279298</v>
      </c>
      <c r="D988" s="14">
        <v>0.55428209556705998</v>
      </c>
      <c r="E988" s="14">
        <v>0.66831647471230904</v>
      </c>
      <c r="F988" s="14"/>
      <c r="G988" s="14">
        <v>0</v>
      </c>
      <c r="H988" s="14">
        <v>0.49283758556016299</v>
      </c>
      <c r="I988" s="14">
        <v>0.67138014082517505</v>
      </c>
      <c r="J988" s="14">
        <v>0.63107519680299595</v>
      </c>
      <c r="K988" s="14">
        <v>0.83561100838509395</v>
      </c>
      <c r="L988" s="14">
        <v>0.34819201228478702</v>
      </c>
      <c r="M988" s="14"/>
      <c r="N988" s="14">
        <v>0.65212924349307699</v>
      </c>
      <c r="O988" s="14">
        <v>0.63364738188651204</v>
      </c>
      <c r="P988" s="14">
        <v>0.58564255649013697</v>
      </c>
      <c r="Q988" s="14">
        <v>0.59688806139454298</v>
      </c>
      <c r="R988" s="14"/>
      <c r="S988" s="14">
        <v>0.66591841300886601</v>
      </c>
      <c r="T988" s="14">
        <v>0.60071307062512302</v>
      </c>
      <c r="U988" s="14">
        <v>0.72321539754486497</v>
      </c>
      <c r="V988" s="14">
        <v>0.38834330562643099</v>
      </c>
      <c r="W988" s="14">
        <v>0.61656015497396699</v>
      </c>
      <c r="X988" s="14">
        <v>0.507140978129062</v>
      </c>
      <c r="Y988" s="14">
        <v>0.80654360219669197</v>
      </c>
      <c r="Z988" s="14">
        <v>0.685769012084403</v>
      </c>
      <c r="AA988" s="14">
        <v>0.59393065277492696</v>
      </c>
      <c r="AB988" s="14"/>
      <c r="AC988" s="14">
        <v>0.531732124521067</v>
      </c>
      <c r="AD988" s="14">
        <v>0.64851568938285098</v>
      </c>
      <c r="AE988" s="14">
        <v>0.70389112059834502</v>
      </c>
      <c r="AF988" s="14">
        <v>0.60952357160114201</v>
      </c>
      <c r="AG988" s="14">
        <v>0.79157942734094699</v>
      </c>
      <c r="AH988" s="14"/>
      <c r="AI988" s="14">
        <v>0.69883628707041601</v>
      </c>
      <c r="AJ988" s="14">
        <v>0.64475006438531901</v>
      </c>
      <c r="AK988" s="14">
        <v>0.577886454406077</v>
      </c>
      <c r="AL988" s="14">
        <v>0.56505834235072205</v>
      </c>
      <c r="AM988" s="14">
        <v>0.55388278340485597</v>
      </c>
      <c r="AN988" s="14">
        <v>0.39591743879338198</v>
      </c>
      <c r="AO988" s="14"/>
      <c r="AP988" s="14">
        <v>0.61256522960999404</v>
      </c>
      <c r="AQ988" s="14">
        <v>0.62194292512849403</v>
      </c>
      <c r="AR988" s="14"/>
      <c r="AS988" s="14" t="s">
        <v>88</v>
      </c>
      <c r="AT988" s="14">
        <v>0.61595855411781597</v>
      </c>
      <c r="AU988" s="14">
        <v>1</v>
      </c>
      <c r="AV988" s="14"/>
      <c r="AW988" s="14">
        <v>0.60129999265018497</v>
      </c>
      <c r="AX988" s="14">
        <v>0.701315455452166</v>
      </c>
      <c r="AY988" s="14"/>
      <c r="AZ988" s="14">
        <v>0.62976890100954797</v>
      </c>
      <c r="BA988" s="14">
        <v>0.60440560438832702</v>
      </c>
    </row>
    <row r="989" spans="2:53" x14ac:dyDescent="0.35">
      <c r="B989" t="s">
        <v>155</v>
      </c>
      <c r="C989" s="14">
        <v>0.225019729879022</v>
      </c>
      <c r="D989" s="14">
        <v>0.256466913609741</v>
      </c>
      <c r="E989" s="14">
        <v>0.198931393351028</v>
      </c>
      <c r="F989" s="14"/>
      <c r="G989" s="14">
        <v>1</v>
      </c>
      <c r="H989" s="14">
        <v>0.30905463255546001</v>
      </c>
      <c r="I989" s="14">
        <v>0.198586768890615</v>
      </c>
      <c r="J989" s="14">
        <v>0.19363686712577599</v>
      </c>
      <c r="K989" s="14">
        <v>8.0135625468646401E-2</v>
      </c>
      <c r="L989" s="14">
        <v>0</v>
      </c>
      <c r="M989" s="14"/>
      <c r="N989" s="14">
        <v>0.19863896958212199</v>
      </c>
      <c r="O989" s="14">
        <v>0.25180150416930602</v>
      </c>
      <c r="P989" s="14">
        <v>0.24054479596627701</v>
      </c>
      <c r="Q989" s="14">
        <v>0.20957528816056301</v>
      </c>
      <c r="R989" s="14"/>
      <c r="S989" s="14">
        <v>0.183591817338117</v>
      </c>
      <c r="T989" s="14">
        <v>0.34655926276939503</v>
      </c>
      <c r="U989" s="14">
        <v>0.165176481415925</v>
      </c>
      <c r="V989" s="14">
        <v>0.37137610523171299</v>
      </c>
      <c r="W989" s="14">
        <v>0.25574767429435302</v>
      </c>
      <c r="X989" s="14">
        <v>0.24461664142381001</v>
      </c>
      <c r="Y989" s="14">
        <v>0.113383539068628</v>
      </c>
      <c r="Z989" s="14">
        <v>0.222793548352515</v>
      </c>
      <c r="AA989" s="14">
        <v>0.124254800199986</v>
      </c>
      <c r="AB989" s="14"/>
      <c r="AC989" s="14">
        <v>0.21547136743150699</v>
      </c>
      <c r="AD989" s="14">
        <v>0.232747786701722</v>
      </c>
      <c r="AE989" s="14">
        <v>0.18231253406841599</v>
      </c>
      <c r="AF989" s="14">
        <v>0.25564107206185499</v>
      </c>
      <c r="AG989" s="14">
        <v>9.1110381110093105E-2</v>
      </c>
      <c r="AH989" s="14"/>
      <c r="AI989" s="14">
        <v>0.20506192877413301</v>
      </c>
      <c r="AJ989" s="14">
        <v>0.20748706120199001</v>
      </c>
      <c r="AK989" s="14">
        <v>0.29493495592867103</v>
      </c>
      <c r="AL989" s="14">
        <v>0.25099510302299399</v>
      </c>
      <c r="AM989" s="14">
        <v>8.1110784635442496E-2</v>
      </c>
      <c r="AN989" s="14">
        <v>0.33567963141008</v>
      </c>
      <c r="AO989" s="14"/>
      <c r="AP989" s="14">
        <v>0.24372352813139</v>
      </c>
      <c r="AQ989" s="14">
        <v>0.20035770242141801</v>
      </c>
      <c r="AR989" s="14"/>
      <c r="AS989" s="14" t="s">
        <v>88</v>
      </c>
      <c r="AT989" s="14">
        <v>0.22540199212067799</v>
      </c>
      <c r="AU989" s="14">
        <v>0</v>
      </c>
      <c r="AV989" s="14"/>
      <c r="AW989" s="14">
        <v>0.225275561941427</v>
      </c>
      <c r="AX989" s="14">
        <v>0.20480307740199299</v>
      </c>
      <c r="AY989" s="14"/>
      <c r="AZ989" s="14">
        <v>0.244066376115148</v>
      </c>
      <c r="BA989" s="14">
        <v>0.171553649245901</v>
      </c>
    </row>
    <row r="990" spans="2:53" x14ac:dyDescent="0.35">
      <c r="B990" t="s">
        <v>116</v>
      </c>
      <c r="C990" s="14">
        <v>0.15837041499818499</v>
      </c>
      <c r="D990" s="14">
        <v>0.18925099082319999</v>
      </c>
      <c r="E990" s="14">
        <v>0.13275213193666399</v>
      </c>
      <c r="F990" s="14"/>
      <c r="G990" s="14">
        <v>0</v>
      </c>
      <c r="H990" s="14">
        <v>0.198107781884377</v>
      </c>
      <c r="I990" s="14">
        <v>0.13003309028421001</v>
      </c>
      <c r="J990" s="14">
        <v>0.175287936071228</v>
      </c>
      <c r="K990" s="14">
        <v>8.4253366146259404E-2</v>
      </c>
      <c r="L990" s="14">
        <v>0.65180798771521298</v>
      </c>
      <c r="M990" s="14"/>
      <c r="N990" s="14">
        <v>0.14923178692480099</v>
      </c>
      <c r="O990" s="14">
        <v>0.11455111394418201</v>
      </c>
      <c r="P990" s="14">
        <v>0.173812647543586</v>
      </c>
      <c r="Q990" s="14">
        <v>0.19353665044489399</v>
      </c>
      <c r="R990" s="14"/>
      <c r="S990" s="14">
        <v>0.150489769653017</v>
      </c>
      <c r="T990" s="14">
        <v>5.2727666605481303E-2</v>
      </c>
      <c r="U990" s="14">
        <v>0.11160812103921</v>
      </c>
      <c r="V990" s="14">
        <v>0.24028058914185599</v>
      </c>
      <c r="W990" s="14">
        <v>0.12769217073167899</v>
      </c>
      <c r="X990" s="14">
        <v>0.24824238044712901</v>
      </c>
      <c r="Y990" s="14">
        <v>8.0072858734679703E-2</v>
      </c>
      <c r="Z990" s="14">
        <v>9.1437439563081396E-2</v>
      </c>
      <c r="AA990" s="14">
        <v>0.28181454702508701</v>
      </c>
      <c r="AB990" s="14"/>
      <c r="AC990" s="14">
        <v>0.25279650804742598</v>
      </c>
      <c r="AD990" s="14">
        <v>0.11873652391542699</v>
      </c>
      <c r="AE990" s="14">
        <v>0.113796345333239</v>
      </c>
      <c r="AF990" s="14">
        <v>0.134835356337003</v>
      </c>
      <c r="AG990" s="14">
        <v>0.11731019154896</v>
      </c>
      <c r="AH990" s="14"/>
      <c r="AI990" s="14">
        <v>9.6101784155451397E-2</v>
      </c>
      <c r="AJ990" s="14">
        <v>0.14776287441269101</v>
      </c>
      <c r="AK990" s="14">
        <v>0.127178589665252</v>
      </c>
      <c r="AL990" s="14">
        <v>0.18394655462628401</v>
      </c>
      <c r="AM990" s="14">
        <v>0.36500643195970101</v>
      </c>
      <c r="AN990" s="14">
        <v>0.26840292979653801</v>
      </c>
      <c r="AO990" s="14"/>
      <c r="AP990" s="14">
        <v>0.14371124225861701</v>
      </c>
      <c r="AQ990" s="14">
        <v>0.17769937245008799</v>
      </c>
      <c r="AR990" s="14"/>
      <c r="AS990" s="14" t="s">
        <v>88</v>
      </c>
      <c r="AT990" s="14">
        <v>0.15863945376150501</v>
      </c>
      <c r="AU990" s="14">
        <v>0</v>
      </c>
      <c r="AV990" s="14"/>
      <c r="AW990" s="14">
        <v>0.173424445408388</v>
      </c>
      <c r="AX990" s="14">
        <v>9.3881467145840794E-2</v>
      </c>
      <c r="AY990" s="14"/>
      <c r="AZ990" s="14">
        <v>0.126164722875304</v>
      </c>
      <c r="BA990" s="14">
        <v>0.22404074636577201</v>
      </c>
    </row>
    <row r="991" spans="2:53" x14ac:dyDescent="0.35"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</row>
    <row r="992" spans="2:53" x14ac:dyDescent="0.35">
      <c r="B992" s="6" t="s">
        <v>298</v>
      </c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</row>
    <row r="993" spans="2:53" x14ac:dyDescent="0.35">
      <c r="B993" s="30" t="s">
        <v>328</v>
      </c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</row>
    <row r="994" spans="2:53" x14ac:dyDescent="0.35">
      <c r="B994" t="s">
        <v>214</v>
      </c>
      <c r="C994" s="14">
        <v>0.17907863659286899</v>
      </c>
      <c r="D994" s="14">
        <v>0.15666656489648201</v>
      </c>
      <c r="E994" s="14">
        <v>0.19449902512199299</v>
      </c>
      <c r="F994" s="14"/>
      <c r="G994" s="14" t="s">
        <v>88</v>
      </c>
      <c r="H994" s="14">
        <v>0.237312864367767</v>
      </c>
      <c r="I994" s="14">
        <v>0.202438237985724</v>
      </c>
      <c r="J994" s="14">
        <v>6.6231886571606197E-2</v>
      </c>
      <c r="K994" s="14">
        <v>0</v>
      </c>
      <c r="L994" s="14">
        <v>1</v>
      </c>
      <c r="M994" s="14"/>
      <c r="N994" s="14">
        <v>0.24386560733565699</v>
      </c>
      <c r="O994" s="14">
        <v>0.18473752337256</v>
      </c>
      <c r="P994" s="14">
        <v>8.9801388119765804E-2</v>
      </c>
      <c r="Q994" s="14">
        <v>0.175535025103327</v>
      </c>
      <c r="R994" s="14"/>
      <c r="S994" s="14">
        <v>0.30739654644749997</v>
      </c>
      <c r="T994" s="14">
        <v>0.16681458083516901</v>
      </c>
      <c r="U994" s="14">
        <v>0.218801497392977</v>
      </c>
      <c r="V994" s="14">
        <v>0.149150460517537</v>
      </c>
      <c r="W994" s="14">
        <v>0.120177583290238</v>
      </c>
      <c r="X994" s="14">
        <v>0.106262238313053</v>
      </c>
      <c r="Y994" s="14">
        <v>0.17707746290245099</v>
      </c>
      <c r="Z994" s="14">
        <v>0.20682476140923101</v>
      </c>
      <c r="AA994" s="14">
        <v>0.114840826466618</v>
      </c>
      <c r="AB994" s="14"/>
      <c r="AC994" s="14">
        <v>0.20241479773142601</v>
      </c>
      <c r="AD994" s="14">
        <v>0.10111747853443601</v>
      </c>
      <c r="AE994" s="14">
        <v>0.17325036709442099</v>
      </c>
      <c r="AF994" s="14">
        <v>0.27378570046102302</v>
      </c>
      <c r="AG994" s="14">
        <v>0.100728242007126</v>
      </c>
      <c r="AH994" s="14"/>
      <c r="AI994" s="14">
        <v>0.23244730403057301</v>
      </c>
      <c r="AJ994" s="14">
        <v>0.13823187940666301</v>
      </c>
      <c r="AK994" s="14">
        <v>0.43625371436597898</v>
      </c>
      <c r="AL994" s="14">
        <v>5.78041528298417E-2</v>
      </c>
      <c r="AM994" s="14">
        <v>2.11466000473873E-2</v>
      </c>
      <c r="AN994" s="14">
        <v>6.1281736633396297E-2</v>
      </c>
      <c r="AO994" s="14"/>
      <c r="AP994" s="14">
        <v>0.14563962171750899</v>
      </c>
      <c r="AQ994" s="14">
        <v>0.22250507895392799</v>
      </c>
      <c r="AR994" s="14"/>
      <c r="AS994" s="14" t="s">
        <v>88</v>
      </c>
      <c r="AT994" s="14">
        <v>0.17957252984388899</v>
      </c>
      <c r="AU994" s="14">
        <v>0</v>
      </c>
      <c r="AV994" s="14"/>
      <c r="AW994" s="14">
        <v>0.162598058411977</v>
      </c>
      <c r="AX994" s="14">
        <v>0.23466211771500201</v>
      </c>
      <c r="AY994" s="14"/>
      <c r="AZ994" s="14">
        <v>0.19403445898244401</v>
      </c>
      <c r="BA994" s="14">
        <v>0.12545931636657401</v>
      </c>
    </row>
    <row r="995" spans="2:53" x14ac:dyDescent="0.35">
      <c r="B995" t="s">
        <v>215</v>
      </c>
      <c r="C995" s="14">
        <v>0.55623880262749803</v>
      </c>
      <c r="D995" s="14">
        <v>0.65019948977164299</v>
      </c>
      <c r="E995" s="14">
        <v>0.49159014712370402</v>
      </c>
      <c r="F995" s="14"/>
      <c r="G995" s="14" t="s">
        <v>88</v>
      </c>
      <c r="H995" s="14">
        <v>0.45953228440400101</v>
      </c>
      <c r="I995" s="14">
        <v>0.54914549975426197</v>
      </c>
      <c r="J995" s="14">
        <v>0.62396756364336603</v>
      </c>
      <c r="K995" s="14">
        <v>0.85724970215491303</v>
      </c>
      <c r="L995" s="14">
        <v>0</v>
      </c>
      <c r="M995" s="14"/>
      <c r="N995" s="14">
        <v>0.57013733122030696</v>
      </c>
      <c r="O995" s="14">
        <v>0.48473960799273003</v>
      </c>
      <c r="P995" s="14">
        <v>0.614851899370365</v>
      </c>
      <c r="Q995" s="14">
        <v>0.58463704182096898</v>
      </c>
      <c r="R995" s="14"/>
      <c r="S995" s="14">
        <v>0.47750936906888197</v>
      </c>
      <c r="T995" s="14">
        <v>0.52980031940293504</v>
      </c>
      <c r="U995" s="14">
        <v>0.73746689720606495</v>
      </c>
      <c r="V995" s="14">
        <v>0.34350550306280497</v>
      </c>
      <c r="W995" s="14">
        <v>0.56310993810117604</v>
      </c>
      <c r="X995" s="14">
        <v>0.70686721987345102</v>
      </c>
      <c r="Y995" s="14">
        <v>0.49495452828238301</v>
      </c>
      <c r="Z995" s="14">
        <v>0.49750921827404898</v>
      </c>
      <c r="AA995" s="14">
        <v>0.585566026350964</v>
      </c>
      <c r="AB995" s="14"/>
      <c r="AC995" s="14">
        <v>0.50231239108276504</v>
      </c>
      <c r="AD995" s="14">
        <v>0.60066240100214496</v>
      </c>
      <c r="AE995" s="14">
        <v>0.54060398332980997</v>
      </c>
      <c r="AF995" s="14">
        <v>0.53996402169541202</v>
      </c>
      <c r="AG995" s="14">
        <v>0.60940389272542095</v>
      </c>
      <c r="AH995" s="14"/>
      <c r="AI995" s="14">
        <v>0.50389661556643595</v>
      </c>
      <c r="AJ995" s="14">
        <v>0.69291814180509803</v>
      </c>
      <c r="AK995" s="14">
        <v>0.20863141660946799</v>
      </c>
      <c r="AL995" s="14">
        <v>0.71695745741471895</v>
      </c>
      <c r="AM995" s="14">
        <v>0.61187975899500802</v>
      </c>
      <c r="AN995" s="14">
        <v>0.69575127088335398</v>
      </c>
      <c r="AO995" s="14"/>
      <c r="AP995" s="14">
        <v>0.57508094621163197</v>
      </c>
      <c r="AQ995" s="14">
        <v>0.53176896506305205</v>
      </c>
      <c r="AR995" s="14"/>
      <c r="AS995" s="14" t="s">
        <v>88</v>
      </c>
      <c r="AT995" s="14">
        <v>0.55777289176174505</v>
      </c>
      <c r="AU995" s="14">
        <v>0</v>
      </c>
      <c r="AV995" s="14"/>
      <c r="AW995" s="14">
        <v>0.54560303826692802</v>
      </c>
      <c r="AX995" s="14">
        <v>0.61366599819541501</v>
      </c>
      <c r="AY995" s="14"/>
      <c r="AZ995" s="14">
        <v>0.53392296781883697</v>
      </c>
      <c r="BA995" s="14">
        <v>0.63624509459555401</v>
      </c>
    </row>
    <row r="996" spans="2:53" x14ac:dyDescent="0.35">
      <c r="B996" t="s">
        <v>216</v>
      </c>
      <c r="C996" s="14">
        <v>0.167644900381762</v>
      </c>
      <c r="D996" s="14">
        <v>0.144918999683744</v>
      </c>
      <c r="E996" s="14">
        <v>0.18328121563120001</v>
      </c>
      <c r="F996" s="14"/>
      <c r="G996" s="14" t="s">
        <v>88</v>
      </c>
      <c r="H996" s="14">
        <v>0.148070912619407</v>
      </c>
      <c r="I996" s="14">
        <v>0.17801841384266601</v>
      </c>
      <c r="J996" s="14">
        <v>0.170313721791711</v>
      </c>
      <c r="K996" s="14">
        <v>0.142750297845087</v>
      </c>
      <c r="L996" s="14">
        <v>0</v>
      </c>
      <c r="M996" s="14"/>
      <c r="N996" s="14">
        <v>9.1115795954373496E-2</v>
      </c>
      <c r="O996" s="14">
        <v>0.172950776724271</v>
      </c>
      <c r="P996" s="14">
        <v>0.22520858179386</v>
      </c>
      <c r="Q996" s="14">
        <v>0.19016612956343601</v>
      </c>
      <c r="R996" s="14"/>
      <c r="S996" s="14">
        <v>0.16355595011492399</v>
      </c>
      <c r="T996" s="14">
        <v>0.16371764906696801</v>
      </c>
      <c r="U996" s="14">
        <v>0</v>
      </c>
      <c r="V996" s="14">
        <v>0.43192340106763899</v>
      </c>
      <c r="W996" s="14">
        <v>0.28808347473600998</v>
      </c>
      <c r="X996" s="14">
        <v>0.119514277143887</v>
      </c>
      <c r="Y996" s="14">
        <v>0.16903670316122801</v>
      </c>
      <c r="Z996" s="14">
        <v>0.22118219710470099</v>
      </c>
      <c r="AA996" s="14">
        <v>0.13678626806871499</v>
      </c>
      <c r="AB996" s="14"/>
      <c r="AC996" s="14">
        <v>0.26892725202061102</v>
      </c>
      <c r="AD996" s="14">
        <v>0.19174301261815899</v>
      </c>
      <c r="AE996" s="14">
        <v>0.16347179797077399</v>
      </c>
      <c r="AF996" s="14">
        <v>0.11308791394347099</v>
      </c>
      <c r="AG996" s="14">
        <v>0</v>
      </c>
      <c r="AH996" s="14"/>
      <c r="AI996" s="14">
        <v>0.17129466992265899</v>
      </c>
      <c r="AJ996" s="14">
        <v>0.10293832817205099</v>
      </c>
      <c r="AK996" s="14">
        <v>0.22448623249775501</v>
      </c>
      <c r="AL996" s="14">
        <v>0.10327866896761401</v>
      </c>
      <c r="AM996" s="14">
        <v>0.23466838950623101</v>
      </c>
      <c r="AN996" s="14">
        <v>0.15933763879725599</v>
      </c>
      <c r="AO996" s="14"/>
      <c r="AP996" s="14">
        <v>0.16570621372045199</v>
      </c>
      <c r="AQ996" s="14">
        <v>0.17016262600458101</v>
      </c>
      <c r="AR996" s="14"/>
      <c r="AS996" s="14" t="s">
        <v>88</v>
      </c>
      <c r="AT996" s="14">
        <v>0.16810725974769</v>
      </c>
      <c r="AU996" s="14">
        <v>0</v>
      </c>
      <c r="AV996" s="14"/>
      <c r="AW996" s="14">
        <v>0.18678230313024699</v>
      </c>
      <c r="AX996" s="14">
        <v>0.101922781685845</v>
      </c>
      <c r="AY996" s="14"/>
      <c r="AZ996" s="14">
        <v>0.172560295347122</v>
      </c>
      <c r="BA996" s="14">
        <v>0.15002232304558699</v>
      </c>
    </row>
    <row r="997" spans="2:53" x14ac:dyDescent="0.35">
      <c r="B997" t="s">
        <v>217</v>
      </c>
      <c r="C997" s="14">
        <v>1.8872963600222802E-2</v>
      </c>
      <c r="D997" s="14">
        <v>1.0991540443515401E-2</v>
      </c>
      <c r="E997" s="14">
        <v>2.4295693318620401E-2</v>
      </c>
      <c r="F997" s="14"/>
      <c r="G997" s="14" t="s">
        <v>88</v>
      </c>
      <c r="H997" s="14">
        <v>6.9093032601630203E-2</v>
      </c>
      <c r="I997" s="14">
        <v>0</v>
      </c>
      <c r="J997" s="14">
        <v>2.3366531519404599E-2</v>
      </c>
      <c r="K997" s="14">
        <v>0</v>
      </c>
      <c r="L997" s="14">
        <v>0</v>
      </c>
      <c r="M997" s="14"/>
      <c r="N997" s="14">
        <v>1.8770188508263601E-2</v>
      </c>
      <c r="O997" s="14">
        <v>3.3335667226585902E-2</v>
      </c>
      <c r="P997" s="14">
        <v>0</v>
      </c>
      <c r="Q997" s="14">
        <v>1.5409704130128101E-2</v>
      </c>
      <c r="R997" s="14"/>
      <c r="S997" s="14">
        <v>2.19222698544498E-2</v>
      </c>
      <c r="T997" s="14">
        <v>4.9892665209689498E-2</v>
      </c>
      <c r="U997" s="14">
        <v>0</v>
      </c>
      <c r="V997" s="14">
        <v>0</v>
      </c>
      <c r="W997" s="14">
        <v>0</v>
      </c>
      <c r="X997" s="14">
        <v>2.7881860354935398E-2</v>
      </c>
      <c r="Y997" s="14">
        <v>3.1717239228151499E-2</v>
      </c>
      <c r="Z997" s="14">
        <v>0</v>
      </c>
      <c r="AA997" s="14">
        <v>0</v>
      </c>
      <c r="AB997" s="14"/>
      <c r="AC997" s="14">
        <v>0</v>
      </c>
      <c r="AD997" s="14">
        <v>1.5547728219575599E-2</v>
      </c>
      <c r="AE997" s="14">
        <v>2.41931878870736E-2</v>
      </c>
      <c r="AF997" s="14">
        <v>0</v>
      </c>
      <c r="AG997" s="14">
        <v>0.28986786526745301</v>
      </c>
      <c r="AH997" s="14"/>
      <c r="AI997" s="14">
        <v>1.86907871434835E-2</v>
      </c>
      <c r="AJ997" s="14">
        <v>0</v>
      </c>
      <c r="AK997" s="14">
        <v>0</v>
      </c>
      <c r="AL997" s="14">
        <v>8.9911110614914996E-2</v>
      </c>
      <c r="AM997" s="14">
        <v>0</v>
      </c>
      <c r="AN997" s="14">
        <v>0</v>
      </c>
      <c r="AO997" s="14"/>
      <c r="AP997" s="14">
        <v>2.8273514517721001E-2</v>
      </c>
      <c r="AQ997" s="14">
        <v>6.6646947830171603E-3</v>
      </c>
      <c r="AR997" s="14"/>
      <c r="AS997" s="14" t="s">
        <v>88</v>
      </c>
      <c r="AT997" s="14">
        <v>1.8925014640627399E-2</v>
      </c>
      <c r="AU997" s="14">
        <v>0</v>
      </c>
      <c r="AV997" s="14"/>
      <c r="AW997" s="14">
        <v>1.4210304436163499E-2</v>
      </c>
      <c r="AX997" s="14">
        <v>2.11612869047479E-2</v>
      </c>
      <c r="AY997" s="14"/>
      <c r="AZ997" s="14">
        <v>2.4137123801780701E-2</v>
      </c>
      <c r="BA997" s="14">
        <v>0</v>
      </c>
    </row>
    <row r="998" spans="2:53" x14ac:dyDescent="0.35">
      <c r="B998" t="s">
        <v>116</v>
      </c>
      <c r="C998" s="14">
        <v>4.6432511256467399E-2</v>
      </c>
      <c r="D998" s="14">
        <v>2.3760745660358702E-2</v>
      </c>
      <c r="E998" s="14">
        <v>6.2031579422466301E-2</v>
      </c>
      <c r="F998" s="14"/>
      <c r="G998" s="14" t="s">
        <v>88</v>
      </c>
      <c r="H998" s="14">
        <v>4.0838218812667297E-2</v>
      </c>
      <c r="I998" s="14">
        <v>3.8071537443114499E-2</v>
      </c>
      <c r="J998" s="14">
        <v>9.2338180092487995E-2</v>
      </c>
      <c r="K998" s="14">
        <v>0</v>
      </c>
      <c r="L998" s="14">
        <v>0</v>
      </c>
      <c r="M998" s="14"/>
      <c r="N998" s="14">
        <v>2.88827174360387E-2</v>
      </c>
      <c r="O998" s="14">
        <v>0.10018039793860201</v>
      </c>
      <c r="P998" s="14">
        <v>2.3766559140857801E-2</v>
      </c>
      <c r="Q998" s="14">
        <v>1.7126049691069799E-2</v>
      </c>
      <c r="R998" s="14"/>
      <c r="S998" s="14">
        <v>0</v>
      </c>
      <c r="T998" s="14">
        <v>4.4887392621952703E-2</v>
      </c>
      <c r="U998" s="14">
        <v>4.37316054009576E-2</v>
      </c>
      <c r="V998" s="14">
        <v>7.5420635352018095E-2</v>
      </c>
      <c r="W998" s="14">
        <v>2.86290038725753E-2</v>
      </c>
      <c r="X998" s="14">
        <v>0</v>
      </c>
      <c r="Y998" s="14">
        <v>7.7883753786393298E-2</v>
      </c>
      <c r="Z998" s="14">
        <v>7.4483823212018505E-2</v>
      </c>
      <c r="AA998" s="14">
        <v>0.10080214163046999</v>
      </c>
      <c r="AB998" s="14"/>
      <c r="AC998" s="14">
        <v>0</v>
      </c>
      <c r="AD998" s="14">
        <v>5.2609815633744901E-2</v>
      </c>
      <c r="AE998" s="14">
        <v>7.1290120307104202E-2</v>
      </c>
      <c r="AF998" s="14">
        <v>3.9020278023381601E-2</v>
      </c>
      <c r="AG998" s="14">
        <v>0</v>
      </c>
      <c r="AH998" s="14"/>
      <c r="AI998" s="14">
        <v>3.8327453339915898E-2</v>
      </c>
      <c r="AJ998" s="14">
        <v>6.1505672899166898E-2</v>
      </c>
      <c r="AK998" s="14">
        <v>0.11010235478425801</v>
      </c>
      <c r="AL998" s="14">
        <v>3.20486101729099E-2</v>
      </c>
      <c r="AM998" s="14">
        <v>0</v>
      </c>
      <c r="AN998" s="14">
        <v>0</v>
      </c>
      <c r="AO998" s="14"/>
      <c r="AP998" s="14">
        <v>4.5184549546146001E-2</v>
      </c>
      <c r="AQ998" s="14">
        <v>4.8053209039702997E-2</v>
      </c>
      <c r="AR998" s="14"/>
      <c r="AS998" s="14" t="s">
        <v>88</v>
      </c>
      <c r="AT998" s="14">
        <v>4.3802602094534702E-2</v>
      </c>
      <c r="AU998" s="14">
        <v>1</v>
      </c>
      <c r="AV998" s="14"/>
      <c r="AW998" s="14">
        <v>5.6212605931205098E-2</v>
      </c>
      <c r="AX998" s="14">
        <v>0</v>
      </c>
      <c r="AY998" s="14"/>
      <c r="AZ998" s="14">
        <v>4.4966512241227399E-2</v>
      </c>
      <c r="BA998" s="14">
        <v>5.1688382087374002E-2</v>
      </c>
    </row>
    <row r="999" spans="2:53" x14ac:dyDescent="0.35"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</row>
    <row r="1000" spans="2:53" x14ac:dyDescent="0.35">
      <c r="B1000" s="6" t="s">
        <v>299</v>
      </c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</row>
    <row r="1001" spans="2:53" x14ac:dyDescent="0.35">
      <c r="B1001" s="30" t="s">
        <v>328</v>
      </c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</row>
    <row r="1002" spans="2:53" x14ac:dyDescent="0.35">
      <c r="B1002" t="s">
        <v>220</v>
      </c>
      <c r="C1002" s="14">
        <v>0.228420912357503</v>
      </c>
      <c r="D1002" s="14">
        <v>0.24000139221530201</v>
      </c>
      <c r="E1002" s="14">
        <v>0.22045308585845999</v>
      </c>
      <c r="F1002" s="14"/>
      <c r="G1002" s="14" t="s">
        <v>88</v>
      </c>
      <c r="H1002" s="14">
        <v>0.23128632210910299</v>
      </c>
      <c r="I1002" s="14">
        <v>0.26996202861985902</v>
      </c>
      <c r="J1002" s="14">
        <v>0.11973217422002801</v>
      </c>
      <c r="K1002" s="14">
        <v>0.17411249675718499</v>
      </c>
      <c r="L1002" s="14">
        <v>0</v>
      </c>
      <c r="M1002" s="14"/>
      <c r="N1002" s="14">
        <v>0.28467930962249299</v>
      </c>
      <c r="O1002" s="14">
        <v>0.27810734387532499</v>
      </c>
      <c r="P1002" s="14">
        <v>0.16507595137508799</v>
      </c>
      <c r="Q1002" s="14">
        <v>0.16643367152610999</v>
      </c>
      <c r="R1002" s="14"/>
      <c r="S1002" s="14">
        <v>0.143498914880478</v>
      </c>
      <c r="T1002" s="14">
        <v>0.29185098949232802</v>
      </c>
      <c r="U1002" s="14">
        <v>0.25150057831707801</v>
      </c>
      <c r="V1002" s="14">
        <v>0.341756664836324</v>
      </c>
      <c r="W1002" s="14">
        <v>0.286979666300194</v>
      </c>
      <c r="X1002" s="14">
        <v>0.186783141791945</v>
      </c>
      <c r="Y1002" s="14">
        <v>0.166916493003468</v>
      </c>
      <c r="Z1002" s="14">
        <v>0</v>
      </c>
      <c r="AA1002" s="14">
        <v>0.31157813154867697</v>
      </c>
      <c r="AB1002" s="14"/>
      <c r="AC1002" s="14">
        <v>0.12737805214700801</v>
      </c>
      <c r="AD1002" s="14">
        <v>0.21372687861970399</v>
      </c>
      <c r="AE1002" s="14">
        <v>0.24470116566550501</v>
      </c>
      <c r="AF1002" s="14">
        <v>0.24960763220611701</v>
      </c>
      <c r="AG1002" s="14">
        <v>0.63212291014066702</v>
      </c>
      <c r="AH1002" s="14"/>
      <c r="AI1002" s="14">
        <v>0.25908835650184497</v>
      </c>
      <c r="AJ1002" s="14">
        <v>0.19849467943847601</v>
      </c>
      <c r="AK1002" s="14">
        <v>0.35476057767008601</v>
      </c>
      <c r="AL1002" s="14">
        <v>0.14015376189182799</v>
      </c>
      <c r="AM1002" s="14">
        <v>0.19512694887099299</v>
      </c>
      <c r="AN1002" s="14">
        <v>0.33028106815358799</v>
      </c>
      <c r="AO1002" s="14"/>
      <c r="AP1002" s="14">
        <v>0.223173457740692</v>
      </c>
      <c r="AQ1002" s="14">
        <v>0.235235655145489</v>
      </c>
      <c r="AR1002" s="14"/>
      <c r="AS1002" s="14" t="s">
        <v>88</v>
      </c>
      <c r="AT1002" s="14">
        <v>0.229050890054181</v>
      </c>
      <c r="AU1002" s="14">
        <v>0</v>
      </c>
      <c r="AV1002" s="14"/>
      <c r="AW1002" s="14">
        <v>0.21753508483221801</v>
      </c>
      <c r="AX1002" s="14">
        <v>0.27112526662221897</v>
      </c>
      <c r="AY1002" s="14"/>
      <c r="AZ1002" s="14">
        <v>0.24642721737551701</v>
      </c>
      <c r="BA1002" s="14">
        <v>0.163865061819572</v>
      </c>
    </row>
    <row r="1003" spans="2:53" x14ac:dyDescent="0.35">
      <c r="B1003" t="s">
        <v>221</v>
      </c>
      <c r="C1003" s="14">
        <v>0.529127257710025</v>
      </c>
      <c r="D1003" s="14">
        <v>0.60195589833078</v>
      </c>
      <c r="E1003" s="14">
        <v>0.47901828297383697</v>
      </c>
      <c r="F1003" s="14"/>
      <c r="G1003" s="14" t="s">
        <v>88</v>
      </c>
      <c r="H1003" s="14">
        <v>0.45522337419280801</v>
      </c>
      <c r="I1003" s="14">
        <v>0.50674268607631601</v>
      </c>
      <c r="J1003" s="14">
        <v>0.59723417630151499</v>
      </c>
      <c r="K1003" s="14">
        <v>0.79815629689173495</v>
      </c>
      <c r="L1003" s="14">
        <v>1</v>
      </c>
      <c r="M1003" s="14"/>
      <c r="N1003" s="14">
        <v>0.51633853322877099</v>
      </c>
      <c r="O1003" s="14">
        <v>0.48564001758008701</v>
      </c>
      <c r="P1003" s="14">
        <v>0.49928133521395301</v>
      </c>
      <c r="Q1003" s="14">
        <v>0.60804590280929904</v>
      </c>
      <c r="R1003" s="14"/>
      <c r="S1003" s="14">
        <v>0.67726424693001297</v>
      </c>
      <c r="T1003" s="14">
        <v>0.37264211733401797</v>
      </c>
      <c r="U1003" s="14">
        <v>0.57490537916620799</v>
      </c>
      <c r="V1003" s="14">
        <v>0.266218923844938</v>
      </c>
      <c r="W1003" s="14">
        <v>0.48566811896628198</v>
      </c>
      <c r="X1003" s="14">
        <v>0.55285938506593102</v>
      </c>
      <c r="Y1003" s="14">
        <v>0.54268423953586298</v>
      </c>
      <c r="Z1003" s="14">
        <v>1</v>
      </c>
      <c r="AA1003" s="14">
        <v>0.46127292153239202</v>
      </c>
      <c r="AB1003" s="14"/>
      <c r="AC1003" s="14">
        <v>0.60497517697324799</v>
      </c>
      <c r="AD1003" s="14">
        <v>0.51455961903214498</v>
      </c>
      <c r="AE1003" s="14">
        <v>0.46745554330608302</v>
      </c>
      <c r="AF1003" s="14">
        <v>0.59674897988407405</v>
      </c>
      <c r="AG1003" s="14">
        <v>7.8009224591880102E-2</v>
      </c>
      <c r="AH1003" s="14"/>
      <c r="AI1003" s="14">
        <v>0.53596452451964605</v>
      </c>
      <c r="AJ1003" s="14">
        <v>0.65083849453305498</v>
      </c>
      <c r="AK1003" s="14">
        <v>0.34400987688610302</v>
      </c>
      <c r="AL1003" s="14">
        <v>0.55299235466650398</v>
      </c>
      <c r="AM1003" s="14">
        <v>0.50195099534954302</v>
      </c>
      <c r="AN1003" s="14">
        <v>0.32585194420531699</v>
      </c>
      <c r="AO1003" s="14"/>
      <c r="AP1003" s="14">
        <v>0.52328264984650796</v>
      </c>
      <c r="AQ1003" s="14">
        <v>0.53671750902137805</v>
      </c>
      <c r="AR1003" s="14"/>
      <c r="AS1003" s="14" t="s">
        <v>88</v>
      </c>
      <c r="AT1003" s="14">
        <v>0.53058657405554499</v>
      </c>
      <c r="AU1003" s="14">
        <v>0</v>
      </c>
      <c r="AV1003" s="14"/>
      <c r="AW1003" s="14">
        <v>0.53366447501469005</v>
      </c>
      <c r="AX1003" s="14">
        <v>0.50602709088283404</v>
      </c>
      <c r="AY1003" s="14"/>
      <c r="AZ1003" s="14">
        <v>0.52864989183355005</v>
      </c>
      <c r="BA1003" s="14">
        <v>0.53083870045981996</v>
      </c>
    </row>
    <row r="1004" spans="2:53" x14ac:dyDescent="0.35">
      <c r="B1004" t="s">
        <v>222</v>
      </c>
      <c r="C1004" s="14">
        <v>0.15316274917817499</v>
      </c>
      <c r="D1004" s="14">
        <v>0.123423027968302</v>
      </c>
      <c r="E1004" s="14">
        <v>0.17362484933636599</v>
      </c>
      <c r="F1004" s="14"/>
      <c r="G1004" s="14" t="s">
        <v>88</v>
      </c>
      <c r="H1004" s="14">
        <v>0.15318292223916199</v>
      </c>
      <c r="I1004" s="14">
        <v>0.15632175383444699</v>
      </c>
      <c r="J1004" s="14">
        <v>0.18191958193056501</v>
      </c>
      <c r="K1004" s="14">
        <v>2.7731206351080499E-2</v>
      </c>
      <c r="L1004" s="14">
        <v>0</v>
      </c>
      <c r="M1004" s="14"/>
      <c r="N1004" s="14">
        <v>9.3091960179845903E-2</v>
      </c>
      <c r="O1004" s="14">
        <v>0.17022305338291599</v>
      </c>
      <c r="P1004" s="14">
        <v>0.23074480038520601</v>
      </c>
      <c r="Q1004" s="14">
        <v>0.13518851115772301</v>
      </c>
      <c r="R1004" s="14"/>
      <c r="S1004" s="14">
        <v>0.149620973675265</v>
      </c>
      <c r="T1004" s="14">
        <v>0.18029682892757101</v>
      </c>
      <c r="U1004" s="14">
        <v>0.111680008570386</v>
      </c>
      <c r="V1004" s="14">
        <v>0.31660377596672001</v>
      </c>
      <c r="W1004" s="14">
        <v>0.14546291939676401</v>
      </c>
      <c r="X1004" s="14">
        <v>0.144271462634809</v>
      </c>
      <c r="Y1004" s="14">
        <v>0.17131813324936801</v>
      </c>
      <c r="Z1004" s="14">
        <v>0</v>
      </c>
      <c r="AA1004" s="14">
        <v>0.13613452714423399</v>
      </c>
      <c r="AB1004" s="14"/>
      <c r="AC1004" s="14">
        <v>0.22570954332913901</v>
      </c>
      <c r="AD1004" s="14">
        <v>0.10771323353886</v>
      </c>
      <c r="AE1004" s="14">
        <v>0.212272069424746</v>
      </c>
      <c r="AF1004" s="14">
        <v>8.6142815921558702E-2</v>
      </c>
      <c r="AG1004" s="14">
        <v>0</v>
      </c>
      <c r="AH1004" s="14"/>
      <c r="AI1004" s="14">
        <v>0.14918067776494701</v>
      </c>
      <c r="AJ1004" s="14">
        <v>3.1487747934921803E-2</v>
      </c>
      <c r="AK1004" s="14">
        <v>0.15176361221267401</v>
      </c>
      <c r="AL1004" s="14">
        <v>0.192418644160186</v>
      </c>
      <c r="AM1004" s="14">
        <v>0.21785332933816501</v>
      </c>
      <c r="AN1004" s="14">
        <v>0.27427404879968498</v>
      </c>
      <c r="AO1004" s="14"/>
      <c r="AP1004" s="14">
        <v>0.168097977279758</v>
      </c>
      <c r="AQ1004" s="14">
        <v>0.133766728550168</v>
      </c>
      <c r="AR1004" s="14"/>
      <c r="AS1004" s="14" t="s">
        <v>88</v>
      </c>
      <c r="AT1004" s="14">
        <v>0.15358516722627899</v>
      </c>
      <c r="AU1004" s="14">
        <v>0</v>
      </c>
      <c r="AV1004" s="14"/>
      <c r="AW1004" s="14">
        <v>0.151925181935053</v>
      </c>
      <c r="AX1004" s="14">
        <v>0.18148087467503299</v>
      </c>
      <c r="AY1004" s="14"/>
      <c r="AZ1004" s="14">
        <v>0.12093323934797399</v>
      </c>
      <c r="BA1004" s="14">
        <v>0.268711353815698</v>
      </c>
    </row>
    <row r="1005" spans="2:53" x14ac:dyDescent="0.35">
      <c r="B1005" t="s">
        <v>223</v>
      </c>
      <c r="C1005" s="14">
        <v>2.9851515740442501E-2</v>
      </c>
      <c r="D1005" s="14">
        <v>1.0991540443515401E-2</v>
      </c>
      <c r="E1005" s="14">
        <v>4.2827921967768599E-2</v>
      </c>
      <c r="F1005" s="14"/>
      <c r="G1005" s="14" t="s">
        <v>88</v>
      </c>
      <c r="H1005" s="14">
        <v>7.3398965055007995E-2</v>
      </c>
      <c r="I1005" s="14">
        <v>2.0654641094472601E-2</v>
      </c>
      <c r="J1005" s="14">
        <v>1.5976994519184801E-2</v>
      </c>
      <c r="K1005" s="14">
        <v>0</v>
      </c>
      <c r="L1005" s="14">
        <v>0</v>
      </c>
      <c r="M1005" s="14"/>
      <c r="N1005" s="14">
        <v>1.8770188508263601E-2</v>
      </c>
      <c r="O1005" s="14">
        <v>2.9049302492744199E-2</v>
      </c>
      <c r="P1005" s="14">
        <v>3.4759782309743602E-2</v>
      </c>
      <c r="Q1005" s="14">
        <v>3.71121761008869E-2</v>
      </c>
      <c r="R1005" s="14"/>
      <c r="S1005" s="14">
        <v>0</v>
      </c>
      <c r="T1005" s="14">
        <v>5.8668903769995402E-2</v>
      </c>
      <c r="U1005" s="14">
        <v>6.1914033946328197E-2</v>
      </c>
      <c r="V1005" s="14">
        <v>0</v>
      </c>
      <c r="W1005" s="14">
        <v>5.3260291464184602E-2</v>
      </c>
      <c r="X1005" s="14">
        <v>5.5763719649490902E-2</v>
      </c>
      <c r="Y1005" s="14">
        <v>2.2801204196545299E-2</v>
      </c>
      <c r="Z1005" s="14">
        <v>0</v>
      </c>
      <c r="AA1005" s="14">
        <v>0</v>
      </c>
      <c r="AB1005" s="14"/>
      <c r="AC1005" s="14">
        <v>0</v>
      </c>
      <c r="AD1005" s="14">
        <v>6.1445507590576799E-2</v>
      </c>
      <c r="AE1005" s="14">
        <v>3.7398889456485701E-2</v>
      </c>
      <c r="AF1005" s="14">
        <v>0</v>
      </c>
      <c r="AG1005" s="14">
        <v>0</v>
      </c>
      <c r="AH1005" s="14"/>
      <c r="AI1005" s="14">
        <v>0</v>
      </c>
      <c r="AJ1005" s="14">
        <v>6.1285618750855302E-2</v>
      </c>
      <c r="AK1005" s="14">
        <v>0</v>
      </c>
      <c r="AL1005" s="14">
        <v>6.0084936491993597E-2</v>
      </c>
      <c r="AM1005" s="14">
        <v>0</v>
      </c>
      <c r="AN1005" s="14">
        <v>6.9592938841409602E-2</v>
      </c>
      <c r="AO1005" s="14"/>
      <c r="AP1005" s="14">
        <v>7.9298734623635594E-3</v>
      </c>
      <c r="AQ1005" s="14">
        <v>5.8320624008049597E-2</v>
      </c>
      <c r="AR1005" s="14"/>
      <c r="AS1005" s="14" t="s">
        <v>88</v>
      </c>
      <c r="AT1005" s="14">
        <v>2.9933845282577799E-2</v>
      </c>
      <c r="AU1005" s="14">
        <v>0</v>
      </c>
      <c r="AV1005" s="14"/>
      <c r="AW1005" s="14">
        <v>3.8414600238672998E-2</v>
      </c>
      <c r="AX1005" s="14">
        <v>0</v>
      </c>
      <c r="AY1005" s="14"/>
      <c r="AZ1005" s="14">
        <v>3.8177879550902002E-2</v>
      </c>
      <c r="BA1005" s="14">
        <v>0</v>
      </c>
    </row>
    <row r="1006" spans="2:53" x14ac:dyDescent="0.35">
      <c r="B1006" t="s">
        <v>116</v>
      </c>
      <c r="C1006" s="14">
        <v>1.4654106931988001E-2</v>
      </c>
      <c r="D1006" s="14">
        <v>0</v>
      </c>
      <c r="E1006" s="14">
        <v>2.47367099817987E-2</v>
      </c>
      <c r="F1006" s="14"/>
      <c r="G1006" s="14" t="s">
        <v>88</v>
      </c>
      <c r="H1006" s="14">
        <v>3.1519142880653599E-2</v>
      </c>
      <c r="I1006" s="14">
        <v>1.44466696269318E-2</v>
      </c>
      <c r="J1006" s="14">
        <v>0</v>
      </c>
      <c r="K1006" s="14">
        <v>0</v>
      </c>
      <c r="L1006" s="14">
        <v>0</v>
      </c>
      <c r="M1006" s="14"/>
      <c r="N1006" s="14">
        <v>1.1475648972657401E-2</v>
      </c>
      <c r="O1006" s="14">
        <v>2.49522692963027E-2</v>
      </c>
      <c r="P1006" s="14">
        <v>2.3766559140857801E-2</v>
      </c>
      <c r="Q1006" s="14">
        <v>0</v>
      </c>
      <c r="R1006" s="14"/>
      <c r="S1006" s="14">
        <v>0</v>
      </c>
      <c r="T1006" s="14">
        <v>3.92253463862548E-2</v>
      </c>
      <c r="U1006" s="14">
        <v>0</v>
      </c>
      <c r="V1006" s="14">
        <v>7.5420635352018095E-2</v>
      </c>
      <c r="W1006" s="14">
        <v>0</v>
      </c>
      <c r="X1006" s="14">
        <v>0</v>
      </c>
      <c r="Y1006" s="14">
        <v>3.2281345393302602E-2</v>
      </c>
      <c r="Z1006" s="14">
        <v>0</v>
      </c>
      <c r="AA1006" s="14">
        <v>0</v>
      </c>
      <c r="AB1006" s="14"/>
      <c r="AC1006" s="14">
        <v>0</v>
      </c>
      <c r="AD1006" s="14">
        <v>4.6649159998492999E-2</v>
      </c>
      <c r="AE1006" s="14">
        <v>1.0981788736363201E-2</v>
      </c>
      <c r="AF1006" s="14">
        <v>0</v>
      </c>
      <c r="AG1006" s="14">
        <v>0</v>
      </c>
      <c r="AH1006" s="14"/>
      <c r="AI1006" s="14">
        <v>1.0301644577059701E-2</v>
      </c>
      <c r="AJ1006" s="14">
        <v>1.96434706734715E-2</v>
      </c>
      <c r="AK1006" s="14">
        <v>0</v>
      </c>
      <c r="AL1006" s="14">
        <v>5.4350302789488603E-2</v>
      </c>
      <c r="AM1006" s="14">
        <v>0</v>
      </c>
      <c r="AN1006" s="14">
        <v>0</v>
      </c>
      <c r="AO1006" s="14"/>
      <c r="AP1006" s="14">
        <v>1.89709829461636E-2</v>
      </c>
      <c r="AQ1006" s="14">
        <v>9.0478841378000101E-3</v>
      </c>
      <c r="AR1006" s="14"/>
      <c r="AS1006" s="14" t="s">
        <v>88</v>
      </c>
      <c r="AT1006" s="14">
        <v>1.4694522498306399E-2</v>
      </c>
      <c r="AU1006" s="14">
        <v>0</v>
      </c>
      <c r="AV1006" s="14"/>
      <c r="AW1006" s="14">
        <v>1.8857724496864701E-2</v>
      </c>
      <c r="AX1006" s="14">
        <v>0</v>
      </c>
      <c r="AY1006" s="14"/>
      <c r="AZ1006" s="14">
        <v>1.40565888392004E-2</v>
      </c>
      <c r="BA1006" s="14">
        <v>1.6796317044119002E-2</v>
      </c>
    </row>
    <row r="1007" spans="2:53" x14ac:dyDescent="0.35">
      <c r="B1007" t="s">
        <v>224</v>
      </c>
      <c r="C1007" s="14">
        <v>0.75754817006752795</v>
      </c>
      <c r="D1007" s="14">
        <v>0.84195729054608104</v>
      </c>
      <c r="E1007" s="14">
        <v>0.69947136883229699</v>
      </c>
      <c r="F1007" s="14"/>
      <c r="G1007" s="14" t="s">
        <v>88</v>
      </c>
      <c r="H1007" s="14">
        <v>0.68650969630191105</v>
      </c>
      <c r="I1007" s="14">
        <v>0.77670471469617497</v>
      </c>
      <c r="J1007" s="14">
        <v>0.71696635052154301</v>
      </c>
      <c r="K1007" s="14">
        <v>0.97226879364891905</v>
      </c>
      <c r="L1007" s="14">
        <v>1</v>
      </c>
      <c r="M1007" s="14"/>
      <c r="N1007" s="14">
        <v>0.80101784285126498</v>
      </c>
      <c r="O1007" s="14">
        <v>0.763747361455412</v>
      </c>
      <c r="P1007" s="14">
        <v>0.66435728658904103</v>
      </c>
      <c r="Q1007" s="14">
        <v>0.77447957433540904</v>
      </c>
      <c r="R1007" s="14"/>
      <c r="S1007" s="14">
        <v>0.82076316181049103</v>
      </c>
      <c r="T1007" s="14">
        <v>0.66449310682634599</v>
      </c>
      <c r="U1007" s="14">
        <v>0.82640595748328605</v>
      </c>
      <c r="V1007" s="14">
        <v>0.607975588681262</v>
      </c>
      <c r="W1007" s="14">
        <v>0.77264778526647504</v>
      </c>
      <c r="X1007" s="14">
        <v>0.73964252685787601</v>
      </c>
      <c r="Y1007" s="14">
        <v>0.70960073253932998</v>
      </c>
      <c r="Z1007" s="14">
        <v>1</v>
      </c>
      <c r="AA1007" s="14">
        <v>0.77285105308106805</v>
      </c>
      <c r="AB1007" s="14"/>
      <c r="AC1007" s="14">
        <v>0.73235322912025602</v>
      </c>
      <c r="AD1007" s="14">
        <v>0.72828649765184905</v>
      </c>
      <c r="AE1007" s="14">
        <v>0.712156708971588</v>
      </c>
      <c r="AF1007" s="14">
        <v>0.84635661209019197</v>
      </c>
      <c r="AG1007" s="14">
        <v>0.71013213473254699</v>
      </c>
      <c r="AH1007" s="14"/>
      <c r="AI1007" s="14">
        <v>0.79505288102149096</v>
      </c>
      <c r="AJ1007" s="14">
        <v>0.84933317397152996</v>
      </c>
      <c r="AK1007" s="14">
        <v>0.69877045455618902</v>
      </c>
      <c r="AL1007" s="14">
        <v>0.69314611655833203</v>
      </c>
      <c r="AM1007" s="14">
        <v>0.69707794422053704</v>
      </c>
      <c r="AN1007" s="14">
        <v>0.65613301235890498</v>
      </c>
      <c r="AO1007" s="14"/>
      <c r="AP1007" s="14">
        <v>0.74645610758719905</v>
      </c>
      <c r="AQ1007" s="14">
        <v>0.77195316416686799</v>
      </c>
      <c r="AR1007" s="14"/>
      <c r="AS1007" s="14" t="s">
        <v>88</v>
      </c>
      <c r="AT1007" s="14">
        <v>0.75963746410972699</v>
      </c>
      <c r="AU1007" s="14">
        <v>0</v>
      </c>
      <c r="AV1007" s="14"/>
      <c r="AW1007" s="14">
        <v>0.751199559846908</v>
      </c>
      <c r="AX1007" s="14">
        <v>0.77715235750505196</v>
      </c>
      <c r="AY1007" s="14"/>
      <c r="AZ1007" s="14">
        <v>0.77507710920906703</v>
      </c>
      <c r="BA1007" s="14">
        <v>0.69470376227939101</v>
      </c>
    </row>
    <row r="1008" spans="2:53" x14ac:dyDescent="0.35"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</row>
    <row r="1009" spans="2:53" x14ac:dyDescent="0.35">
      <c r="B1009" s="6" t="s">
        <v>300</v>
      </c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</row>
    <row r="1010" spans="2:53" x14ac:dyDescent="0.35">
      <c r="B1010" s="30" t="s">
        <v>328</v>
      </c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</row>
    <row r="1011" spans="2:53" x14ac:dyDescent="0.35">
      <c r="B1011" t="s">
        <v>226</v>
      </c>
      <c r="C1011" s="14">
        <v>0.19666336356816699</v>
      </c>
      <c r="D1011" s="14">
        <v>0.24379660463202801</v>
      </c>
      <c r="E1011" s="14">
        <v>0.164233836316622</v>
      </c>
      <c r="F1011" s="14"/>
      <c r="G1011" s="14" t="s">
        <v>88</v>
      </c>
      <c r="H1011" s="14">
        <v>0.17288610437763499</v>
      </c>
      <c r="I1011" s="14">
        <v>0.248718757470104</v>
      </c>
      <c r="J1011" s="14">
        <v>3.86401957441663E-2</v>
      </c>
      <c r="K1011" s="14">
        <v>0.31686279460227101</v>
      </c>
      <c r="L1011" s="14">
        <v>0</v>
      </c>
      <c r="M1011" s="14"/>
      <c r="N1011" s="14">
        <v>0.27330711153457199</v>
      </c>
      <c r="O1011" s="14">
        <v>0.18266900762221799</v>
      </c>
      <c r="P1011" s="14">
        <v>0.16564923569760001</v>
      </c>
      <c r="Q1011" s="14">
        <v>0.166138523289736</v>
      </c>
      <c r="R1011" s="14"/>
      <c r="S1011" s="14">
        <v>0.15989068380326099</v>
      </c>
      <c r="T1011" s="14">
        <v>0.117900672956671</v>
      </c>
      <c r="U1011" s="14">
        <v>4.2708013734842003E-2</v>
      </c>
      <c r="V1011" s="14">
        <v>0.13188880980195</v>
      </c>
      <c r="W1011" s="14">
        <v>0.34023995859343298</v>
      </c>
      <c r="X1011" s="14">
        <v>0.241190957741758</v>
      </c>
      <c r="Y1011" s="14">
        <v>0.27734826647428001</v>
      </c>
      <c r="Z1011" s="14">
        <v>0.20682476140923101</v>
      </c>
      <c r="AA1011" s="14">
        <v>0.254863263731261</v>
      </c>
      <c r="AB1011" s="14"/>
      <c r="AC1011" s="14">
        <v>0.23210771167651501</v>
      </c>
      <c r="AD1011" s="14">
        <v>0.101487327682352</v>
      </c>
      <c r="AE1011" s="14">
        <v>0.21115849974095999</v>
      </c>
      <c r="AF1011" s="14">
        <v>0.30205406331891999</v>
      </c>
      <c r="AG1011" s="14">
        <v>0.63212291014066702</v>
      </c>
      <c r="AH1011" s="14"/>
      <c r="AI1011" s="14">
        <v>0.27578231514786899</v>
      </c>
      <c r="AJ1011" s="14">
        <v>0.10732888185888</v>
      </c>
      <c r="AK1011" s="14">
        <v>0.34100120814245899</v>
      </c>
      <c r="AL1011" s="14">
        <v>4.7477719046090001E-2</v>
      </c>
      <c r="AM1011" s="14">
        <v>6.8383125057462704E-2</v>
      </c>
      <c r="AN1011" s="14">
        <v>0.152392345974914</v>
      </c>
      <c r="AO1011" s="14"/>
      <c r="AP1011" s="14">
        <v>0.218512395778</v>
      </c>
      <c r="AQ1011" s="14">
        <v>0.16828855224546799</v>
      </c>
      <c r="AR1011" s="14"/>
      <c r="AS1011" s="14" t="s">
        <v>88</v>
      </c>
      <c r="AT1011" s="14">
        <v>0.19720575494347101</v>
      </c>
      <c r="AU1011" s="14">
        <v>0</v>
      </c>
      <c r="AV1011" s="14"/>
      <c r="AW1011" s="14">
        <v>0.19941938487455599</v>
      </c>
      <c r="AX1011" s="14">
        <v>0.206209301919629</v>
      </c>
      <c r="AY1011" s="14"/>
      <c r="AZ1011" s="14">
        <v>0.22899905454601699</v>
      </c>
      <c r="BA1011" s="14">
        <v>8.0734080368840194E-2</v>
      </c>
    </row>
    <row r="1012" spans="2:53" x14ac:dyDescent="0.35">
      <c r="B1012" t="s">
        <v>227</v>
      </c>
      <c r="C1012" s="14">
        <v>0.49492307685789999</v>
      </c>
      <c r="D1012" s="14">
        <v>0.55906431843271898</v>
      </c>
      <c r="E1012" s="14">
        <v>0.450791375013332</v>
      </c>
      <c r="F1012" s="14"/>
      <c r="G1012" s="14" t="s">
        <v>88</v>
      </c>
      <c r="H1012" s="14">
        <v>0.51421033055457999</v>
      </c>
      <c r="I1012" s="14">
        <v>0.48551935651032102</v>
      </c>
      <c r="J1012" s="14">
        <v>0.44340413414798502</v>
      </c>
      <c r="K1012" s="14">
        <v>0.65540599904664798</v>
      </c>
      <c r="L1012" s="14">
        <v>1</v>
      </c>
      <c r="M1012" s="14"/>
      <c r="N1012" s="14">
        <v>0.42722058103941801</v>
      </c>
      <c r="O1012" s="14">
        <v>0.54568445367017604</v>
      </c>
      <c r="P1012" s="14">
        <v>0.413835554735768</v>
      </c>
      <c r="Q1012" s="14">
        <v>0.550976763184997</v>
      </c>
      <c r="R1012" s="14"/>
      <c r="S1012" s="14">
        <v>0.54789530772522099</v>
      </c>
      <c r="T1012" s="14">
        <v>0.45060652132491003</v>
      </c>
      <c r="U1012" s="14">
        <v>0.77368901900925902</v>
      </c>
      <c r="V1012" s="14">
        <v>0.47795272274516098</v>
      </c>
      <c r="W1012" s="14">
        <v>0.37978613271498401</v>
      </c>
      <c r="X1012" s="14">
        <v>0.41093723952256</v>
      </c>
      <c r="Y1012" s="14">
        <v>0.38493659025416799</v>
      </c>
      <c r="Z1012" s="14">
        <v>0.61323920391796305</v>
      </c>
      <c r="AA1012" s="14">
        <v>0.49854684318785902</v>
      </c>
      <c r="AB1012" s="14"/>
      <c r="AC1012" s="14">
        <v>0.44267741929425197</v>
      </c>
      <c r="AD1012" s="14">
        <v>0.406460067699976</v>
      </c>
      <c r="AE1012" s="14">
        <v>0.50084119870345201</v>
      </c>
      <c r="AF1012" s="14">
        <v>0.569950194723577</v>
      </c>
      <c r="AG1012" s="14">
        <v>7.8009224591880102E-2</v>
      </c>
      <c r="AH1012" s="14"/>
      <c r="AI1012" s="14">
        <v>0.514704549644734</v>
      </c>
      <c r="AJ1012" s="14">
        <v>0.51625580351934397</v>
      </c>
      <c r="AK1012" s="14">
        <v>0.33724296417396599</v>
      </c>
      <c r="AL1012" s="14">
        <v>0.50308607970617203</v>
      </c>
      <c r="AM1012" s="14">
        <v>0.66530131038156304</v>
      </c>
      <c r="AN1012" s="14">
        <v>0.48654059653631399</v>
      </c>
      <c r="AO1012" s="14"/>
      <c r="AP1012" s="14">
        <v>0.50657528228822801</v>
      </c>
      <c r="AQ1012" s="14">
        <v>0.47979063861516302</v>
      </c>
      <c r="AR1012" s="14"/>
      <c r="AS1012" s="14" t="s">
        <v>88</v>
      </c>
      <c r="AT1012" s="14">
        <v>0.49628805914771701</v>
      </c>
      <c r="AU1012" s="14">
        <v>0</v>
      </c>
      <c r="AV1012" s="14"/>
      <c r="AW1012" s="14">
        <v>0.47437098887186901</v>
      </c>
      <c r="AX1012" s="14">
        <v>0.51126777590908901</v>
      </c>
      <c r="AY1012" s="14"/>
      <c r="AZ1012" s="14">
        <v>0.49099305310284602</v>
      </c>
      <c r="BA1012" s="14">
        <v>0.50901292071470305</v>
      </c>
    </row>
    <row r="1013" spans="2:53" x14ac:dyDescent="0.35">
      <c r="B1013" t="s">
        <v>228</v>
      </c>
      <c r="C1013" s="14">
        <v>0.18570431112813199</v>
      </c>
      <c r="D1013" s="14">
        <v>0.131905439343107</v>
      </c>
      <c r="E1013" s="14">
        <v>0.22272005499117301</v>
      </c>
      <c r="F1013" s="14"/>
      <c r="G1013" s="14" t="s">
        <v>88</v>
      </c>
      <c r="H1013" s="14">
        <v>0.10316292506348999</v>
      </c>
      <c r="I1013" s="14">
        <v>0.176633489919792</v>
      </c>
      <c r="J1013" s="14">
        <v>0.35779679332057401</v>
      </c>
      <c r="K1013" s="14">
        <v>2.7731206351080499E-2</v>
      </c>
      <c r="L1013" s="14">
        <v>0</v>
      </c>
      <c r="M1013" s="14"/>
      <c r="N1013" s="14">
        <v>0.18460959378205799</v>
      </c>
      <c r="O1013" s="14">
        <v>0.13974195582973101</v>
      </c>
      <c r="P1013" s="14">
        <v>0.31150321358323202</v>
      </c>
      <c r="Q1013" s="14">
        <v>0.15450762940008</v>
      </c>
      <c r="R1013" s="14"/>
      <c r="S1013" s="14">
        <v>0.232103527217422</v>
      </c>
      <c r="T1013" s="14">
        <v>0.25950109029646901</v>
      </c>
      <c r="U1013" s="14">
        <v>0.13987136185494101</v>
      </c>
      <c r="V1013" s="14">
        <v>0.20982523448679299</v>
      </c>
      <c r="W1013" s="14">
        <v>0.13545824381718999</v>
      </c>
      <c r="X1013" s="14">
        <v>0.19768586519286099</v>
      </c>
      <c r="Y1013" s="14">
        <v>0.14303169621218001</v>
      </c>
      <c r="Z1013" s="14">
        <v>0.105452211460788</v>
      </c>
      <c r="AA1013" s="14">
        <v>0.160865342972002</v>
      </c>
      <c r="AB1013" s="14"/>
      <c r="AC1013" s="14">
        <v>0.19659348283900399</v>
      </c>
      <c r="AD1013" s="14">
        <v>0.32179496598333202</v>
      </c>
      <c r="AE1013" s="14">
        <v>0.18163885188555901</v>
      </c>
      <c r="AF1013" s="14">
        <v>3.6362471549568599E-2</v>
      </c>
      <c r="AG1013" s="14">
        <v>0.28986786526745301</v>
      </c>
      <c r="AH1013" s="14"/>
      <c r="AI1013" s="14">
        <v>0.14589054383653799</v>
      </c>
      <c r="AJ1013" s="14">
        <v>0.29108394247389102</v>
      </c>
      <c r="AK1013" s="14">
        <v>6.2360829117090101E-2</v>
      </c>
      <c r="AL1013" s="14">
        <v>0.229557164388486</v>
      </c>
      <c r="AM1013" s="14">
        <v>0.18124683811967501</v>
      </c>
      <c r="AN1013" s="14">
        <v>0.17746793843830599</v>
      </c>
      <c r="AO1013" s="14"/>
      <c r="AP1013" s="14">
        <v>0.164268751403679</v>
      </c>
      <c r="AQ1013" s="14">
        <v>0.21354215570342</v>
      </c>
      <c r="AR1013" s="14"/>
      <c r="AS1013" s="14" t="s">
        <v>88</v>
      </c>
      <c r="AT1013" s="14">
        <v>0.18621647778126499</v>
      </c>
      <c r="AU1013" s="14">
        <v>0</v>
      </c>
      <c r="AV1013" s="14"/>
      <c r="AW1013" s="14">
        <v>0.18087070767480701</v>
      </c>
      <c r="AX1013" s="14">
        <v>0.241156154351367</v>
      </c>
      <c r="AY1013" s="14"/>
      <c r="AZ1013" s="14">
        <v>0.17168229108612201</v>
      </c>
      <c r="BA1013" s="14">
        <v>0.23597578154731699</v>
      </c>
    </row>
    <row r="1014" spans="2:53" x14ac:dyDescent="0.35">
      <c r="B1014" t="s">
        <v>229</v>
      </c>
      <c r="C1014" s="14">
        <v>5.2675647932400198E-2</v>
      </c>
      <c r="D1014" s="14">
        <v>4.3071293713009801E-2</v>
      </c>
      <c r="E1014" s="14">
        <v>5.9283822118198402E-2</v>
      </c>
      <c r="F1014" s="14"/>
      <c r="G1014" s="14" t="s">
        <v>88</v>
      </c>
      <c r="H1014" s="14">
        <v>9.9252449561867295E-2</v>
      </c>
      <c r="I1014" s="14">
        <v>3.6213679660830798E-2</v>
      </c>
      <c r="J1014" s="14">
        <v>6.4224577876366901E-2</v>
      </c>
      <c r="K1014" s="14">
        <v>0</v>
      </c>
      <c r="L1014" s="14">
        <v>0</v>
      </c>
      <c r="M1014" s="14"/>
      <c r="N1014" s="14">
        <v>3.0245838316040798E-2</v>
      </c>
      <c r="O1014" s="14">
        <v>7.4567509558176107E-2</v>
      </c>
      <c r="P1014" s="14">
        <v>3.8873865267389701E-2</v>
      </c>
      <c r="Q1014" s="14">
        <v>5.7009715373669098E-2</v>
      </c>
      <c r="R1014" s="14"/>
      <c r="S1014" s="14">
        <v>0</v>
      </c>
      <c r="T1014" s="14">
        <v>7.5450554945861698E-2</v>
      </c>
      <c r="U1014" s="14">
        <v>4.37316054009576E-2</v>
      </c>
      <c r="V1014" s="14">
        <v>0.10491259761407799</v>
      </c>
      <c r="W1014" s="14">
        <v>0.11588666100181801</v>
      </c>
      <c r="X1014" s="14">
        <v>5.5763719649490902E-2</v>
      </c>
      <c r="Y1014" s="14">
        <v>7.56023128480698E-2</v>
      </c>
      <c r="Z1014" s="14">
        <v>0</v>
      </c>
      <c r="AA1014" s="14">
        <v>2.37198126256443E-2</v>
      </c>
      <c r="AB1014" s="14"/>
      <c r="AC1014" s="14">
        <v>5.0769059054213E-2</v>
      </c>
      <c r="AD1014" s="14">
        <v>3.4655183858797102E-2</v>
      </c>
      <c r="AE1014" s="14">
        <v>6.20245103726269E-2</v>
      </c>
      <c r="AF1014" s="14">
        <v>2.4132698419685301E-2</v>
      </c>
      <c r="AG1014" s="14">
        <v>0</v>
      </c>
      <c r="AH1014" s="14"/>
      <c r="AI1014" s="14">
        <v>1.3069391979532901E-2</v>
      </c>
      <c r="AJ1014" s="14">
        <v>2.74379128051923E-2</v>
      </c>
      <c r="AK1014" s="14">
        <v>0.109929065335349</v>
      </c>
      <c r="AL1014" s="14">
        <v>0.136656915686727</v>
      </c>
      <c r="AM1014" s="14">
        <v>0</v>
      </c>
      <c r="AN1014" s="14">
        <v>6.9592938841409602E-2</v>
      </c>
      <c r="AO1014" s="14"/>
      <c r="AP1014" s="14">
        <v>3.61125082648295E-2</v>
      </c>
      <c r="AQ1014" s="14">
        <v>7.4185798060116506E-2</v>
      </c>
      <c r="AR1014" s="14"/>
      <c r="AS1014" s="14" t="s">
        <v>88</v>
      </c>
      <c r="AT1014" s="14">
        <v>5.2820925713725098E-2</v>
      </c>
      <c r="AU1014" s="14">
        <v>0</v>
      </c>
      <c r="AV1014" s="14"/>
      <c r="AW1014" s="14">
        <v>6.7785970241196203E-2</v>
      </c>
      <c r="AX1014" s="14">
        <v>0</v>
      </c>
      <c r="AY1014" s="14"/>
      <c r="AZ1014" s="14">
        <v>4.48024151947286E-2</v>
      </c>
      <c r="BA1014" s="14">
        <v>8.0902607064492593E-2</v>
      </c>
    </row>
    <row r="1015" spans="2:53" x14ac:dyDescent="0.35">
      <c r="B1015" t="s">
        <v>116</v>
      </c>
      <c r="C1015" s="14">
        <v>2.8597979716710901E-2</v>
      </c>
      <c r="D1015" s="14">
        <v>0</v>
      </c>
      <c r="E1015" s="14">
        <v>4.8274516734515903E-2</v>
      </c>
      <c r="F1015" s="14"/>
      <c r="G1015" s="14" t="s">
        <v>88</v>
      </c>
      <c r="H1015" s="14">
        <v>5.5098916919162702E-2</v>
      </c>
      <c r="I1015" s="14">
        <v>1.44466696269318E-2</v>
      </c>
      <c r="J1015" s="14">
        <v>4.9319798298195702E-2</v>
      </c>
      <c r="K1015" s="14">
        <v>0</v>
      </c>
      <c r="L1015" s="14">
        <v>0</v>
      </c>
      <c r="M1015" s="14"/>
      <c r="N1015" s="14">
        <v>2.2998833868891001E-2</v>
      </c>
      <c r="O1015" s="14">
        <v>4.5309059947073398E-2</v>
      </c>
      <c r="P1015" s="14">
        <v>2.3766559140857801E-2</v>
      </c>
      <c r="Q1015" s="14">
        <v>1.8147630345537499E-2</v>
      </c>
      <c r="R1015" s="14"/>
      <c r="S1015" s="14">
        <v>3.0494616739850801E-2</v>
      </c>
      <c r="T1015" s="14">
        <v>3.92253463862548E-2</v>
      </c>
      <c r="U1015" s="14">
        <v>0</v>
      </c>
      <c r="V1015" s="14">
        <v>7.5420635352018095E-2</v>
      </c>
      <c r="W1015" s="14">
        <v>2.86290038725753E-2</v>
      </c>
      <c r="X1015" s="14">
        <v>0</v>
      </c>
      <c r="Y1015" s="14">
        <v>5.5082549589847901E-2</v>
      </c>
      <c r="Z1015" s="14">
        <v>7.4483823212018505E-2</v>
      </c>
      <c r="AA1015" s="14">
        <v>0</v>
      </c>
      <c r="AB1015" s="14"/>
      <c r="AC1015" s="14">
        <v>3.5915099585409997E-2</v>
      </c>
      <c r="AD1015" s="14">
        <v>4.6649159998492999E-2</v>
      </c>
      <c r="AE1015" s="14">
        <v>2.9567898291738601E-2</v>
      </c>
      <c r="AF1015" s="14">
        <v>1.48875796036962E-2</v>
      </c>
      <c r="AG1015" s="14">
        <v>0</v>
      </c>
      <c r="AH1015" s="14"/>
      <c r="AI1015" s="14">
        <v>2.51002806834374E-2</v>
      </c>
      <c r="AJ1015" s="14">
        <v>1.96434706734715E-2</v>
      </c>
      <c r="AK1015" s="14">
        <v>4.2007839370668702E-2</v>
      </c>
      <c r="AL1015" s="14">
        <v>5.4350302789488603E-2</v>
      </c>
      <c r="AM1015" s="14">
        <v>0</v>
      </c>
      <c r="AN1015" s="14">
        <v>0.11400618020905599</v>
      </c>
      <c r="AO1015" s="14"/>
      <c r="AP1015" s="14">
        <v>2.4548989293262501E-2</v>
      </c>
      <c r="AQ1015" s="14">
        <v>3.3856305953286897E-2</v>
      </c>
      <c r="AR1015" s="14"/>
      <c r="AS1015" s="14" t="s">
        <v>88</v>
      </c>
      <c r="AT1015" s="14">
        <v>2.5918883477357001E-2</v>
      </c>
      <c r="AU1015" s="14">
        <v>1</v>
      </c>
      <c r="AV1015" s="14"/>
      <c r="AW1015" s="14">
        <v>3.3262133147822302E-2</v>
      </c>
      <c r="AX1015" s="14">
        <v>0</v>
      </c>
      <c r="AY1015" s="14"/>
      <c r="AZ1015" s="14">
        <v>2.1472732618835599E-2</v>
      </c>
      <c r="BA1015" s="14">
        <v>5.4143275447072398E-2</v>
      </c>
    </row>
    <row r="1016" spans="2:53" x14ac:dyDescent="0.35"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</row>
    <row r="1017" spans="2:53" x14ac:dyDescent="0.35">
      <c r="B1017" s="6" t="s">
        <v>301</v>
      </c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</row>
    <row r="1018" spans="2:53" x14ac:dyDescent="0.35">
      <c r="B1018" s="30" t="s">
        <v>328</v>
      </c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</row>
    <row r="1019" spans="2:53" x14ac:dyDescent="0.35">
      <c r="B1019" t="s">
        <v>231</v>
      </c>
      <c r="C1019" s="14">
        <v>0.122363762777528</v>
      </c>
      <c r="D1019" s="14">
        <v>0.14979191376940201</v>
      </c>
      <c r="E1019" s="14">
        <v>0.103492114022347</v>
      </c>
      <c r="F1019" s="14"/>
      <c r="G1019" s="14" t="s">
        <v>88</v>
      </c>
      <c r="H1019" s="14">
        <v>0.13392771920964699</v>
      </c>
      <c r="I1019" s="14">
        <v>0.124858746526866</v>
      </c>
      <c r="J1019" s="14">
        <v>9.0540656993196203E-2</v>
      </c>
      <c r="K1019" s="14">
        <v>0.17411249675718499</v>
      </c>
      <c r="L1019" s="14">
        <v>0</v>
      </c>
      <c r="M1019" s="14"/>
      <c r="N1019" s="14">
        <v>0.10623136227418301</v>
      </c>
      <c r="O1019" s="14">
        <v>8.9279291289415197E-2</v>
      </c>
      <c r="P1019" s="14">
        <v>0.13702133006749001</v>
      </c>
      <c r="Q1019" s="14">
        <v>0.16330095996396199</v>
      </c>
      <c r="R1019" s="14"/>
      <c r="S1019" s="14">
        <v>0.146400924986576</v>
      </c>
      <c r="T1019" s="14">
        <v>0.16746662716430299</v>
      </c>
      <c r="U1019" s="14">
        <v>0.14345271726617001</v>
      </c>
      <c r="V1019" s="14">
        <v>0.10491259761407799</v>
      </c>
      <c r="W1019" s="14">
        <v>0.106520583757423</v>
      </c>
      <c r="X1019" s="14">
        <v>6.4566463565230894E-2</v>
      </c>
      <c r="Y1019" s="14">
        <v>0.14461442920879999</v>
      </c>
      <c r="Z1019" s="14">
        <v>0</v>
      </c>
      <c r="AA1019" s="14">
        <v>0.10274337931507101</v>
      </c>
      <c r="AB1019" s="14"/>
      <c r="AC1019" s="14">
        <v>0.22980437187247599</v>
      </c>
      <c r="AD1019" s="14">
        <v>7.3195975241893502E-2</v>
      </c>
      <c r="AE1019" s="14">
        <v>8.0981851437993593E-2</v>
      </c>
      <c r="AF1019" s="14">
        <v>0.16740322476677399</v>
      </c>
      <c r="AG1019" s="14">
        <v>0.28986786526745301</v>
      </c>
      <c r="AH1019" s="14"/>
      <c r="AI1019" s="14">
        <v>0.13143871560470399</v>
      </c>
      <c r="AJ1019" s="14">
        <v>0.108373801620988</v>
      </c>
      <c r="AK1019" s="14">
        <v>0.2049203475818</v>
      </c>
      <c r="AL1019" s="14">
        <v>0.137727675532269</v>
      </c>
      <c r="AM1019" s="14">
        <v>2.11466000473873E-2</v>
      </c>
      <c r="AN1019" s="14">
        <v>6.2531528435877198E-2</v>
      </c>
      <c r="AO1019" s="14"/>
      <c r="AP1019" s="14">
        <v>0.15102789841222</v>
      </c>
      <c r="AQ1019" s="14">
        <v>8.5138340957856495E-2</v>
      </c>
      <c r="AR1019" s="14"/>
      <c r="AS1019" s="14" t="s">
        <v>88</v>
      </c>
      <c r="AT1019" s="14">
        <v>0.122701238189196</v>
      </c>
      <c r="AU1019" s="14">
        <v>0</v>
      </c>
      <c r="AV1019" s="14"/>
      <c r="AW1019" s="14">
        <v>0.10972276075546</v>
      </c>
      <c r="AX1019" s="14">
        <v>0.15411422500174801</v>
      </c>
      <c r="AY1019" s="14"/>
      <c r="AZ1019" s="14">
        <v>0.12680405047329399</v>
      </c>
      <c r="BA1019" s="14">
        <v>0.106444530678187</v>
      </c>
    </row>
    <row r="1020" spans="2:53" x14ac:dyDescent="0.35">
      <c r="B1020" t="s">
        <v>232</v>
      </c>
      <c r="C1020" s="14">
        <v>0.70845385140065598</v>
      </c>
      <c r="D1020" s="14">
        <v>0.71908461908890497</v>
      </c>
      <c r="E1020" s="14">
        <v>0.70113946429997398</v>
      </c>
      <c r="F1020" s="14"/>
      <c r="G1020" s="14" t="s">
        <v>88</v>
      </c>
      <c r="H1020" s="14">
        <v>0.65312309534329305</v>
      </c>
      <c r="I1020" s="14">
        <v>0.70667279654204995</v>
      </c>
      <c r="J1020" s="14">
        <v>0.77349837807279398</v>
      </c>
      <c r="K1020" s="14">
        <v>0.79815629689173495</v>
      </c>
      <c r="L1020" s="14">
        <v>0</v>
      </c>
      <c r="M1020" s="14"/>
      <c r="N1020" s="14">
        <v>0.77554731075730798</v>
      </c>
      <c r="O1020" s="14">
        <v>0.73966424661534902</v>
      </c>
      <c r="P1020" s="14">
        <v>0.63224860401379701</v>
      </c>
      <c r="Q1020" s="14">
        <v>0.66600370788452901</v>
      </c>
      <c r="R1020" s="14"/>
      <c r="S1020" s="14">
        <v>0.64122461685795995</v>
      </c>
      <c r="T1020" s="14">
        <v>0.75313093507212103</v>
      </c>
      <c r="U1020" s="14">
        <v>0.70825195225539495</v>
      </c>
      <c r="V1020" s="14">
        <v>0.74424613168188603</v>
      </c>
      <c r="W1020" s="14">
        <v>0.68509691799106198</v>
      </c>
      <c r="X1020" s="14">
        <v>0.76718952574871302</v>
      </c>
      <c r="Y1020" s="14">
        <v>0.68071566078215995</v>
      </c>
      <c r="Z1020" s="14">
        <v>0.70617673888691701</v>
      </c>
      <c r="AA1020" s="14">
        <v>0.72113205316492601</v>
      </c>
      <c r="AB1020" s="14"/>
      <c r="AC1020" s="14">
        <v>0.53222120312798704</v>
      </c>
      <c r="AD1020" s="14">
        <v>0.74136621548700699</v>
      </c>
      <c r="AE1020" s="14">
        <v>0.73862303306678601</v>
      </c>
      <c r="AF1020" s="14">
        <v>0.78221225468283795</v>
      </c>
      <c r="AG1020" s="14">
        <v>0.45971961556927299</v>
      </c>
      <c r="AH1020" s="14"/>
      <c r="AI1020" s="14">
        <v>0.72491595076291604</v>
      </c>
      <c r="AJ1020" s="14">
        <v>0.68632221318263098</v>
      </c>
      <c r="AK1020" s="14">
        <v>0.62896951764050102</v>
      </c>
      <c r="AL1020" s="14">
        <v>0.677302197670961</v>
      </c>
      <c r="AM1020" s="14">
        <v>0.87092883425991197</v>
      </c>
      <c r="AN1020" s="14">
        <v>0.64101267631557801</v>
      </c>
      <c r="AO1020" s="14"/>
      <c r="AP1020" s="14">
        <v>0.71637572760953605</v>
      </c>
      <c r="AQ1020" s="14">
        <v>0.69816590177478899</v>
      </c>
      <c r="AR1020" s="14"/>
      <c r="AS1020" s="14" t="s">
        <v>88</v>
      </c>
      <c r="AT1020" s="14">
        <v>0.70764977628654202</v>
      </c>
      <c r="AU1020" s="14">
        <v>1</v>
      </c>
      <c r="AV1020" s="14"/>
      <c r="AW1020" s="14">
        <v>0.73091233858764804</v>
      </c>
      <c r="AX1020" s="14">
        <v>0.60931197742818399</v>
      </c>
      <c r="AY1020" s="14"/>
      <c r="AZ1020" s="14">
        <v>0.70972594486765705</v>
      </c>
      <c r="BA1020" s="14">
        <v>0.70389316692686599</v>
      </c>
    </row>
    <row r="1021" spans="2:53" x14ac:dyDescent="0.35">
      <c r="B1021" t="s">
        <v>233</v>
      </c>
      <c r="C1021" s="14">
        <v>0.139256973050948</v>
      </c>
      <c r="D1021" s="14">
        <v>0.12095798564385001</v>
      </c>
      <c r="E1021" s="14">
        <v>0.15184739750298401</v>
      </c>
      <c r="F1021" s="14"/>
      <c r="G1021" s="14" t="s">
        <v>88</v>
      </c>
      <c r="H1021" s="14">
        <v>0.17211096663439299</v>
      </c>
      <c r="I1021" s="14">
        <v>0.14315295012218801</v>
      </c>
      <c r="J1021" s="14">
        <v>9.5762787736371494E-2</v>
      </c>
      <c r="K1021" s="14">
        <v>2.7731206351080499E-2</v>
      </c>
      <c r="L1021" s="14">
        <v>1</v>
      </c>
      <c r="M1021" s="14"/>
      <c r="N1021" s="14">
        <v>0.10086179442870399</v>
      </c>
      <c r="O1021" s="14">
        <v>0.13314564371049001</v>
      </c>
      <c r="P1021" s="14">
        <v>0.17828509284705901</v>
      </c>
      <c r="Q1021" s="14">
        <v>0.15356928246043899</v>
      </c>
      <c r="R1021" s="14"/>
      <c r="S1021" s="14">
        <v>0.21237445815546399</v>
      </c>
      <c r="T1021" s="14">
        <v>7.94024377635765E-2</v>
      </c>
      <c r="U1021" s="14">
        <v>0.10456372507747699</v>
      </c>
      <c r="V1021" s="14">
        <v>7.5420635352018095E-2</v>
      </c>
      <c r="W1021" s="14">
        <v>0.15417494720535399</v>
      </c>
      <c r="X1021" s="14">
        <v>0.16824401068605599</v>
      </c>
      <c r="Y1021" s="14">
        <v>0.14238856461573801</v>
      </c>
      <c r="Z1021" s="14">
        <v>0.219339437901065</v>
      </c>
      <c r="AA1021" s="14">
        <v>0.114119830036769</v>
      </c>
      <c r="AB1021" s="14"/>
      <c r="AC1021" s="14">
        <v>0.237974424999537</v>
      </c>
      <c r="AD1021" s="14">
        <v>0.13282799363735501</v>
      </c>
      <c r="AE1021" s="14">
        <v>0.141207493854554</v>
      </c>
      <c r="AF1021" s="14">
        <v>2.6251822130703699E-2</v>
      </c>
      <c r="AG1021" s="14">
        <v>0.25041251916327401</v>
      </c>
      <c r="AH1021" s="14"/>
      <c r="AI1021" s="14">
        <v>0.12582138851364599</v>
      </c>
      <c r="AJ1021" s="14">
        <v>0.183085253432934</v>
      </c>
      <c r="AK1021" s="14">
        <v>9.8015619364109199E-2</v>
      </c>
      <c r="AL1021" s="14">
        <v>0.152921516623859</v>
      </c>
      <c r="AM1021" s="14">
        <v>0</v>
      </c>
      <c r="AN1021" s="14">
        <v>0.29645579524854498</v>
      </c>
      <c r="AO1021" s="14"/>
      <c r="AP1021" s="14">
        <v>9.4486311190907404E-2</v>
      </c>
      <c r="AQ1021" s="14">
        <v>0.19739955213045801</v>
      </c>
      <c r="AR1021" s="14"/>
      <c r="AS1021" s="14" t="s">
        <v>88</v>
      </c>
      <c r="AT1021" s="14">
        <v>0.13964103940557199</v>
      </c>
      <c r="AU1021" s="14">
        <v>0</v>
      </c>
      <c r="AV1021" s="14"/>
      <c r="AW1021" s="14">
        <v>0.127556777325008</v>
      </c>
      <c r="AX1021" s="14">
        <v>0.236573797570067</v>
      </c>
      <c r="AY1021" s="14"/>
      <c r="AZ1021" s="14">
        <v>0.13492992032843601</v>
      </c>
      <c r="BA1021" s="14">
        <v>0.15477023735169201</v>
      </c>
    </row>
    <row r="1022" spans="2:53" x14ac:dyDescent="0.35">
      <c r="B1022" t="s">
        <v>116</v>
      </c>
      <c r="C1022" s="14">
        <v>2.9925412770867799E-2</v>
      </c>
      <c r="D1022" s="14">
        <v>1.01654814978435E-2</v>
      </c>
      <c r="E1022" s="14">
        <v>4.3521024174695298E-2</v>
      </c>
      <c r="F1022" s="14"/>
      <c r="G1022" s="14" t="s">
        <v>88</v>
      </c>
      <c r="H1022" s="14">
        <v>4.0838218812667297E-2</v>
      </c>
      <c r="I1022" s="14">
        <v>2.53155068088965E-2</v>
      </c>
      <c r="J1022" s="14">
        <v>4.0198177197638102E-2</v>
      </c>
      <c r="K1022" s="14">
        <v>0</v>
      </c>
      <c r="L1022" s="14">
        <v>0</v>
      </c>
      <c r="M1022" s="14"/>
      <c r="N1022" s="14">
        <v>1.7359532539805E-2</v>
      </c>
      <c r="O1022" s="14">
        <v>3.7910818384745797E-2</v>
      </c>
      <c r="P1022" s="14">
        <v>5.2444973071654501E-2</v>
      </c>
      <c r="Q1022" s="14">
        <v>1.7126049691069799E-2</v>
      </c>
      <c r="R1022" s="14"/>
      <c r="S1022" s="14">
        <v>0</v>
      </c>
      <c r="T1022" s="14">
        <v>0</v>
      </c>
      <c r="U1022" s="14">
        <v>4.37316054009576E-2</v>
      </c>
      <c r="V1022" s="14">
        <v>7.5420635352018095E-2</v>
      </c>
      <c r="W1022" s="14">
        <v>5.42075510461602E-2</v>
      </c>
      <c r="X1022" s="14">
        <v>0</v>
      </c>
      <c r="Y1022" s="14">
        <v>3.2281345393302602E-2</v>
      </c>
      <c r="Z1022" s="14">
        <v>7.4483823212018505E-2</v>
      </c>
      <c r="AA1022" s="14">
        <v>6.2004737483234401E-2</v>
      </c>
      <c r="AB1022" s="14"/>
      <c r="AC1022" s="14">
        <v>0</v>
      </c>
      <c r="AD1022" s="14">
        <v>5.2609815633744901E-2</v>
      </c>
      <c r="AE1022" s="14">
        <v>3.91876216406669E-2</v>
      </c>
      <c r="AF1022" s="14">
        <v>2.4132698419685301E-2</v>
      </c>
      <c r="AG1022" s="14">
        <v>0</v>
      </c>
      <c r="AH1022" s="14"/>
      <c r="AI1022" s="14">
        <v>1.7823945118733701E-2</v>
      </c>
      <c r="AJ1022" s="14">
        <v>2.22187317634472E-2</v>
      </c>
      <c r="AK1022" s="14">
        <v>6.8094515413589296E-2</v>
      </c>
      <c r="AL1022" s="14">
        <v>3.20486101729099E-2</v>
      </c>
      <c r="AM1022" s="14">
        <v>0.10792456569269999</v>
      </c>
      <c r="AN1022" s="14">
        <v>0</v>
      </c>
      <c r="AO1022" s="14"/>
      <c r="AP1022" s="14">
        <v>3.8110062787337202E-2</v>
      </c>
      <c r="AQ1022" s="14">
        <v>1.9296205136896699E-2</v>
      </c>
      <c r="AR1022" s="14"/>
      <c r="AS1022" s="14" t="s">
        <v>88</v>
      </c>
      <c r="AT1022" s="14">
        <v>3.0007946118690301E-2</v>
      </c>
      <c r="AU1022" s="14">
        <v>0</v>
      </c>
      <c r="AV1022" s="14"/>
      <c r="AW1022" s="14">
        <v>3.1808123331883702E-2</v>
      </c>
      <c r="AX1022" s="14">
        <v>0</v>
      </c>
      <c r="AY1022" s="14"/>
      <c r="AZ1022" s="14">
        <v>2.85400843306132E-2</v>
      </c>
      <c r="BA1022" s="14">
        <v>3.4892065043254997E-2</v>
      </c>
    </row>
    <row r="1023" spans="2:53" x14ac:dyDescent="0.35"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</row>
    <row r="1024" spans="2:53" x14ac:dyDescent="0.35">
      <c r="B1024" s="6" t="s">
        <v>302</v>
      </c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</row>
    <row r="1025" spans="2:53" x14ac:dyDescent="0.35">
      <c r="B1025" s="30" t="s">
        <v>328</v>
      </c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</row>
    <row r="1026" spans="2:53" x14ac:dyDescent="0.35">
      <c r="B1026" t="s">
        <v>235</v>
      </c>
      <c r="C1026" s="14">
        <v>0.47767807978986099</v>
      </c>
      <c r="D1026" s="14">
        <v>0.42850926387670901</v>
      </c>
      <c r="E1026" s="14">
        <v>0.51150816275447897</v>
      </c>
      <c r="F1026" s="14"/>
      <c r="G1026" s="14" t="s">
        <v>88</v>
      </c>
      <c r="H1026" s="14">
        <v>0.47707953120052798</v>
      </c>
      <c r="I1026" s="14">
        <v>0.50788851416201397</v>
      </c>
      <c r="J1026" s="14">
        <v>0.470474205930627</v>
      </c>
      <c r="K1026" s="14">
        <v>0.116518120627773</v>
      </c>
      <c r="L1026" s="14">
        <v>1</v>
      </c>
      <c r="M1026" s="14"/>
      <c r="N1026" s="14">
        <v>0.50178172807357801</v>
      </c>
      <c r="O1026" s="14">
        <v>0.48235860362049199</v>
      </c>
      <c r="P1026" s="14">
        <v>0.37882991721784898</v>
      </c>
      <c r="Q1026" s="14">
        <v>0.51682143935166402</v>
      </c>
      <c r="R1026" s="14"/>
      <c r="S1026" s="14">
        <v>0.33733335763437</v>
      </c>
      <c r="T1026" s="14">
        <v>0.63683693718608103</v>
      </c>
      <c r="U1026" s="14">
        <v>0.33910086939942202</v>
      </c>
      <c r="V1026" s="14">
        <v>0.55158186006447896</v>
      </c>
      <c r="W1026" s="14">
        <v>0.56512198027148697</v>
      </c>
      <c r="X1026" s="14">
        <v>0.410757301737604</v>
      </c>
      <c r="Y1026" s="14">
        <v>0.56751159276032104</v>
      </c>
      <c r="Z1026" s="14">
        <v>0.50064806814273399</v>
      </c>
      <c r="AA1026" s="14">
        <v>0.42763482155348997</v>
      </c>
      <c r="AB1026" s="14"/>
      <c r="AC1026" s="14">
        <v>0.477474254147496</v>
      </c>
      <c r="AD1026" s="14">
        <v>0.420352164602106</v>
      </c>
      <c r="AE1026" s="14">
        <v>0.59934685012258304</v>
      </c>
      <c r="AF1026" s="14">
        <v>0.494376681912639</v>
      </c>
      <c r="AG1026" s="14">
        <v>0.92199077540812002</v>
      </c>
      <c r="AH1026" s="14"/>
      <c r="AI1026" s="14">
        <v>0.39611841205109</v>
      </c>
      <c r="AJ1026" s="14">
        <v>0.463828504998753</v>
      </c>
      <c r="AK1026" s="14">
        <v>0.81733354105233302</v>
      </c>
      <c r="AL1026" s="14">
        <v>0.46393690900766799</v>
      </c>
      <c r="AM1026" s="14">
        <v>0.58482697029577002</v>
      </c>
      <c r="AN1026" s="14">
        <v>0.52970890580305996</v>
      </c>
      <c r="AO1026" s="14"/>
      <c r="AP1026" s="14">
        <v>0.428525006134372</v>
      </c>
      <c r="AQ1026" s="14">
        <v>0.54151199140254702</v>
      </c>
      <c r="AR1026" s="14"/>
      <c r="AS1026" s="14" t="s">
        <v>88</v>
      </c>
      <c r="AT1026" s="14">
        <v>0.47623753235126398</v>
      </c>
      <c r="AU1026" s="14">
        <v>1</v>
      </c>
      <c r="AV1026" s="14"/>
      <c r="AW1026" s="14">
        <v>0.46165590648449401</v>
      </c>
      <c r="AX1026" s="14">
        <v>0.50915749575426394</v>
      </c>
      <c r="AY1026" s="14"/>
      <c r="AZ1026" s="14">
        <v>0.478904221956447</v>
      </c>
      <c r="BA1026" s="14">
        <v>0.47328213901438299</v>
      </c>
    </row>
    <row r="1027" spans="2:53" x14ac:dyDescent="0.35">
      <c r="B1027" t="s">
        <v>236</v>
      </c>
      <c r="C1027" s="14">
        <v>0.46444776471423499</v>
      </c>
      <c r="D1027" s="14">
        <v>0.54253698954520102</v>
      </c>
      <c r="E1027" s="14">
        <v>0.41071930073534901</v>
      </c>
      <c r="F1027" s="14"/>
      <c r="G1027" s="14" t="s">
        <v>88</v>
      </c>
      <c r="H1027" s="14">
        <v>0.45026061914625598</v>
      </c>
      <c r="I1027" s="14">
        <v>0.43459202759634002</v>
      </c>
      <c r="J1027" s="14">
        <v>0.47046416024575999</v>
      </c>
      <c r="K1027" s="14">
        <v>0.883481879372227</v>
      </c>
      <c r="L1027" s="14">
        <v>0</v>
      </c>
      <c r="M1027" s="14"/>
      <c r="N1027" s="14">
        <v>0.46080764349115799</v>
      </c>
      <c r="O1027" s="14">
        <v>0.45385484481045202</v>
      </c>
      <c r="P1027" s="14">
        <v>0.50677380812630801</v>
      </c>
      <c r="Q1027" s="14">
        <v>0.45139771093766101</v>
      </c>
      <c r="R1027" s="14"/>
      <c r="S1027" s="14">
        <v>0.59382874111613504</v>
      </c>
      <c r="T1027" s="14">
        <v>0.301494018774766</v>
      </c>
      <c r="U1027" s="14">
        <v>0.61716752519962104</v>
      </c>
      <c r="V1027" s="14">
        <v>0.44841813993552099</v>
      </c>
      <c r="W1027" s="14">
        <v>0.43487801972851298</v>
      </c>
      <c r="X1027" s="14">
        <v>0.472434048311838</v>
      </c>
      <c r="Y1027" s="14">
        <v>0.28340736857339699</v>
      </c>
      <c r="Z1027" s="14">
        <v>0.49935193185726601</v>
      </c>
      <c r="AA1027" s="14">
        <v>0.57236517844651003</v>
      </c>
      <c r="AB1027" s="14"/>
      <c r="AC1027" s="14">
        <v>0.44541112763309199</v>
      </c>
      <c r="AD1027" s="14">
        <v>0.45757966937745698</v>
      </c>
      <c r="AE1027" s="14">
        <v>0.36471954933627698</v>
      </c>
      <c r="AF1027" s="14">
        <v>0.48664601171195898</v>
      </c>
      <c r="AG1027" s="14">
        <v>7.8009224591880102E-2</v>
      </c>
      <c r="AH1027" s="14"/>
      <c r="AI1027" s="14">
        <v>0.535411981801582</v>
      </c>
      <c r="AJ1027" s="14">
        <v>0.47487885596681401</v>
      </c>
      <c r="AK1027" s="14">
        <v>0.182666458947667</v>
      </c>
      <c r="AL1027" s="14">
        <v>0.51245600211174003</v>
      </c>
      <c r="AM1027" s="14">
        <v>0.41517302970422998</v>
      </c>
      <c r="AN1027" s="14">
        <v>0.310953455399684</v>
      </c>
      <c r="AO1027" s="14"/>
      <c r="AP1027" s="14">
        <v>0.51334517850461003</v>
      </c>
      <c r="AQ1027" s="14">
        <v>0.40094587240408502</v>
      </c>
      <c r="AR1027" s="14"/>
      <c r="AS1027" s="14" t="s">
        <v>88</v>
      </c>
      <c r="AT1027" s="14">
        <v>0.46572869705104403</v>
      </c>
      <c r="AU1027" s="14">
        <v>0</v>
      </c>
      <c r="AV1027" s="14"/>
      <c r="AW1027" s="14">
        <v>0.46732269151627298</v>
      </c>
      <c r="AX1027" s="14">
        <v>0.47501973920569501</v>
      </c>
      <c r="AY1027" s="14"/>
      <c r="AZ1027" s="14">
        <v>0.48851634213191197</v>
      </c>
      <c r="BA1027" s="14">
        <v>0.37815757442357101</v>
      </c>
    </row>
    <row r="1028" spans="2:53" x14ac:dyDescent="0.35">
      <c r="B1028" t="s">
        <v>237</v>
      </c>
      <c r="C1028" s="14">
        <v>4.9318039476977202E-2</v>
      </c>
      <c r="D1028" s="14">
        <v>2.89537465780897E-2</v>
      </c>
      <c r="E1028" s="14">
        <v>6.3329475495733298E-2</v>
      </c>
      <c r="F1028" s="14"/>
      <c r="G1028" s="14" t="s">
        <v>88</v>
      </c>
      <c r="H1028" s="14">
        <v>5.2637547321162201E-2</v>
      </c>
      <c r="I1028" s="14">
        <v>4.9705332370115797E-2</v>
      </c>
      <c r="J1028" s="14">
        <v>5.9061633823613097E-2</v>
      </c>
      <c r="K1028" s="14">
        <v>0</v>
      </c>
      <c r="L1028" s="14">
        <v>0</v>
      </c>
      <c r="M1028" s="14"/>
      <c r="N1028" s="14">
        <v>3.7410628435264402E-2</v>
      </c>
      <c r="O1028" s="14">
        <v>6.3786551569056299E-2</v>
      </c>
      <c r="P1028" s="14">
        <v>9.0629715514985498E-2</v>
      </c>
      <c r="Q1028" s="14">
        <v>1.63711455805465E-2</v>
      </c>
      <c r="R1028" s="14"/>
      <c r="S1028" s="14">
        <v>6.8837901249494904E-2</v>
      </c>
      <c r="T1028" s="14">
        <v>6.1669044039152798E-2</v>
      </c>
      <c r="U1028" s="14">
        <v>4.37316054009576E-2</v>
      </c>
      <c r="V1028" s="14">
        <v>0</v>
      </c>
      <c r="W1028" s="14">
        <v>0</v>
      </c>
      <c r="X1028" s="14">
        <v>0.11680864995055799</v>
      </c>
      <c r="Y1028" s="14">
        <v>8.5082454044827102E-2</v>
      </c>
      <c r="Z1028" s="14">
        <v>0</v>
      </c>
      <c r="AA1028" s="14">
        <v>0</v>
      </c>
      <c r="AB1028" s="14"/>
      <c r="AC1028" s="14">
        <v>7.7114618219411304E-2</v>
      </c>
      <c r="AD1028" s="14">
        <v>8.5753172857748694E-2</v>
      </c>
      <c r="AE1028" s="14">
        <v>3.59336005411394E-2</v>
      </c>
      <c r="AF1028" s="14">
        <v>1.8977306375402101E-2</v>
      </c>
      <c r="AG1028" s="14">
        <v>0</v>
      </c>
      <c r="AH1028" s="14"/>
      <c r="AI1028" s="14">
        <v>5.8167961570268198E-2</v>
      </c>
      <c r="AJ1028" s="14">
        <v>6.1292639034432897E-2</v>
      </c>
      <c r="AK1028" s="14">
        <v>0</v>
      </c>
      <c r="AL1028" s="14">
        <v>2.3607088880592E-2</v>
      </c>
      <c r="AM1028" s="14">
        <v>0</v>
      </c>
      <c r="AN1028" s="14">
        <v>6.2531528435877198E-2</v>
      </c>
      <c r="AO1028" s="14"/>
      <c r="AP1028" s="14">
        <v>4.2985361102144501E-2</v>
      </c>
      <c r="AQ1028" s="14">
        <v>5.7542136193368003E-2</v>
      </c>
      <c r="AR1028" s="14"/>
      <c r="AS1028" s="14" t="s">
        <v>88</v>
      </c>
      <c r="AT1028" s="14">
        <v>4.94540570797165E-2</v>
      </c>
      <c r="AU1028" s="14">
        <v>0</v>
      </c>
      <c r="AV1028" s="14"/>
      <c r="AW1028" s="14">
        <v>6.0010913308453699E-2</v>
      </c>
      <c r="AX1028" s="14">
        <v>1.58227650400414E-2</v>
      </c>
      <c r="AY1028" s="14"/>
      <c r="AZ1028" s="14">
        <v>2.7059890157140502E-2</v>
      </c>
      <c r="BA1028" s="14">
        <v>0.12911751856526299</v>
      </c>
    </row>
    <row r="1029" spans="2:53" x14ac:dyDescent="0.35">
      <c r="B1029" t="s">
        <v>238</v>
      </c>
      <c r="C1029" s="14">
        <v>4.2403496927516096E-3</v>
      </c>
      <c r="D1029" s="14">
        <v>0</v>
      </c>
      <c r="E1029" s="14">
        <v>7.1578773826223097E-3</v>
      </c>
      <c r="F1029" s="14"/>
      <c r="G1029" s="14" t="s">
        <v>88</v>
      </c>
      <c r="H1029" s="14">
        <v>2.0022302332053502E-2</v>
      </c>
      <c r="I1029" s="14">
        <v>0</v>
      </c>
      <c r="J1029" s="14">
        <v>0</v>
      </c>
      <c r="K1029" s="14">
        <v>0</v>
      </c>
      <c r="L1029" s="14">
        <v>0</v>
      </c>
      <c r="M1029" s="14"/>
      <c r="N1029" s="14">
        <v>0</v>
      </c>
      <c r="O1029" s="14">
        <v>0</v>
      </c>
      <c r="P1029" s="14">
        <v>0</v>
      </c>
      <c r="Q1029" s="14">
        <v>1.5409704130128101E-2</v>
      </c>
      <c r="R1029" s="14"/>
      <c r="S1029" s="14">
        <v>0</v>
      </c>
      <c r="T1029" s="14">
        <v>0</v>
      </c>
      <c r="U1029" s="14">
        <v>0</v>
      </c>
      <c r="V1029" s="14">
        <v>0</v>
      </c>
      <c r="W1029" s="14">
        <v>0</v>
      </c>
      <c r="X1029" s="14">
        <v>0</v>
      </c>
      <c r="Y1029" s="14">
        <v>3.1717239228151499E-2</v>
      </c>
      <c r="Z1029" s="14">
        <v>0</v>
      </c>
      <c r="AA1029" s="14">
        <v>0</v>
      </c>
      <c r="AB1029" s="14"/>
      <c r="AC1029" s="14">
        <v>0</v>
      </c>
      <c r="AD1029" s="14">
        <v>1.7997449983035301E-2</v>
      </c>
      <c r="AE1029" s="14">
        <v>0</v>
      </c>
      <c r="AF1029" s="14">
        <v>0</v>
      </c>
      <c r="AG1029" s="14">
        <v>0</v>
      </c>
      <c r="AH1029" s="14"/>
      <c r="AI1029" s="14">
        <v>0</v>
      </c>
      <c r="AJ1029" s="14">
        <v>0</v>
      </c>
      <c r="AK1029" s="14">
        <v>0</v>
      </c>
      <c r="AL1029" s="14">
        <v>0</v>
      </c>
      <c r="AM1029" s="14">
        <v>0</v>
      </c>
      <c r="AN1029" s="14">
        <v>9.6806110361379094E-2</v>
      </c>
      <c r="AO1029" s="14"/>
      <c r="AP1029" s="14">
        <v>7.5054828407480302E-3</v>
      </c>
      <c r="AQ1029" s="14">
        <v>0</v>
      </c>
      <c r="AR1029" s="14"/>
      <c r="AS1029" s="14" t="s">
        <v>88</v>
      </c>
      <c r="AT1029" s="14">
        <v>4.2520444439238204E-3</v>
      </c>
      <c r="AU1029" s="14">
        <v>0</v>
      </c>
      <c r="AV1029" s="14"/>
      <c r="AW1029" s="14">
        <v>5.45671917418081E-3</v>
      </c>
      <c r="AX1029" s="14">
        <v>0</v>
      </c>
      <c r="AY1029" s="14"/>
      <c r="AZ1029" s="14">
        <v>0</v>
      </c>
      <c r="BA1029" s="14">
        <v>1.94427679967831E-2</v>
      </c>
    </row>
    <row r="1030" spans="2:53" x14ac:dyDescent="0.35">
      <c r="B1030" t="s">
        <v>116</v>
      </c>
      <c r="C1030" s="14">
        <v>4.3157663261751897E-3</v>
      </c>
      <c r="D1030" s="14">
        <v>0</v>
      </c>
      <c r="E1030" s="14">
        <v>7.2851836318165502E-3</v>
      </c>
      <c r="F1030" s="14"/>
      <c r="G1030" s="14" t="s">
        <v>88</v>
      </c>
      <c r="H1030" s="14">
        <v>0</v>
      </c>
      <c r="I1030" s="14">
        <v>7.8141258715306704E-3</v>
      </c>
      <c r="J1030" s="14">
        <v>0</v>
      </c>
      <c r="K1030" s="14">
        <v>0</v>
      </c>
      <c r="L1030" s="14">
        <v>0</v>
      </c>
      <c r="M1030" s="14"/>
      <c r="N1030" s="14">
        <v>0</v>
      </c>
      <c r="O1030" s="14">
        <v>0</v>
      </c>
      <c r="P1030" s="14">
        <v>2.3766559140857801E-2</v>
      </c>
      <c r="Q1030" s="14">
        <v>0</v>
      </c>
      <c r="R1030" s="14"/>
      <c r="S1030" s="14">
        <v>0</v>
      </c>
      <c r="T1030" s="14">
        <v>0</v>
      </c>
      <c r="U1030" s="14">
        <v>0</v>
      </c>
      <c r="V1030" s="14">
        <v>0</v>
      </c>
      <c r="W1030" s="14">
        <v>0</v>
      </c>
      <c r="X1030" s="14">
        <v>0</v>
      </c>
      <c r="Y1030" s="14">
        <v>3.2281345393302602E-2</v>
      </c>
      <c r="Z1030" s="14">
        <v>0</v>
      </c>
      <c r="AA1030" s="14">
        <v>0</v>
      </c>
      <c r="AB1030" s="14"/>
      <c r="AC1030" s="14">
        <v>0</v>
      </c>
      <c r="AD1030" s="14">
        <v>1.8317543179652999E-2</v>
      </c>
      <c r="AE1030" s="14">
        <v>0</v>
      </c>
      <c r="AF1030" s="14">
        <v>0</v>
      </c>
      <c r="AG1030" s="14">
        <v>0</v>
      </c>
      <c r="AH1030" s="14"/>
      <c r="AI1030" s="14">
        <v>1.0301644577059701E-2</v>
      </c>
      <c r="AJ1030" s="14">
        <v>0</v>
      </c>
      <c r="AK1030" s="14">
        <v>0</v>
      </c>
      <c r="AL1030" s="14">
        <v>0</v>
      </c>
      <c r="AM1030" s="14">
        <v>0</v>
      </c>
      <c r="AN1030" s="14">
        <v>0</v>
      </c>
      <c r="AO1030" s="14"/>
      <c r="AP1030" s="14">
        <v>7.6389714181253196E-3</v>
      </c>
      <c r="AQ1030" s="14">
        <v>0</v>
      </c>
      <c r="AR1030" s="14"/>
      <c r="AS1030" s="14" t="s">
        <v>88</v>
      </c>
      <c r="AT1030" s="14">
        <v>4.3276690740519297E-3</v>
      </c>
      <c r="AU1030" s="14">
        <v>0</v>
      </c>
      <c r="AV1030" s="14"/>
      <c r="AW1030" s="14">
        <v>5.5537695165990397E-3</v>
      </c>
      <c r="AX1030" s="14">
        <v>0</v>
      </c>
      <c r="AY1030" s="14"/>
      <c r="AZ1030" s="14">
        <v>5.5195457545002E-3</v>
      </c>
      <c r="BA1030" s="14">
        <v>0</v>
      </c>
    </row>
    <row r="1031" spans="2:53" x14ac:dyDescent="0.35"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</row>
    <row r="1032" spans="2:53" x14ac:dyDescent="0.35">
      <c r="B1032" s="6" t="s">
        <v>303</v>
      </c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</row>
    <row r="1033" spans="2:53" x14ac:dyDescent="0.35">
      <c r="B1033" s="30" t="s">
        <v>328</v>
      </c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</row>
    <row r="1034" spans="2:53" x14ac:dyDescent="0.35">
      <c r="B1034" t="s">
        <v>220</v>
      </c>
      <c r="C1034" s="14">
        <v>0.40052210162581298</v>
      </c>
      <c r="D1034" s="14">
        <v>0.41957406029073802</v>
      </c>
      <c r="E1034" s="14">
        <v>0.38741360327573399</v>
      </c>
      <c r="F1034" s="14"/>
      <c r="G1034" s="14" t="s">
        <v>88</v>
      </c>
      <c r="H1034" s="14">
        <v>0.40839856058410701</v>
      </c>
      <c r="I1034" s="14">
        <v>0.413648744734264</v>
      </c>
      <c r="J1034" s="14">
        <v>0.35344708123810598</v>
      </c>
      <c r="K1034" s="14">
        <v>0.43338091523004402</v>
      </c>
      <c r="L1034" s="14">
        <v>0</v>
      </c>
      <c r="M1034" s="14"/>
      <c r="N1034" s="14">
        <v>0.47159272752820203</v>
      </c>
      <c r="O1034" s="14">
        <v>0.41834093556042001</v>
      </c>
      <c r="P1034" s="14">
        <v>0.203606927982422</v>
      </c>
      <c r="Q1034" s="14">
        <v>0.44910115739284201</v>
      </c>
      <c r="R1034" s="14"/>
      <c r="S1034" s="14">
        <v>0.267611932012908</v>
      </c>
      <c r="T1034" s="14">
        <v>0.51059438126901802</v>
      </c>
      <c r="U1034" s="14">
        <v>0.26615431904779302</v>
      </c>
      <c r="V1034" s="14">
        <v>0.53432021124750195</v>
      </c>
      <c r="W1034" s="14">
        <v>0.54984131803763803</v>
      </c>
      <c r="X1034" s="14">
        <v>0.19837568575168399</v>
      </c>
      <c r="Y1034" s="14">
        <v>0.39957564985121102</v>
      </c>
      <c r="Z1034" s="14">
        <v>0.42616424493071497</v>
      </c>
      <c r="AA1034" s="14">
        <v>0.51417287838028303</v>
      </c>
      <c r="AB1034" s="14"/>
      <c r="AC1034" s="14">
        <v>0.36320765826426599</v>
      </c>
      <c r="AD1034" s="14">
        <v>0.27013669109143201</v>
      </c>
      <c r="AE1034" s="14">
        <v>0.43473782516854098</v>
      </c>
      <c r="AF1034" s="14">
        <v>0.51233086259659499</v>
      </c>
      <c r="AG1034" s="14">
        <v>0.92199077540812002</v>
      </c>
      <c r="AH1034" s="14"/>
      <c r="AI1034" s="14">
        <v>0.45509749367188901</v>
      </c>
      <c r="AJ1034" s="14">
        <v>0.33561460869659399</v>
      </c>
      <c r="AK1034" s="14">
        <v>0.55513029202737796</v>
      </c>
      <c r="AL1034" s="14">
        <v>0.26056633112390198</v>
      </c>
      <c r="AM1034" s="14">
        <v>0.49804900465045698</v>
      </c>
      <c r="AN1034" s="14">
        <v>0.43118106331143302</v>
      </c>
      <c r="AO1034" s="14"/>
      <c r="AP1034" s="14">
        <v>0.37491089145625101</v>
      </c>
      <c r="AQ1034" s="14">
        <v>0.43378276275387001</v>
      </c>
      <c r="AR1034" s="14"/>
      <c r="AS1034" s="14" t="s">
        <v>88</v>
      </c>
      <c r="AT1034" s="14">
        <v>0.39886876042456398</v>
      </c>
      <c r="AU1034" s="14">
        <v>1</v>
      </c>
      <c r="AV1034" s="14"/>
      <c r="AW1034" s="14">
        <v>0.35423367049598098</v>
      </c>
      <c r="AX1034" s="14">
        <v>0.55746130879538003</v>
      </c>
      <c r="AY1034" s="14"/>
      <c r="AZ1034" s="14">
        <v>0.46474130579543599</v>
      </c>
      <c r="BA1034" s="14">
        <v>0.17028467413074599</v>
      </c>
    </row>
    <row r="1035" spans="2:53" x14ac:dyDescent="0.35">
      <c r="B1035" t="s">
        <v>221</v>
      </c>
      <c r="C1035" s="14">
        <v>0.46905201064765401</v>
      </c>
      <c r="D1035" s="14">
        <v>0.510928517597801</v>
      </c>
      <c r="E1035" s="14">
        <v>0.44023932362069401</v>
      </c>
      <c r="F1035" s="14"/>
      <c r="G1035" s="14" t="s">
        <v>88</v>
      </c>
      <c r="H1035" s="14">
        <v>0.48768116119490401</v>
      </c>
      <c r="I1035" s="14">
        <v>0.434778022500585</v>
      </c>
      <c r="J1035" s="14">
        <v>0.51042577403871103</v>
      </c>
      <c r="K1035" s="14">
        <v>0.56661908476995604</v>
      </c>
      <c r="L1035" s="14">
        <v>1</v>
      </c>
      <c r="M1035" s="14"/>
      <c r="N1035" s="14">
        <v>0.42607767639486999</v>
      </c>
      <c r="O1035" s="14">
        <v>0.49201003325052101</v>
      </c>
      <c r="P1035" s="14">
        <v>0.59177446417343005</v>
      </c>
      <c r="Q1035" s="14">
        <v>0.39993254393293898</v>
      </c>
      <c r="R1035" s="14"/>
      <c r="S1035" s="14">
        <v>0.62076839989815902</v>
      </c>
      <c r="T1035" s="14">
        <v>0.33920082532717499</v>
      </c>
      <c r="U1035" s="14">
        <v>0.66589727778277796</v>
      </c>
      <c r="V1035" s="14">
        <v>0.46567978875249799</v>
      </c>
      <c r="W1035" s="14">
        <v>0.38161772233262498</v>
      </c>
      <c r="X1035" s="14">
        <v>0.61090645918794395</v>
      </c>
      <c r="Y1035" s="14">
        <v>0.37977590081172002</v>
      </c>
      <c r="Z1035" s="14">
        <v>0.46838354360849599</v>
      </c>
      <c r="AA1035" s="14">
        <v>0.34351325121452903</v>
      </c>
      <c r="AB1035" s="14"/>
      <c r="AC1035" s="14">
        <v>0.405043004910003</v>
      </c>
      <c r="AD1035" s="14">
        <v>0.53636015802375803</v>
      </c>
      <c r="AE1035" s="14">
        <v>0.46042624064507798</v>
      </c>
      <c r="AF1035" s="14">
        <v>0.46586478198728598</v>
      </c>
      <c r="AG1035" s="14">
        <v>7.8009224591880102E-2</v>
      </c>
      <c r="AH1035" s="14"/>
      <c r="AI1035" s="14">
        <v>0.43266835319395502</v>
      </c>
      <c r="AJ1035" s="14">
        <v>0.61831874228933503</v>
      </c>
      <c r="AK1035" s="14">
        <v>0.42434342623008198</v>
      </c>
      <c r="AL1035" s="14">
        <v>0.55561664763122598</v>
      </c>
      <c r="AM1035" s="14">
        <v>0.28869522276814102</v>
      </c>
      <c r="AN1035" s="14">
        <v>0.32585194420531699</v>
      </c>
      <c r="AO1035" s="14"/>
      <c r="AP1035" s="14">
        <v>0.47397956973704303</v>
      </c>
      <c r="AQ1035" s="14">
        <v>0.46265270846803802</v>
      </c>
      <c r="AR1035" s="14"/>
      <c r="AS1035" s="14" t="s">
        <v>88</v>
      </c>
      <c r="AT1035" s="14">
        <v>0.47034564135002799</v>
      </c>
      <c r="AU1035" s="14">
        <v>0</v>
      </c>
      <c r="AV1035" s="14"/>
      <c r="AW1035" s="14">
        <v>0.50158156458898495</v>
      </c>
      <c r="AX1035" s="14">
        <v>0.36488379482600097</v>
      </c>
      <c r="AY1035" s="14"/>
      <c r="AZ1035" s="14">
        <v>0.45140174810713901</v>
      </c>
      <c r="BA1035" s="14">
        <v>0.53233138469917396</v>
      </c>
    </row>
    <row r="1036" spans="2:53" x14ac:dyDescent="0.35">
      <c r="B1036" t="s">
        <v>222</v>
      </c>
      <c r="C1036" s="14">
        <v>7.42489979104307E-2</v>
      </c>
      <c r="D1036" s="14">
        <v>4.5869281069360002E-2</v>
      </c>
      <c r="E1036" s="14">
        <v>9.3775361468617494E-2</v>
      </c>
      <c r="F1036" s="14"/>
      <c r="G1036" s="14" t="s">
        <v>88</v>
      </c>
      <c r="H1036" s="14">
        <v>7.4663071077266802E-2</v>
      </c>
      <c r="I1036" s="14">
        <v>9.1658955275399107E-2</v>
      </c>
      <c r="J1036" s="14">
        <v>4.3054927947494999E-2</v>
      </c>
      <c r="K1036" s="14">
        <v>0</v>
      </c>
      <c r="L1036" s="14">
        <v>0</v>
      </c>
      <c r="M1036" s="14"/>
      <c r="N1036" s="14">
        <v>2.06256017878974E-2</v>
      </c>
      <c r="O1036" s="14">
        <v>6.5593004443808098E-2</v>
      </c>
      <c r="P1036" s="14">
        <v>0.128407075631636</v>
      </c>
      <c r="Q1036" s="14">
        <v>9.4602028361183907E-2</v>
      </c>
      <c r="R1036" s="14"/>
      <c r="S1036" s="14">
        <v>5.2959244654312003E-2</v>
      </c>
      <c r="T1036" s="14">
        <v>5.36636309409248E-2</v>
      </c>
      <c r="U1036" s="14">
        <v>6.7948403169428198E-2</v>
      </c>
      <c r="V1036" s="14">
        <v>0</v>
      </c>
      <c r="W1036" s="14">
        <v>1.43334085835764E-2</v>
      </c>
      <c r="X1036" s="14">
        <v>0.169869968517222</v>
      </c>
      <c r="Y1036" s="14">
        <v>0.107319552076221</v>
      </c>
      <c r="Z1036" s="14">
        <v>0.105452211460788</v>
      </c>
      <c r="AA1036" s="14">
        <v>8.4294505822262902E-2</v>
      </c>
      <c r="AB1036" s="14"/>
      <c r="AC1036" s="14">
        <v>0.148877432496445</v>
      </c>
      <c r="AD1036" s="14">
        <v>8.7935795970502495E-2</v>
      </c>
      <c r="AE1036" s="14">
        <v>6.8590973172778E-2</v>
      </c>
      <c r="AF1036" s="14">
        <v>0</v>
      </c>
      <c r="AG1036" s="14">
        <v>0</v>
      </c>
      <c r="AH1036" s="14"/>
      <c r="AI1036" s="14">
        <v>5.3274919777386603E-2</v>
      </c>
      <c r="AJ1036" s="14">
        <v>0</v>
      </c>
      <c r="AK1036" s="14">
        <v>0</v>
      </c>
      <c r="AL1036" s="14">
        <v>0.13747430356941301</v>
      </c>
      <c r="AM1036" s="14">
        <v>0.105331206888702</v>
      </c>
      <c r="AN1036" s="14">
        <v>9.6806110361379094E-2</v>
      </c>
      <c r="AO1036" s="14"/>
      <c r="AP1036" s="14">
        <v>9.6599543162085494E-2</v>
      </c>
      <c r="AQ1036" s="14">
        <v>4.5222883692441901E-2</v>
      </c>
      <c r="AR1036" s="14"/>
      <c r="AS1036" s="14" t="s">
        <v>88</v>
      </c>
      <c r="AT1036" s="14">
        <v>7.4453774312913001E-2</v>
      </c>
      <c r="AU1036" s="14">
        <v>0</v>
      </c>
      <c r="AV1036" s="14"/>
      <c r="AW1036" s="14">
        <v>8.6568299258525605E-2</v>
      </c>
      <c r="AX1036" s="14">
        <v>4.1131348085624297E-2</v>
      </c>
      <c r="AY1036" s="14"/>
      <c r="AZ1036" s="14">
        <v>4.8469555629077399E-2</v>
      </c>
      <c r="BA1036" s="14">
        <v>0.166672947254913</v>
      </c>
    </row>
    <row r="1037" spans="2:53" x14ac:dyDescent="0.35">
      <c r="B1037" t="s">
        <v>223</v>
      </c>
      <c r="C1037" s="14">
        <v>8.43073189078224E-3</v>
      </c>
      <c r="D1037" s="14">
        <v>0</v>
      </c>
      <c r="E1037" s="14">
        <v>1.42314076650654E-2</v>
      </c>
      <c r="F1037" s="14"/>
      <c r="G1037" s="14" t="s">
        <v>88</v>
      </c>
      <c r="H1037" s="14">
        <v>0</v>
      </c>
      <c r="I1037" s="14">
        <v>0</v>
      </c>
      <c r="J1037" s="14">
        <v>4.6457716162975199E-2</v>
      </c>
      <c r="K1037" s="14">
        <v>0</v>
      </c>
      <c r="L1037" s="14">
        <v>0</v>
      </c>
      <c r="M1037" s="14"/>
      <c r="N1037" s="14">
        <v>1.1475649807777299E-2</v>
      </c>
      <c r="O1037" s="14">
        <v>0</v>
      </c>
      <c r="P1037" s="14">
        <v>0</v>
      </c>
      <c r="Q1037" s="14">
        <v>2.0683985038853998E-2</v>
      </c>
      <c r="R1037" s="14"/>
      <c r="S1037" s="14">
        <v>0</v>
      </c>
      <c r="T1037" s="14">
        <v>5.1653769599595702E-2</v>
      </c>
      <c r="U1037" s="14">
        <v>0</v>
      </c>
      <c r="V1037" s="14">
        <v>0</v>
      </c>
      <c r="W1037" s="14">
        <v>0</v>
      </c>
      <c r="X1037" s="14">
        <v>0</v>
      </c>
      <c r="Y1037" s="14">
        <v>0</v>
      </c>
      <c r="Z1037" s="14">
        <v>0</v>
      </c>
      <c r="AA1037" s="14">
        <v>0</v>
      </c>
      <c r="AB1037" s="14"/>
      <c r="AC1037" s="14">
        <v>4.0934676778681497E-2</v>
      </c>
      <c r="AD1037" s="14">
        <v>0</v>
      </c>
      <c r="AE1037" s="14">
        <v>8.2113277740145894E-3</v>
      </c>
      <c r="AF1037" s="14">
        <v>0</v>
      </c>
      <c r="AG1037" s="14">
        <v>0</v>
      </c>
      <c r="AH1037" s="14"/>
      <c r="AI1037" s="14">
        <v>0</v>
      </c>
      <c r="AJ1037" s="14">
        <v>0</v>
      </c>
      <c r="AK1037" s="14">
        <v>0</v>
      </c>
      <c r="AL1037" s="14">
        <v>4.6342717675459097E-2</v>
      </c>
      <c r="AM1037" s="14">
        <v>0</v>
      </c>
      <c r="AN1037" s="14">
        <v>6.2531528435877198E-2</v>
      </c>
      <c r="AO1037" s="14"/>
      <c r="AP1037" s="14">
        <v>0</v>
      </c>
      <c r="AQ1037" s="14">
        <v>1.9379520121573499E-2</v>
      </c>
      <c r="AR1037" s="14"/>
      <c r="AS1037" s="14" t="s">
        <v>88</v>
      </c>
      <c r="AT1037" s="14">
        <v>8.4539835843467793E-3</v>
      </c>
      <c r="AU1037" s="14">
        <v>0</v>
      </c>
      <c r="AV1037" s="14"/>
      <c r="AW1037" s="14">
        <v>1.0849137381157E-2</v>
      </c>
      <c r="AX1037" s="14">
        <v>0</v>
      </c>
      <c r="AY1037" s="14"/>
      <c r="AZ1037" s="14">
        <v>0</v>
      </c>
      <c r="BA1037" s="14">
        <v>3.8656426019711601E-2</v>
      </c>
    </row>
    <row r="1038" spans="2:53" x14ac:dyDescent="0.35">
      <c r="B1038" t="s">
        <v>116</v>
      </c>
      <c r="C1038" s="14">
        <v>1.1802790835732799E-2</v>
      </c>
      <c r="D1038" s="14">
        <v>0</v>
      </c>
      <c r="E1038" s="14">
        <v>1.9923576048297999E-2</v>
      </c>
      <c r="F1038" s="14"/>
      <c r="G1038" s="14" t="s">
        <v>88</v>
      </c>
      <c r="H1038" s="14">
        <v>0</v>
      </c>
      <c r="I1038" s="14">
        <v>2.1370131340614398E-2</v>
      </c>
      <c r="J1038" s="14">
        <v>0</v>
      </c>
      <c r="K1038" s="14">
        <v>0</v>
      </c>
      <c r="L1038" s="14">
        <v>0</v>
      </c>
      <c r="M1038" s="14"/>
      <c r="N1038" s="14">
        <v>9.5495676988356995E-3</v>
      </c>
      <c r="O1038" s="14">
        <v>0</v>
      </c>
      <c r="P1038" s="14">
        <v>5.2444973071654501E-2</v>
      </c>
      <c r="Q1038" s="14">
        <v>0</v>
      </c>
      <c r="R1038" s="14"/>
      <c r="S1038" s="14">
        <v>0</v>
      </c>
      <c r="T1038" s="14">
        <v>0</v>
      </c>
      <c r="U1038" s="14">
        <v>0</v>
      </c>
      <c r="V1038" s="14">
        <v>0</v>
      </c>
      <c r="W1038" s="14">
        <v>5.42075510461602E-2</v>
      </c>
      <c r="X1038" s="14">
        <v>0</v>
      </c>
      <c r="Y1038" s="14">
        <v>4.9330312639393699E-2</v>
      </c>
      <c r="Z1038" s="14">
        <v>0</v>
      </c>
      <c r="AA1038" s="14">
        <v>0</v>
      </c>
      <c r="AB1038" s="14"/>
      <c r="AC1038" s="14">
        <v>0</v>
      </c>
      <c r="AD1038" s="14">
        <v>2.7991712266904101E-2</v>
      </c>
      <c r="AE1038" s="14">
        <v>1.56121308344347E-2</v>
      </c>
      <c r="AF1038" s="14">
        <v>0</v>
      </c>
      <c r="AG1038" s="14">
        <v>0</v>
      </c>
      <c r="AH1038" s="14"/>
      <c r="AI1038" s="14">
        <v>1.0301644577059701E-2</v>
      </c>
      <c r="AJ1038" s="14">
        <v>1.2222638061871099E-2</v>
      </c>
      <c r="AK1038" s="14">
        <v>0</v>
      </c>
      <c r="AL1038" s="14">
        <v>0</v>
      </c>
      <c r="AM1038" s="14">
        <v>0.10792456569269999</v>
      </c>
      <c r="AN1038" s="14">
        <v>0</v>
      </c>
      <c r="AO1038" s="14"/>
      <c r="AP1038" s="14">
        <v>1.68566954915234E-2</v>
      </c>
      <c r="AQ1038" s="14">
        <v>5.2394067153860701E-3</v>
      </c>
      <c r="AR1038" s="14"/>
      <c r="AS1038" s="14" t="s">
        <v>88</v>
      </c>
      <c r="AT1038" s="14">
        <v>1.1835342561878801E-2</v>
      </c>
      <c r="AU1038" s="14">
        <v>0</v>
      </c>
      <c r="AV1038" s="14"/>
      <c r="AW1038" s="14">
        <v>8.4869197130118899E-3</v>
      </c>
      <c r="AX1038" s="14">
        <v>0</v>
      </c>
      <c r="AY1038" s="14"/>
      <c r="AZ1038" s="14">
        <v>1.21798206777391E-2</v>
      </c>
      <c r="BA1038" s="14">
        <v>1.0451070862948501E-2</v>
      </c>
    </row>
    <row r="1039" spans="2:53" x14ac:dyDescent="0.35">
      <c r="B1039" t="s">
        <v>224</v>
      </c>
      <c r="C1039" s="14">
        <v>0.86957411227346604</v>
      </c>
      <c r="D1039" s="14">
        <v>0.93050257788853896</v>
      </c>
      <c r="E1039" s="14">
        <v>0.827652926896427</v>
      </c>
      <c r="F1039" s="14"/>
      <c r="G1039" s="14" t="s">
        <v>88</v>
      </c>
      <c r="H1039" s="14">
        <v>0.89607972177901196</v>
      </c>
      <c r="I1039" s="14">
        <v>0.848426767234849</v>
      </c>
      <c r="J1039" s="14">
        <v>0.86387285527681701</v>
      </c>
      <c r="K1039" s="14">
        <v>1</v>
      </c>
      <c r="L1039" s="14">
        <v>1</v>
      </c>
      <c r="M1039" s="14"/>
      <c r="N1039" s="14">
        <v>0.89767040392307196</v>
      </c>
      <c r="O1039" s="14">
        <v>0.91035096881094102</v>
      </c>
      <c r="P1039" s="14">
        <v>0.79538139215585202</v>
      </c>
      <c r="Q1039" s="14">
        <v>0.84903370132578104</v>
      </c>
      <c r="R1039" s="14"/>
      <c r="S1039" s="14">
        <v>0.88838033191106702</v>
      </c>
      <c r="T1039" s="14">
        <v>0.84979520659619301</v>
      </c>
      <c r="U1039" s="14">
        <v>0.93205159683057204</v>
      </c>
      <c r="V1039" s="14">
        <v>1</v>
      </c>
      <c r="W1039" s="14">
        <v>0.93145904037026295</v>
      </c>
      <c r="X1039" s="14">
        <v>0.80928214493962802</v>
      </c>
      <c r="Y1039" s="14">
        <v>0.77935155066293105</v>
      </c>
      <c r="Z1039" s="14">
        <v>0.89454778853921202</v>
      </c>
      <c r="AA1039" s="14">
        <v>0.85768612959481105</v>
      </c>
      <c r="AB1039" s="14"/>
      <c r="AC1039" s="14">
        <v>0.76825066317426804</v>
      </c>
      <c r="AD1039" s="14">
        <v>0.80649684911519004</v>
      </c>
      <c r="AE1039" s="14">
        <v>0.89516406581361896</v>
      </c>
      <c r="AF1039" s="14">
        <v>0.97819564458387998</v>
      </c>
      <c r="AG1039" s="14">
        <v>1</v>
      </c>
      <c r="AH1039" s="14"/>
      <c r="AI1039" s="14">
        <v>0.88776584686584403</v>
      </c>
      <c r="AJ1039" s="14">
        <v>0.95393335098592902</v>
      </c>
      <c r="AK1039" s="14">
        <v>0.97947371825745899</v>
      </c>
      <c r="AL1039" s="14">
        <v>0.81618297875512802</v>
      </c>
      <c r="AM1039" s="14">
        <v>0.78674422741859795</v>
      </c>
      <c r="AN1039" s="14">
        <v>0.75703300751674996</v>
      </c>
      <c r="AO1039" s="14"/>
      <c r="AP1039" s="14">
        <v>0.84889046119329503</v>
      </c>
      <c r="AQ1039" s="14">
        <v>0.89643547122190803</v>
      </c>
      <c r="AR1039" s="14"/>
      <c r="AS1039" s="14" t="s">
        <v>88</v>
      </c>
      <c r="AT1039" s="14">
        <v>0.86921440177459297</v>
      </c>
      <c r="AU1039" s="14">
        <v>1</v>
      </c>
      <c r="AV1039" s="14"/>
      <c r="AW1039" s="14">
        <v>0.85581523508496604</v>
      </c>
      <c r="AX1039" s="14">
        <v>0.922345103621382</v>
      </c>
      <c r="AY1039" s="14"/>
      <c r="AZ1039" s="14">
        <v>0.916143053902575</v>
      </c>
      <c r="BA1039" s="14">
        <v>0.70261605882991995</v>
      </c>
    </row>
    <row r="1040" spans="2:53" x14ac:dyDescent="0.35"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</row>
    <row r="1041" spans="2:53" x14ac:dyDescent="0.35">
      <c r="B1041" s="6" t="s">
        <v>304</v>
      </c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</row>
    <row r="1042" spans="2:53" x14ac:dyDescent="0.35">
      <c r="B1042" s="30" t="s">
        <v>320</v>
      </c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</row>
    <row r="1043" spans="2:53" x14ac:dyDescent="0.35">
      <c r="B1043" t="s">
        <v>154</v>
      </c>
      <c r="C1043" s="14">
        <v>0.66505641935162996</v>
      </c>
      <c r="D1043" s="14">
        <v>0.58226670516689605</v>
      </c>
      <c r="E1043" s="14">
        <v>0.73373811572236003</v>
      </c>
      <c r="F1043" s="14"/>
      <c r="G1043" s="14">
        <v>1</v>
      </c>
      <c r="H1043" s="14">
        <v>0.70432179925063498</v>
      </c>
      <c r="I1043" s="14">
        <v>0.63037754454509998</v>
      </c>
      <c r="J1043" s="14">
        <v>0.65924420450171195</v>
      </c>
      <c r="K1043" s="14">
        <v>0.91986437453135395</v>
      </c>
      <c r="L1043" s="14">
        <v>0.34819201228478702</v>
      </c>
      <c r="M1043" s="14"/>
      <c r="N1043" s="14">
        <v>0.73973557840636694</v>
      </c>
      <c r="O1043" s="14">
        <v>0.730295769405364</v>
      </c>
      <c r="P1043" s="14">
        <v>0.513247519472813</v>
      </c>
      <c r="Q1043" s="14">
        <v>0.64569282206296597</v>
      </c>
      <c r="R1043" s="14"/>
      <c r="S1043" s="14">
        <v>0.69196917454402895</v>
      </c>
      <c r="T1043" s="14">
        <v>0.69057264395758899</v>
      </c>
      <c r="U1043" s="14">
        <v>0.79164107461840105</v>
      </c>
      <c r="V1043" s="14">
        <v>0.61651181673657596</v>
      </c>
      <c r="W1043" s="14">
        <v>0.62049532828123699</v>
      </c>
      <c r="X1043" s="14">
        <v>0.51085263593770402</v>
      </c>
      <c r="Y1043" s="14">
        <v>0.75428668892949502</v>
      </c>
      <c r="Z1043" s="14">
        <v>0.79446138445270897</v>
      </c>
      <c r="AA1043" s="14">
        <v>0.62728354148300103</v>
      </c>
      <c r="AB1043" s="14"/>
      <c r="AC1043" s="14">
        <v>0.56276592268509096</v>
      </c>
      <c r="AD1043" s="14">
        <v>0.70420264779820596</v>
      </c>
      <c r="AE1043" s="14">
        <v>0.66056426446209504</v>
      </c>
      <c r="AF1043" s="14">
        <v>0.71533338429483495</v>
      </c>
      <c r="AG1043" s="14">
        <v>0.88268980845103995</v>
      </c>
      <c r="AH1043" s="14"/>
      <c r="AI1043" s="14">
        <v>0.67497945759706701</v>
      </c>
      <c r="AJ1043" s="14">
        <v>0.61392254459946105</v>
      </c>
      <c r="AK1043" s="14">
        <v>0.68515943576236105</v>
      </c>
      <c r="AL1043" s="14">
        <v>0.65417362204807505</v>
      </c>
      <c r="AM1043" s="14">
        <v>0.66866575295287001</v>
      </c>
      <c r="AN1043" s="14">
        <v>0.721874513085356</v>
      </c>
      <c r="AO1043" s="14"/>
      <c r="AP1043" s="14">
        <v>0.64552507149556704</v>
      </c>
      <c r="AQ1043" s="14">
        <v>0.69080961828004905</v>
      </c>
      <c r="AR1043" s="14"/>
      <c r="AS1043" s="14" t="s">
        <v>88</v>
      </c>
      <c r="AT1043" s="14">
        <v>0.66448741909535902</v>
      </c>
      <c r="AU1043" s="14">
        <v>1</v>
      </c>
      <c r="AV1043" s="14"/>
      <c r="AW1043" s="14">
        <v>0.67002154681472403</v>
      </c>
      <c r="AX1043" s="14">
        <v>0.71146693988223797</v>
      </c>
      <c r="AY1043" s="14"/>
      <c r="AZ1043" s="14">
        <v>0.66336960989183402</v>
      </c>
      <c r="BA1043" s="14">
        <v>0.70653219394453204</v>
      </c>
    </row>
    <row r="1044" spans="2:53" x14ac:dyDescent="0.35">
      <c r="B1044" t="s">
        <v>155</v>
      </c>
      <c r="C1044" s="14">
        <v>0.171031065403069</v>
      </c>
      <c r="D1044" s="14">
        <v>0.202976040332247</v>
      </c>
      <c r="E1044" s="14">
        <v>0.14452976520820801</v>
      </c>
      <c r="F1044" s="14"/>
      <c r="G1044" s="14">
        <v>0</v>
      </c>
      <c r="H1044" s="14">
        <v>0.161843181234301</v>
      </c>
      <c r="I1044" s="14">
        <v>0.21108116773296601</v>
      </c>
      <c r="J1044" s="14">
        <v>0.102380553605743</v>
      </c>
      <c r="K1044" s="14">
        <v>8.0135625468646401E-2</v>
      </c>
      <c r="L1044" s="14">
        <v>0</v>
      </c>
      <c r="M1044" s="14"/>
      <c r="N1044" s="14">
        <v>0.123871084010023</v>
      </c>
      <c r="O1044" s="14">
        <v>0.180207364492286</v>
      </c>
      <c r="P1044" s="14">
        <v>0.24781606263637099</v>
      </c>
      <c r="Q1044" s="14">
        <v>0.148762160606428</v>
      </c>
      <c r="R1044" s="14"/>
      <c r="S1044" s="14">
        <v>0.15171050188609</v>
      </c>
      <c r="T1044" s="14">
        <v>0.21965428891959901</v>
      </c>
      <c r="U1044" s="14">
        <v>0.12039928870830199</v>
      </c>
      <c r="V1044" s="14">
        <v>0.294839248198009</v>
      </c>
      <c r="W1044" s="14">
        <v>0.13580663599965201</v>
      </c>
      <c r="X1044" s="14">
        <v>0.27229580511560803</v>
      </c>
      <c r="Y1044" s="14">
        <v>0.15630394528856101</v>
      </c>
      <c r="Z1044" s="14">
        <v>1.9121559737010602E-2</v>
      </c>
      <c r="AA1044" s="14">
        <v>8.1946864481819398E-2</v>
      </c>
      <c r="AB1044" s="14"/>
      <c r="AC1044" s="14">
        <v>0.182500710987443</v>
      </c>
      <c r="AD1044" s="14">
        <v>0.19453355084769899</v>
      </c>
      <c r="AE1044" s="14">
        <v>0.18244511705520999</v>
      </c>
      <c r="AF1044" s="14">
        <v>0.13608499374674399</v>
      </c>
      <c r="AG1044" s="14">
        <v>0</v>
      </c>
      <c r="AH1044" s="14"/>
      <c r="AI1044" s="14">
        <v>0.19064818774452899</v>
      </c>
      <c r="AJ1044" s="14">
        <v>0.238437097657799</v>
      </c>
      <c r="AK1044" s="14">
        <v>0.126448735113909</v>
      </c>
      <c r="AL1044" s="14">
        <v>0.124176584839937</v>
      </c>
      <c r="AM1044" s="14">
        <v>0</v>
      </c>
      <c r="AN1044" s="14">
        <v>0.18246676519251601</v>
      </c>
      <c r="AO1044" s="14"/>
      <c r="AP1044" s="14">
        <v>0.19932387629971399</v>
      </c>
      <c r="AQ1044" s="14">
        <v>0.13372537648517599</v>
      </c>
      <c r="AR1044" s="14"/>
      <c r="AS1044" s="14" t="s">
        <v>88</v>
      </c>
      <c r="AT1044" s="14">
        <v>0.17132161200753401</v>
      </c>
      <c r="AU1044" s="14">
        <v>0</v>
      </c>
      <c r="AV1044" s="14"/>
      <c r="AW1044" s="14">
        <v>0.15452804575543599</v>
      </c>
      <c r="AX1044" s="14">
        <v>0.18984767190235299</v>
      </c>
      <c r="AY1044" s="14"/>
      <c r="AZ1044" s="14">
        <v>0.180449799411147</v>
      </c>
      <c r="BA1044" s="14">
        <v>0.147796812235444</v>
      </c>
    </row>
    <row r="1045" spans="2:53" x14ac:dyDescent="0.35">
      <c r="B1045" t="s">
        <v>116</v>
      </c>
      <c r="C1045" s="14">
        <v>0.16391251524530101</v>
      </c>
      <c r="D1045" s="14">
        <v>0.214757254500858</v>
      </c>
      <c r="E1045" s="14">
        <v>0.121732119069432</v>
      </c>
      <c r="F1045" s="14"/>
      <c r="G1045" s="14">
        <v>0</v>
      </c>
      <c r="H1045" s="14">
        <v>0.13383501951506499</v>
      </c>
      <c r="I1045" s="14">
        <v>0.15854128772193399</v>
      </c>
      <c r="J1045" s="14">
        <v>0.238375241892545</v>
      </c>
      <c r="K1045" s="14">
        <v>0</v>
      </c>
      <c r="L1045" s="14">
        <v>0.65180798771521298</v>
      </c>
      <c r="M1045" s="14"/>
      <c r="N1045" s="14">
        <v>0.13639333758361</v>
      </c>
      <c r="O1045" s="14">
        <v>8.9496866102350206E-2</v>
      </c>
      <c r="P1045" s="14">
        <v>0.23893641789081499</v>
      </c>
      <c r="Q1045" s="14">
        <v>0.20554501733060601</v>
      </c>
      <c r="R1045" s="14"/>
      <c r="S1045" s="14">
        <v>0.15632032356987999</v>
      </c>
      <c r="T1045" s="14">
        <v>8.9773067122811995E-2</v>
      </c>
      <c r="U1045" s="14">
        <v>8.7959636673296801E-2</v>
      </c>
      <c r="V1045" s="14">
        <v>8.8648935065415199E-2</v>
      </c>
      <c r="W1045" s="14">
        <v>0.243698035719111</v>
      </c>
      <c r="X1045" s="14">
        <v>0.21685155894668801</v>
      </c>
      <c r="Y1045" s="14">
        <v>8.9409365781943598E-2</v>
      </c>
      <c r="Z1045" s="14">
        <v>0.18641705581028001</v>
      </c>
      <c r="AA1045" s="14">
        <v>0.29076959403517999</v>
      </c>
      <c r="AB1045" s="14"/>
      <c r="AC1045" s="14">
        <v>0.25473336632746602</v>
      </c>
      <c r="AD1045" s="14">
        <v>0.101263801354095</v>
      </c>
      <c r="AE1045" s="14">
        <v>0.15699061848269499</v>
      </c>
      <c r="AF1045" s="14">
        <v>0.14858162195842001</v>
      </c>
      <c r="AG1045" s="14">
        <v>0.11731019154896</v>
      </c>
      <c r="AH1045" s="14"/>
      <c r="AI1045" s="14">
        <v>0.134372354658404</v>
      </c>
      <c r="AJ1045" s="14">
        <v>0.14764035774274001</v>
      </c>
      <c r="AK1045" s="14">
        <v>0.18839182912373001</v>
      </c>
      <c r="AL1045" s="14">
        <v>0.22164979311198801</v>
      </c>
      <c r="AM1045" s="14">
        <v>0.33133424704712999</v>
      </c>
      <c r="AN1045" s="14">
        <v>9.5658721722127305E-2</v>
      </c>
      <c r="AO1045" s="14"/>
      <c r="AP1045" s="14">
        <v>0.155151052204719</v>
      </c>
      <c r="AQ1045" s="14">
        <v>0.17546500523477501</v>
      </c>
      <c r="AR1045" s="14"/>
      <c r="AS1045" s="14" t="s">
        <v>88</v>
      </c>
      <c r="AT1045" s="14">
        <v>0.16419096889710699</v>
      </c>
      <c r="AU1045" s="14">
        <v>0</v>
      </c>
      <c r="AV1045" s="14"/>
      <c r="AW1045" s="14">
        <v>0.17545040742984</v>
      </c>
      <c r="AX1045" s="14">
        <v>9.8685388215409606E-2</v>
      </c>
      <c r="AY1045" s="14"/>
      <c r="AZ1045" s="14">
        <v>0.15618059069701901</v>
      </c>
      <c r="BA1045" s="14">
        <v>0.14567099382002399</v>
      </c>
    </row>
    <row r="1046" spans="2:53" x14ac:dyDescent="0.35"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</row>
    <row r="1047" spans="2:53" x14ac:dyDescent="0.35">
      <c r="B1047" s="6" t="s">
        <v>305</v>
      </c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</row>
    <row r="1048" spans="2:53" x14ac:dyDescent="0.35">
      <c r="B1048" s="30" t="s">
        <v>328</v>
      </c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</row>
    <row r="1049" spans="2:53" x14ac:dyDescent="0.35">
      <c r="B1049" t="s">
        <v>214</v>
      </c>
      <c r="C1049" s="14">
        <v>0.19192732328187301</v>
      </c>
      <c r="D1049" s="14">
        <v>0.219398332053821</v>
      </c>
      <c r="E1049" s="14">
        <v>0.17384225658618899</v>
      </c>
      <c r="F1049" s="14"/>
      <c r="G1049" s="14">
        <v>0</v>
      </c>
      <c r="H1049" s="14">
        <v>0.22743139420481001</v>
      </c>
      <c r="I1049" s="14">
        <v>0.197990504601009</v>
      </c>
      <c r="J1049" s="14">
        <v>0.113083613963515</v>
      </c>
      <c r="K1049" s="14">
        <v>0.25832968021611202</v>
      </c>
      <c r="L1049" s="14">
        <v>0</v>
      </c>
      <c r="M1049" s="14"/>
      <c r="N1049" s="14">
        <v>0.216991907689354</v>
      </c>
      <c r="O1049" s="14">
        <v>0.15872356416556799</v>
      </c>
      <c r="P1049" s="14">
        <v>0.16079380782198799</v>
      </c>
      <c r="Q1049" s="14">
        <v>0.22492732156706699</v>
      </c>
      <c r="R1049" s="14"/>
      <c r="S1049" s="14">
        <v>0.18237214299375201</v>
      </c>
      <c r="T1049" s="14">
        <v>0.114828726910688</v>
      </c>
      <c r="U1049" s="14">
        <v>0.14408127642879301</v>
      </c>
      <c r="V1049" s="14">
        <v>1.7784766595922701E-2</v>
      </c>
      <c r="W1049" s="14">
        <v>0.18104546171705699</v>
      </c>
      <c r="X1049" s="14">
        <v>0.17055218711494399</v>
      </c>
      <c r="Y1049" s="14">
        <v>0.29952829007628701</v>
      </c>
      <c r="Z1049" s="14">
        <v>0.28922768565072798</v>
      </c>
      <c r="AA1049" s="14">
        <v>0.330661658319088</v>
      </c>
      <c r="AB1049" s="14"/>
      <c r="AC1049" s="14">
        <v>0.14475793588375799</v>
      </c>
      <c r="AD1049" s="14">
        <v>0.184361193016567</v>
      </c>
      <c r="AE1049" s="14">
        <v>0.21475973956119199</v>
      </c>
      <c r="AF1049" s="14">
        <v>0.22783851783513101</v>
      </c>
      <c r="AG1049" s="14">
        <v>0.14194068294767001</v>
      </c>
      <c r="AH1049" s="14"/>
      <c r="AI1049" s="14">
        <v>0.234933474733037</v>
      </c>
      <c r="AJ1049" s="14">
        <v>0.12968173584248599</v>
      </c>
      <c r="AK1049" s="14">
        <v>0.35762212310646502</v>
      </c>
      <c r="AL1049" s="14">
        <v>0.10647798248280101</v>
      </c>
      <c r="AM1049" s="14">
        <v>9.7285894492310399E-2</v>
      </c>
      <c r="AN1049" s="14">
        <v>0.168938687216207</v>
      </c>
      <c r="AO1049" s="14"/>
      <c r="AP1049" s="14">
        <v>0.21950837641533999</v>
      </c>
      <c r="AQ1049" s="14">
        <v>0.15794410138571799</v>
      </c>
      <c r="AR1049" s="14"/>
      <c r="AS1049" s="14" t="s">
        <v>88</v>
      </c>
      <c r="AT1049" s="14">
        <v>0.18986144627137599</v>
      </c>
      <c r="AU1049" s="14">
        <v>1</v>
      </c>
      <c r="AV1049" s="14"/>
      <c r="AW1049" s="14">
        <v>0.17081035643602399</v>
      </c>
      <c r="AX1049" s="14">
        <v>0.32253908214969301</v>
      </c>
      <c r="AY1049" s="14"/>
      <c r="AZ1049" s="14">
        <v>0.19269908902280899</v>
      </c>
      <c r="BA1049" s="14">
        <v>0.18943406431825</v>
      </c>
    </row>
    <row r="1050" spans="2:53" x14ac:dyDescent="0.35">
      <c r="B1050" t="s">
        <v>215</v>
      </c>
      <c r="C1050" s="14">
        <v>0.571414539993783</v>
      </c>
      <c r="D1050" s="14">
        <v>0.55500373947890003</v>
      </c>
      <c r="E1050" s="14">
        <v>0.58221830858870705</v>
      </c>
      <c r="F1050" s="14"/>
      <c r="G1050" s="14">
        <v>0</v>
      </c>
      <c r="H1050" s="14">
        <v>0.52682978521497303</v>
      </c>
      <c r="I1050" s="14">
        <v>0.57295783750243401</v>
      </c>
      <c r="J1050" s="14">
        <v>0.66685598247272504</v>
      </c>
      <c r="K1050" s="14">
        <v>0.52040173703269499</v>
      </c>
      <c r="L1050" s="14">
        <v>1</v>
      </c>
      <c r="M1050" s="14"/>
      <c r="N1050" s="14">
        <v>0.58117367265605502</v>
      </c>
      <c r="O1050" s="14">
        <v>0.61494258200674301</v>
      </c>
      <c r="P1050" s="14">
        <v>0.61493633274056703</v>
      </c>
      <c r="Q1050" s="14">
        <v>0.487943833952175</v>
      </c>
      <c r="R1050" s="14"/>
      <c r="S1050" s="14">
        <v>0.685091967163031</v>
      </c>
      <c r="T1050" s="14">
        <v>0.58275813545935995</v>
      </c>
      <c r="U1050" s="14">
        <v>0.75124919405844004</v>
      </c>
      <c r="V1050" s="14">
        <v>0.54496540190233</v>
      </c>
      <c r="W1050" s="14">
        <v>0.74397693432593504</v>
      </c>
      <c r="X1050" s="14">
        <v>0.54429111576407796</v>
      </c>
      <c r="Y1050" s="14">
        <v>0.36691482391404601</v>
      </c>
      <c r="Z1050" s="14">
        <v>0.46601942565943399</v>
      </c>
      <c r="AA1050" s="14">
        <v>0.42254138351334197</v>
      </c>
      <c r="AB1050" s="14"/>
      <c r="AC1050" s="14">
        <v>0.61707386771357098</v>
      </c>
      <c r="AD1050" s="14">
        <v>0.579609196490943</v>
      </c>
      <c r="AE1050" s="14">
        <v>0.499131636539491</v>
      </c>
      <c r="AF1050" s="14">
        <v>0.58015115624003</v>
      </c>
      <c r="AG1050" s="14">
        <v>0.598111330119523</v>
      </c>
      <c r="AH1050" s="14"/>
      <c r="AI1050" s="14">
        <v>0.56459131653311001</v>
      </c>
      <c r="AJ1050" s="14">
        <v>0.700516628884024</v>
      </c>
      <c r="AK1050" s="14">
        <v>0.42374159341154199</v>
      </c>
      <c r="AL1050" s="14">
        <v>0.61977567705316805</v>
      </c>
      <c r="AM1050" s="14">
        <v>0.57543958890765501</v>
      </c>
      <c r="AN1050" s="14">
        <v>0.63557091581921699</v>
      </c>
      <c r="AO1050" s="14"/>
      <c r="AP1050" s="14">
        <v>0.49835612788271499</v>
      </c>
      <c r="AQ1050" s="14">
        <v>0.66143141564160302</v>
      </c>
      <c r="AR1050" s="14"/>
      <c r="AS1050" s="14" t="s">
        <v>88</v>
      </c>
      <c r="AT1050" s="14">
        <v>0.57287538899369195</v>
      </c>
      <c r="AU1050" s="14">
        <v>0</v>
      </c>
      <c r="AV1050" s="14"/>
      <c r="AW1050" s="14">
        <v>0.56413371269752599</v>
      </c>
      <c r="AX1050" s="14">
        <v>0.552536099371983</v>
      </c>
      <c r="AY1050" s="14"/>
      <c r="AZ1050" s="14">
        <v>0.59304372577790299</v>
      </c>
      <c r="BA1050" s="14">
        <v>0.50153950088319899</v>
      </c>
    </row>
    <row r="1051" spans="2:53" x14ac:dyDescent="0.35">
      <c r="B1051" t="s">
        <v>216</v>
      </c>
      <c r="C1051" s="14">
        <v>0.116862084719717</v>
      </c>
      <c r="D1051" s="14">
        <v>0.15784371154910401</v>
      </c>
      <c r="E1051" s="14">
        <v>8.9882534727220006E-2</v>
      </c>
      <c r="F1051" s="14"/>
      <c r="G1051" s="14">
        <v>1</v>
      </c>
      <c r="H1051" s="14">
        <v>0.113017245528099</v>
      </c>
      <c r="I1051" s="14">
        <v>0.12213910065756001</v>
      </c>
      <c r="J1051" s="14">
        <v>6.9136491664253397E-2</v>
      </c>
      <c r="K1051" s="14">
        <v>0.129675334356086</v>
      </c>
      <c r="L1051" s="14">
        <v>0</v>
      </c>
      <c r="M1051" s="14"/>
      <c r="N1051" s="14">
        <v>0.11900016200744799</v>
      </c>
      <c r="O1051" s="14">
        <v>0.11143663016404901</v>
      </c>
      <c r="P1051" s="14">
        <v>0.118853712175746</v>
      </c>
      <c r="Q1051" s="14">
        <v>0.120250152028956</v>
      </c>
      <c r="R1051" s="14"/>
      <c r="S1051" s="14">
        <v>8.3061588594956701E-2</v>
      </c>
      <c r="T1051" s="14">
        <v>0.139670708354662</v>
      </c>
      <c r="U1051" s="14">
        <v>5.5574074368136897E-2</v>
      </c>
      <c r="V1051" s="14">
        <v>0.20292029874954601</v>
      </c>
      <c r="W1051" s="14">
        <v>7.4977603957008698E-2</v>
      </c>
      <c r="X1051" s="14">
        <v>0.103890548099036</v>
      </c>
      <c r="Y1051" s="14">
        <v>0.220535613895288</v>
      </c>
      <c r="Z1051" s="14">
        <v>0</v>
      </c>
      <c r="AA1051" s="14">
        <v>0.112588299854155</v>
      </c>
      <c r="AB1051" s="14"/>
      <c r="AC1051" s="14">
        <v>0.12567081591285301</v>
      </c>
      <c r="AD1051" s="14">
        <v>9.7861406284113606E-2</v>
      </c>
      <c r="AE1051" s="14">
        <v>0.10589060852476299</v>
      </c>
      <c r="AF1051" s="14">
        <v>0.12661661078303801</v>
      </c>
      <c r="AG1051" s="14">
        <v>0.25994798693280702</v>
      </c>
      <c r="AH1051" s="14"/>
      <c r="AI1051" s="14">
        <v>0.12782036871543101</v>
      </c>
      <c r="AJ1051" s="14">
        <v>6.6458358941696605E-2</v>
      </c>
      <c r="AK1051" s="14">
        <v>7.0569323239024498E-2</v>
      </c>
      <c r="AL1051" s="14">
        <v>0.176725496396715</v>
      </c>
      <c r="AM1051" s="14">
        <v>6.7569646149588297E-2</v>
      </c>
      <c r="AN1051" s="14">
        <v>6.0057184055074098E-2</v>
      </c>
      <c r="AO1051" s="14"/>
      <c r="AP1051" s="14">
        <v>0.15626196804795001</v>
      </c>
      <c r="AQ1051" s="14">
        <v>6.8316622320339998E-2</v>
      </c>
      <c r="AR1051" s="14"/>
      <c r="AS1051" s="14" t="s">
        <v>88</v>
      </c>
      <c r="AT1051" s="14">
        <v>0.11716084831014301</v>
      </c>
      <c r="AU1051" s="14">
        <v>0</v>
      </c>
      <c r="AV1051" s="14"/>
      <c r="AW1051" s="14">
        <v>0.122993066593751</v>
      </c>
      <c r="AX1051" s="14">
        <v>8.8922402245083396E-2</v>
      </c>
      <c r="AY1051" s="14"/>
      <c r="AZ1051" s="14">
        <v>0.120667784088736</v>
      </c>
      <c r="BA1051" s="14">
        <v>0.10456742902128</v>
      </c>
    </row>
    <row r="1052" spans="2:53" x14ac:dyDescent="0.35">
      <c r="B1052" t="s">
        <v>217</v>
      </c>
      <c r="C1052" s="14">
        <v>2.0697460907863698E-2</v>
      </c>
      <c r="D1052" s="14">
        <v>1.0254146478840501E-2</v>
      </c>
      <c r="E1052" s="14">
        <v>2.7572637554662001E-2</v>
      </c>
      <c r="F1052" s="14"/>
      <c r="G1052" s="14">
        <v>0</v>
      </c>
      <c r="H1052" s="14">
        <v>0</v>
      </c>
      <c r="I1052" s="14">
        <v>4.3048233652203997E-2</v>
      </c>
      <c r="J1052" s="14">
        <v>0</v>
      </c>
      <c r="K1052" s="14">
        <v>0</v>
      </c>
      <c r="L1052" s="14">
        <v>0</v>
      </c>
      <c r="M1052" s="14"/>
      <c r="N1052" s="14">
        <v>1.6216527566956501E-2</v>
      </c>
      <c r="O1052" s="14">
        <v>1.0436208865164E-2</v>
      </c>
      <c r="P1052" s="14">
        <v>2.8035604788481099E-2</v>
      </c>
      <c r="Q1052" s="14">
        <v>3.2949645841286498E-2</v>
      </c>
      <c r="R1052" s="14"/>
      <c r="S1052" s="14">
        <v>2.5801889638812098E-2</v>
      </c>
      <c r="T1052" s="14">
        <v>4.6680743800747E-2</v>
      </c>
      <c r="U1052" s="14">
        <v>0</v>
      </c>
      <c r="V1052" s="14">
        <v>0</v>
      </c>
      <c r="W1052" s="14">
        <v>0</v>
      </c>
      <c r="X1052" s="14">
        <v>0</v>
      </c>
      <c r="Y1052" s="14">
        <v>0</v>
      </c>
      <c r="Z1052" s="14">
        <v>9.1025014293674406E-2</v>
      </c>
      <c r="AA1052" s="14">
        <v>3.1240696387575699E-2</v>
      </c>
      <c r="AB1052" s="14"/>
      <c r="AC1052" s="14">
        <v>0</v>
      </c>
      <c r="AD1052" s="14">
        <v>1.7439254188972599E-2</v>
      </c>
      <c r="AE1052" s="14">
        <v>5.7060521606748203E-2</v>
      </c>
      <c r="AF1052" s="14">
        <v>0</v>
      </c>
      <c r="AG1052" s="14">
        <v>0</v>
      </c>
      <c r="AH1052" s="14"/>
      <c r="AI1052" s="14">
        <v>2.1876915633617201E-2</v>
      </c>
      <c r="AJ1052" s="14">
        <v>4.7169973381543398E-2</v>
      </c>
      <c r="AK1052" s="14">
        <v>0</v>
      </c>
      <c r="AL1052" s="14">
        <v>0</v>
      </c>
      <c r="AM1052" s="14">
        <v>0</v>
      </c>
      <c r="AN1052" s="14">
        <v>0</v>
      </c>
      <c r="AO1052" s="14"/>
      <c r="AP1052" s="14">
        <v>1.3646784880095301E-2</v>
      </c>
      <c r="AQ1052" s="14">
        <v>2.9384753840808901E-2</v>
      </c>
      <c r="AR1052" s="14"/>
      <c r="AS1052" s="14" t="s">
        <v>88</v>
      </c>
      <c r="AT1052" s="14">
        <v>2.0750374971037901E-2</v>
      </c>
      <c r="AU1052" s="14">
        <v>0</v>
      </c>
      <c r="AV1052" s="14"/>
      <c r="AW1052" s="14">
        <v>2.57808634619567E-2</v>
      </c>
      <c r="AX1052" s="14">
        <v>0</v>
      </c>
      <c r="AY1052" s="14"/>
      <c r="AZ1052" s="14">
        <v>1.6934703160855699E-2</v>
      </c>
      <c r="BA1052" s="14">
        <v>3.2853389816148201E-2</v>
      </c>
    </row>
    <row r="1053" spans="2:53" x14ac:dyDescent="0.35">
      <c r="B1053" t="s">
        <v>116</v>
      </c>
      <c r="C1053" s="14">
        <v>7.7544114141458106E-2</v>
      </c>
      <c r="D1053" s="14">
        <v>4.4684446468600703E-2</v>
      </c>
      <c r="E1053" s="14">
        <v>9.9176711851829996E-2</v>
      </c>
      <c r="F1053" s="14"/>
      <c r="G1053" s="14">
        <v>0</v>
      </c>
      <c r="H1053" s="14">
        <v>0.112249325940581</v>
      </c>
      <c r="I1053" s="14">
        <v>3.2949719668463003E-2</v>
      </c>
      <c r="J1053" s="14">
        <v>0.14554128408508299</v>
      </c>
      <c r="K1053" s="14">
        <v>9.1593248395106394E-2</v>
      </c>
      <c r="L1053" s="14">
        <v>0</v>
      </c>
      <c r="M1053" s="14"/>
      <c r="N1053" s="14">
        <v>1.5303655999573401E-2</v>
      </c>
      <c r="O1053" s="14">
        <v>9.4024805933312403E-2</v>
      </c>
      <c r="P1053" s="14">
        <v>7.7380542473218294E-2</v>
      </c>
      <c r="Q1053" s="14">
        <v>0.114808463201704</v>
      </c>
      <c r="R1053" s="14"/>
      <c r="S1053" s="14">
        <v>0</v>
      </c>
      <c r="T1053" s="14">
        <v>6.6203992763221406E-2</v>
      </c>
      <c r="U1053" s="14">
        <v>3.99516541010385E-2</v>
      </c>
      <c r="V1053" s="14">
        <v>0.234329532752202</v>
      </c>
      <c r="W1053" s="14">
        <v>0</v>
      </c>
      <c r="X1053" s="14">
        <v>0.160569735164725</v>
      </c>
      <c r="Y1053" s="14">
        <v>0.11302127211438</v>
      </c>
      <c r="Z1053" s="14">
        <v>0.153727874396164</v>
      </c>
      <c r="AA1053" s="14">
        <v>5.8707923567533002E-2</v>
      </c>
      <c r="AB1053" s="14"/>
      <c r="AC1053" s="14">
        <v>9.77655166345167E-2</v>
      </c>
      <c r="AD1053" s="14">
        <v>0.116740546250767</v>
      </c>
      <c r="AE1053" s="14">
        <v>0.101828935210123</v>
      </c>
      <c r="AF1053" s="14">
        <v>2.05630673139073E-2</v>
      </c>
      <c r="AG1053" s="14">
        <v>0</v>
      </c>
      <c r="AH1053" s="14"/>
      <c r="AI1053" s="14">
        <v>2.7643908499831799E-2</v>
      </c>
      <c r="AJ1053" s="14">
        <v>4.3964271743657399E-2</v>
      </c>
      <c r="AK1053" s="14">
        <v>5.7433198789817799E-2</v>
      </c>
      <c r="AL1053" s="14">
        <v>9.7020844067316495E-2</v>
      </c>
      <c r="AM1053" s="14">
        <v>0.24218828964445799</v>
      </c>
      <c r="AN1053" s="14">
        <v>8.9566072680671793E-2</v>
      </c>
      <c r="AO1053" s="14"/>
      <c r="AP1053" s="14">
        <v>8.3042339056892497E-2</v>
      </c>
      <c r="AQ1053" s="14">
        <v>7.07696303524597E-2</v>
      </c>
      <c r="AR1053" s="14"/>
      <c r="AS1053" s="14" t="s">
        <v>88</v>
      </c>
      <c r="AT1053" s="14">
        <v>7.7742359432159902E-2</v>
      </c>
      <c r="AU1053" s="14">
        <v>0</v>
      </c>
      <c r="AV1053" s="14"/>
      <c r="AW1053" s="14">
        <v>9.6589346290286496E-2</v>
      </c>
      <c r="AX1053" s="14">
        <v>0</v>
      </c>
      <c r="AY1053" s="14"/>
      <c r="AZ1053" s="14">
        <v>5.5951518272805402E-2</v>
      </c>
      <c r="BA1053" s="14">
        <v>0.147300946223824</v>
      </c>
    </row>
    <row r="1054" spans="2:53" x14ac:dyDescent="0.35"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</row>
    <row r="1055" spans="2:53" x14ac:dyDescent="0.35">
      <c r="B1055" s="6" t="s">
        <v>306</v>
      </c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</row>
    <row r="1056" spans="2:53" x14ac:dyDescent="0.35">
      <c r="B1056" s="30" t="s">
        <v>328</v>
      </c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</row>
    <row r="1057" spans="2:53" x14ac:dyDescent="0.35">
      <c r="B1057" t="s">
        <v>220</v>
      </c>
      <c r="C1057" s="14">
        <v>0.20163868458322001</v>
      </c>
      <c r="D1057" s="14">
        <v>0.2165786728687</v>
      </c>
      <c r="E1057" s="14">
        <v>0.19180319995218101</v>
      </c>
      <c r="F1057" s="14"/>
      <c r="G1057" s="14">
        <v>0</v>
      </c>
      <c r="H1057" s="14">
        <v>0.187211817617388</v>
      </c>
      <c r="I1057" s="14">
        <v>0.23618671499421001</v>
      </c>
      <c r="J1057" s="14">
        <v>0.13366572922112499</v>
      </c>
      <c r="K1057" s="14">
        <v>0.23881959997612401</v>
      </c>
      <c r="L1057" s="14">
        <v>0</v>
      </c>
      <c r="M1057" s="14"/>
      <c r="N1057" s="14">
        <v>0.28169109426397898</v>
      </c>
      <c r="O1057" s="14">
        <v>0.175593470212388</v>
      </c>
      <c r="P1057" s="14">
        <v>8.7397767057634301E-2</v>
      </c>
      <c r="Q1057" s="14">
        <v>0.22061470971872499</v>
      </c>
      <c r="R1057" s="14"/>
      <c r="S1057" s="14">
        <v>0.192855174348458</v>
      </c>
      <c r="T1057" s="14">
        <v>0.176929348165</v>
      </c>
      <c r="U1057" s="14">
        <v>0.24314920934311299</v>
      </c>
      <c r="V1057" s="14">
        <v>0.22740942286285501</v>
      </c>
      <c r="W1057" s="14">
        <v>0.17554360337540401</v>
      </c>
      <c r="X1057" s="14">
        <v>0.16067929832032599</v>
      </c>
      <c r="Y1057" s="14">
        <v>0.19061402872050201</v>
      </c>
      <c r="Z1057" s="14">
        <v>0.28922768565072798</v>
      </c>
      <c r="AA1057" s="14">
        <v>0.22326270075969901</v>
      </c>
      <c r="AB1057" s="14"/>
      <c r="AC1057" s="14">
        <v>0.233282721600127</v>
      </c>
      <c r="AD1057" s="14">
        <v>0.14783051435983199</v>
      </c>
      <c r="AE1057" s="14">
        <v>0.17539860177812699</v>
      </c>
      <c r="AF1057" s="14">
        <v>0.30259350627734299</v>
      </c>
      <c r="AG1057" s="14">
        <v>0.17439824328094999</v>
      </c>
      <c r="AH1057" s="14"/>
      <c r="AI1057" s="14">
        <v>0.20441898602139599</v>
      </c>
      <c r="AJ1057" s="14">
        <v>0.14954878608990499</v>
      </c>
      <c r="AK1057" s="14">
        <v>0.33255470161616602</v>
      </c>
      <c r="AL1057" s="14">
        <v>0.212406357764895</v>
      </c>
      <c r="AM1057" s="14">
        <v>0.29387618750914801</v>
      </c>
      <c r="AN1057" s="14">
        <v>0.20310777383165499</v>
      </c>
      <c r="AO1057" s="14"/>
      <c r="AP1057" s="14">
        <v>0.17413227788469601</v>
      </c>
      <c r="AQ1057" s="14">
        <v>0.23552993296588601</v>
      </c>
      <c r="AR1057" s="14"/>
      <c r="AS1057" s="14" t="s">
        <v>88</v>
      </c>
      <c r="AT1057" s="14">
        <v>0.202154183665059</v>
      </c>
      <c r="AU1057" s="14">
        <v>0</v>
      </c>
      <c r="AV1057" s="14"/>
      <c r="AW1057" s="14">
        <v>0.16618840896386999</v>
      </c>
      <c r="AX1057" s="14">
        <v>0.33410296272185902</v>
      </c>
      <c r="AY1057" s="14"/>
      <c r="AZ1057" s="14">
        <v>0.217341353692734</v>
      </c>
      <c r="BA1057" s="14">
        <v>0.15090979311595801</v>
      </c>
    </row>
    <row r="1058" spans="2:53" x14ac:dyDescent="0.35">
      <c r="B1058" t="s">
        <v>221</v>
      </c>
      <c r="C1058" s="14">
        <v>0.54700983596988995</v>
      </c>
      <c r="D1058" s="14">
        <v>0.53470937935387497</v>
      </c>
      <c r="E1058" s="14">
        <v>0.55510763027132004</v>
      </c>
      <c r="F1058" s="14"/>
      <c r="G1058" s="14">
        <v>0</v>
      </c>
      <c r="H1058" s="14">
        <v>0.501312064901275</v>
      </c>
      <c r="I1058" s="14">
        <v>0.50828137211885704</v>
      </c>
      <c r="J1058" s="14">
        <v>0.74006548683842599</v>
      </c>
      <c r="K1058" s="14">
        <v>0.539911817272683</v>
      </c>
      <c r="L1058" s="14">
        <v>1</v>
      </c>
      <c r="M1058" s="14"/>
      <c r="N1058" s="14">
        <v>0.57348303527966005</v>
      </c>
      <c r="O1058" s="14">
        <v>0.56271322745368502</v>
      </c>
      <c r="P1058" s="14">
        <v>0.58550270256499004</v>
      </c>
      <c r="Q1058" s="14">
        <v>0.48383538338145099</v>
      </c>
      <c r="R1058" s="14"/>
      <c r="S1058" s="14">
        <v>0.65012884546124206</v>
      </c>
      <c r="T1058" s="14">
        <v>0.498469464242081</v>
      </c>
      <c r="U1058" s="14">
        <v>0.60377416331606104</v>
      </c>
      <c r="V1058" s="14">
        <v>0.46055478019734503</v>
      </c>
      <c r="W1058" s="14">
        <v>0.682090944826655</v>
      </c>
      <c r="X1058" s="14">
        <v>0.50897705316988395</v>
      </c>
      <c r="Y1058" s="14">
        <v>0.46232793604328798</v>
      </c>
      <c r="Z1058" s="14">
        <v>0.61974730005559797</v>
      </c>
      <c r="AA1058" s="14">
        <v>0.48294115247036401</v>
      </c>
      <c r="AB1058" s="14"/>
      <c r="AC1058" s="14">
        <v>0.58890826303754096</v>
      </c>
      <c r="AD1058" s="14">
        <v>0.56520786806926304</v>
      </c>
      <c r="AE1058" s="14">
        <v>0.51491347336159898</v>
      </c>
      <c r="AF1058" s="14">
        <v>0.48977045526662699</v>
      </c>
      <c r="AG1058" s="14">
        <v>0.51404425794949904</v>
      </c>
      <c r="AH1058" s="14"/>
      <c r="AI1058" s="14">
        <v>0.54300739227492301</v>
      </c>
      <c r="AJ1058" s="14">
        <v>0.62497426947293799</v>
      </c>
      <c r="AK1058" s="14">
        <v>0.40127785285568701</v>
      </c>
      <c r="AL1058" s="14">
        <v>0.64336070615052099</v>
      </c>
      <c r="AM1058" s="14">
        <v>0.39636587669680701</v>
      </c>
      <c r="AN1058" s="14">
        <v>0.45220558781245002</v>
      </c>
      <c r="AO1058" s="14"/>
      <c r="AP1058" s="14">
        <v>0.52874362212301396</v>
      </c>
      <c r="AQ1058" s="14">
        <v>0.56951603960748098</v>
      </c>
      <c r="AR1058" s="14"/>
      <c r="AS1058" s="14" t="s">
        <v>88</v>
      </c>
      <c r="AT1058" s="14">
        <v>0.54840829315970097</v>
      </c>
      <c r="AU1058" s="14">
        <v>0</v>
      </c>
      <c r="AV1058" s="14"/>
      <c r="AW1058" s="14">
        <v>0.56243612107741203</v>
      </c>
      <c r="AX1058" s="14">
        <v>0.50155721738603198</v>
      </c>
      <c r="AY1058" s="14"/>
      <c r="AZ1058" s="14">
        <v>0.54649027797044702</v>
      </c>
      <c r="BA1058" s="14">
        <v>0.54868831503487603</v>
      </c>
    </row>
    <row r="1059" spans="2:53" x14ac:dyDescent="0.35">
      <c r="B1059" t="s">
        <v>222</v>
      </c>
      <c r="C1059" s="14">
        <v>0.15796822705545799</v>
      </c>
      <c r="D1059" s="14">
        <v>0.20675394059730301</v>
      </c>
      <c r="E1059" s="14">
        <v>0.125850990643603</v>
      </c>
      <c r="F1059" s="14"/>
      <c r="G1059" s="14">
        <v>0</v>
      </c>
      <c r="H1059" s="14">
        <v>0.233010938808836</v>
      </c>
      <c r="I1059" s="14">
        <v>0.14793682483818299</v>
      </c>
      <c r="J1059" s="14">
        <v>5.8529065894768702E-2</v>
      </c>
      <c r="K1059" s="14">
        <v>0.22126858275119299</v>
      </c>
      <c r="L1059" s="14">
        <v>0</v>
      </c>
      <c r="M1059" s="14"/>
      <c r="N1059" s="14">
        <v>6.02903871522028E-2</v>
      </c>
      <c r="O1059" s="14">
        <v>0.19108641151877101</v>
      </c>
      <c r="P1059" s="14">
        <v>0.23584975249496101</v>
      </c>
      <c r="Q1059" s="14">
        <v>0.16612155295225001</v>
      </c>
      <c r="R1059" s="14"/>
      <c r="S1059" s="14">
        <v>0.133343568580852</v>
      </c>
      <c r="T1059" s="14">
        <v>0.164119232854785</v>
      </c>
      <c r="U1059" s="14">
        <v>5.6562492957059902E-2</v>
      </c>
      <c r="V1059" s="14">
        <v>0.24595092418753101</v>
      </c>
      <c r="W1059" s="14">
        <v>0.105210483246863</v>
      </c>
      <c r="X1059" s="14">
        <v>0.16058581706098901</v>
      </c>
      <c r="Y1059" s="14">
        <v>0.30444704842848402</v>
      </c>
      <c r="Z1059" s="14">
        <v>9.1025014293674406E-2</v>
      </c>
      <c r="AA1059" s="14">
        <v>0.137128866693322</v>
      </c>
      <c r="AB1059" s="14"/>
      <c r="AC1059" s="14">
        <v>0.16307715150703</v>
      </c>
      <c r="AD1059" s="14">
        <v>0.18866457510721399</v>
      </c>
      <c r="AE1059" s="14">
        <v>0.18199458984363601</v>
      </c>
      <c r="AF1059" s="14">
        <v>9.1115426345191E-2</v>
      </c>
      <c r="AG1059" s="14">
        <v>0.25994798693280702</v>
      </c>
      <c r="AH1059" s="14"/>
      <c r="AI1059" s="14">
        <v>0.18730273998313501</v>
      </c>
      <c r="AJ1059" s="14">
        <v>0.107216180837566</v>
      </c>
      <c r="AK1059" s="14">
        <v>8.2669664246912203E-2</v>
      </c>
      <c r="AL1059" s="14">
        <v>7.9962213093295403E-2</v>
      </c>
      <c r="AM1059" s="14">
        <v>0.23929208230306601</v>
      </c>
      <c r="AN1059" s="14">
        <v>0.236881015597766</v>
      </c>
      <c r="AO1059" s="14"/>
      <c r="AP1059" s="14">
        <v>0.20730270190505901</v>
      </c>
      <c r="AQ1059" s="14">
        <v>9.7182136044672102E-2</v>
      </c>
      <c r="AR1059" s="14"/>
      <c r="AS1059" s="14" t="s">
        <v>88</v>
      </c>
      <c r="AT1059" s="14">
        <v>0.15837208049347901</v>
      </c>
      <c r="AU1059" s="14">
        <v>0</v>
      </c>
      <c r="AV1059" s="14"/>
      <c r="AW1059" s="14">
        <v>0.16636110246678401</v>
      </c>
      <c r="AX1059" s="14">
        <v>0.128337403658869</v>
      </c>
      <c r="AY1059" s="14"/>
      <c r="AZ1059" s="14">
        <v>0.146400255098424</v>
      </c>
      <c r="BA1059" s="14">
        <v>0.19533960575624101</v>
      </c>
    </row>
    <row r="1060" spans="2:53" x14ac:dyDescent="0.35">
      <c r="B1060" t="s">
        <v>223</v>
      </c>
      <c r="C1060" s="14">
        <v>2.9538494685943498E-2</v>
      </c>
      <c r="D1060" s="14">
        <v>1.9465469971737401E-2</v>
      </c>
      <c r="E1060" s="14">
        <v>3.61698974602645E-2</v>
      </c>
      <c r="F1060" s="14"/>
      <c r="G1060" s="14">
        <v>1</v>
      </c>
      <c r="H1060" s="14">
        <v>2.7815700301574101E-3</v>
      </c>
      <c r="I1060" s="14">
        <v>3.81497836539706E-2</v>
      </c>
      <c r="J1060" s="14">
        <v>1.52943095922032E-2</v>
      </c>
      <c r="K1060" s="14">
        <v>0</v>
      </c>
      <c r="L1060" s="14">
        <v>0</v>
      </c>
      <c r="M1060" s="14"/>
      <c r="N1060" s="14">
        <v>3.1094349423470302E-3</v>
      </c>
      <c r="O1060" s="14">
        <v>1.86963530332411E-2</v>
      </c>
      <c r="P1060" s="14">
        <v>3.9662749458250698E-2</v>
      </c>
      <c r="Q1060" s="14">
        <v>6.0948889091182699E-2</v>
      </c>
      <c r="R1060" s="14"/>
      <c r="S1060" s="14">
        <v>0</v>
      </c>
      <c r="T1060" s="14">
        <v>9.1101013064338404E-2</v>
      </c>
      <c r="U1060" s="14">
        <v>5.6562480282726799E-2</v>
      </c>
      <c r="V1060" s="14">
        <v>0</v>
      </c>
      <c r="W1060" s="14">
        <v>8.7075294489665899E-3</v>
      </c>
      <c r="X1060" s="14">
        <v>2.7679280481234601E-2</v>
      </c>
      <c r="Y1060" s="14">
        <v>0</v>
      </c>
      <c r="Z1060" s="14">
        <v>0</v>
      </c>
      <c r="AA1060" s="14">
        <v>3.1240696387575699E-2</v>
      </c>
      <c r="AB1060" s="14"/>
      <c r="AC1060" s="14">
        <v>0</v>
      </c>
      <c r="AD1060" s="14">
        <v>2.46717976963408E-2</v>
      </c>
      <c r="AE1060" s="14">
        <v>4.0594720355826203E-2</v>
      </c>
      <c r="AF1060" s="14">
        <v>3.8441440241073599E-2</v>
      </c>
      <c r="AG1060" s="14">
        <v>5.1609511836743997E-2</v>
      </c>
      <c r="AH1060" s="14"/>
      <c r="AI1060" s="14">
        <v>2.05977728585021E-2</v>
      </c>
      <c r="AJ1060" s="14">
        <v>6.20874604275106E-2</v>
      </c>
      <c r="AK1060" s="14">
        <v>0</v>
      </c>
      <c r="AL1060" s="14">
        <v>0</v>
      </c>
      <c r="AM1060" s="14">
        <v>0</v>
      </c>
      <c r="AN1060" s="14">
        <v>5.6408314322133397E-2</v>
      </c>
      <c r="AO1060" s="14"/>
      <c r="AP1060" s="14">
        <v>2.01520051555578E-2</v>
      </c>
      <c r="AQ1060" s="14">
        <v>4.1103794785016898E-2</v>
      </c>
      <c r="AR1060" s="14"/>
      <c r="AS1060" s="14" t="s">
        <v>88</v>
      </c>
      <c r="AT1060" s="14">
        <v>2.9614011280990601E-2</v>
      </c>
      <c r="AU1060" s="14">
        <v>0</v>
      </c>
      <c r="AV1060" s="14"/>
      <c r="AW1060" s="14">
        <v>3.5821051882214301E-2</v>
      </c>
      <c r="AX1060" s="14">
        <v>0</v>
      </c>
      <c r="AY1060" s="14"/>
      <c r="AZ1060" s="14">
        <v>2.8512398907841598E-2</v>
      </c>
      <c r="BA1060" s="14">
        <v>3.2853389816148201E-2</v>
      </c>
    </row>
    <row r="1061" spans="2:53" x14ac:dyDescent="0.35">
      <c r="B1061" t="s">
        <v>116</v>
      </c>
      <c r="C1061" s="14">
        <v>3.2065885270291299E-2</v>
      </c>
      <c r="D1061" s="14">
        <v>0</v>
      </c>
      <c r="E1061" s="14">
        <v>5.3175909972462201E-2</v>
      </c>
      <c r="F1061" s="14"/>
      <c r="G1061" s="14">
        <v>0</v>
      </c>
      <c r="H1061" s="14">
        <v>3.96406068957754E-2</v>
      </c>
      <c r="I1061" s="14">
        <v>3.7679004472954698E-2</v>
      </c>
      <c r="J1061" s="14">
        <v>1.6080200082882402E-2</v>
      </c>
      <c r="K1061" s="14">
        <v>0</v>
      </c>
      <c r="L1061" s="14">
        <v>0</v>
      </c>
      <c r="M1061" s="14"/>
      <c r="N1061" s="14">
        <v>8.4186190801783592E-3</v>
      </c>
      <c r="O1061" s="14">
        <v>5.1910537781914803E-2</v>
      </c>
      <c r="P1061" s="14">
        <v>2.5793514049054399E-2</v>
      </c>
      <c r="Q1061" s="14">
        <v>3.3527306044914197E-2</v>
      </c>
      <c r="R1061" s="14"/>
      <c r="S1061" s="14">
        <v>0</v>
      </c>
      <c r="T1061" s="14">
        <v>3.9046498134879398E-2</v>
      </c>
      <c r="U1061" s="14">
        <v>3.99516541010385E-2</v>
      </c>
      <c r="V1061" s="14">
        <v>6.6084872752268695E-2</v>
      </c>
      <c r="W1061" s="14">
        <v>0</v>
      </c>
      <c r="X1061" s="14">
        <v>8.2194538560603894E-2</v>
      </c>
      <c r="Y1061" s="14">
        <v>4.2610986807725203E-2</v>
      </c>
      <c r="Z1061" s="14">
        <v>0</v>
      </c>
      <c r="AA1061" s="14">
        <v>2.24586217632009E-2</v>
      </c>
      <c r="AB1061" s="14"/>
      <c r="AC1061" s="14">
        <v>0</v>
      </c>
      <c r="AD1061" s="14">
        <v>3.9009576324527402E-2</v>
      </c>
      <c r="AE1061" s="14">
        <v>5.2657051460658397E-2</v>
      </c>
      <c r="AF1061" s="14">
        <v>2.05630673139073E-2</v>
      </c>
      <c r="AG1061" s="14">
        <v>0</v>
      </c>
      <c r="AH1061" s="14"/>
      <c r="AI1061" s="14">
        <v>2.1539092977071999E-2</v>
      </c>
      <c r="AJ1061" s="14">
        <v>2.0629848330028299E-2</v>
      </c>
      <c r="AK1061" s="14">
        <v>5.7433198789817799E-2</v>
      </c>
      <c r="AL1061" s="14">
        <v>6.4270722991288706E-2</v>
      </c>
      <c r="AM1061" s="14">
        <v>0</v>
      </c>
      <c r="AN1061" s="14">
        <v>5.1397308435995603E-2</v>
      </c>
      <c r="AO1061" s="14"/>
      <c r="AP1061" s="14">
        <v>3.1762810633605601E-2</v>
      </c>
      <c r="AQ1061" s="14">
        <v>3.24393101928186E-2</v>
      </c>
      <c r="AR1061" s="14"/>
      <c r="AS1061" s="14" t="s">
        <v>88</v>
      </c>
      <c r="AT1061" s="14">
        <v>3.2147863262011203E-2</v>
      </c>
      <c r="AU1061" s="14">
        <v>0</v>
      </c>
      <c r="AV1061" s="14"/>
      <c r="AW1061" s="14">
        <v>3.9941431155261102E-2</v>
      </c>
      <c r="AX1061" s="14">
        <v>0</v>
      </c>
      <c r="AY1061" s="14"/>
      <c r="AZ1061" s="14">
        <v>2.2715639634780301E-2</v>
      </c>
      <c r="BA1061" s="14">
        <v>6.2272698693410997E-2</v>
      </c>
    </row>
    <row r="1062" spans="2:53" x14ac:dyDescent="0.35">
      <c r="B1062" t="s">
        <v>224</v>
      </c>
      <c r="C1062" s="14">
        <v>0.74864852055311004</v>
      </c>
      <c r="D1062" s="14">
        <v>0.751288052222575</v>
      </c>
      <c r="E1062" s="14">
        <v>0.74691083022350002</v>
      </c>
      <c r="F1062" s="14"/>
      <c r="G1062" s="14">
        <v>0</v>
      </c>
      <c r="H1062" s="14">
        <v>0.68852388251866403</v>
      </c>
      <c r="I1062" s="14">
        <v>0.744468087113067</v>
      </c>
      <c r="J1062" s="14">
        <v>0.87373121605955095</v>
      </c>
      <c r="K1062" s="14">
        <v>0.77873141724880701</v>
      </c>
      <c r="L1062" s="14">
        <v>1</v>
      </c>
      <c r="M1062" s="14"/>
      <c r="N1062" s="14">
        <v>0.85517412954364003</v>
      </c>
      <c r="O1062" s="14">
        <v>0.73830669766607304</v>
      </c>
      <c r="P1062" s="14">
        <v>0.67290046962262395</v>
      </c>
      <c r="Q1062" s="14">
        <v>0.70445009310017603</v>
      </c>
      <c r="R1062" s="14"/>
      <c r="S1062" s="14">
        <v>0.84298401980969995</v>
      </c>
      <c r="T1062" s="14">
        <v>0.675398812407081</v>
      </c>
      <c r="U1062" s="14">
        <v>0.84692337265917506</v>
      </c>
      <c r="V1062" s="14">
        <v>0.68796420306020001</v>
      </c>
      <c r="W1062" s="14">
        <v>0.85763454820205898</v>
      </c>
      <c r="X1062" s="14">
        <v>0.66965635149020997</v>
      </c>
      <c r="Y1062" s="14">
        <v>0.65294196476379096</v>
      </c>
      <c r="Z1062" s="14">
        <v>0.90897498570632596</v>
      </c>
      <c r="AA1062" s="14">
        <v>0.70620385323006296</v>
      </c>
      <c r="AB1062" s="14"/>
      <c r="AC1062" s="14">
        <v>0.82219098463766804</v>
      </c>
      <c r="AD1062" s="14">
        <v>0.71303838242909401</v>
      </c>
      <c r="AE1062" s="14">
        <v>0.69031207513972603</v>
      </c>
      <c r="AF1062" s="14">
        <v>0.79236396154396904</v>
      </c>
      <c r="AG1062" s="14">
        <v>0.68844250123044903</v>
      </c>
      <c r="AH1062" s="14"/>
      <c r="AI1062" s="14">
        <v>0.74742637829631797</v>
      </c>
      <c r="AJ1062" s="14">
        <v>0.77452305556284395</v>
      </c>
      <c r="AK1062" s="14">
        <v>0.73383255447185203</v>
      </c>
      <c r="AL1062" s="14">
        <v>0.85576706391541602</v>
      </c>
      <c r="AM1062" s="14">
        <v>0.69024206420595402</v>
      </c>
      <c r="AN1062" s="14">
        <v>0.65531336164410503</v>
      </c>
      <c r="AO1062" s="14"/>
      <c r="AP1062" s="14">
        <v>0.70287590000771005</v>
      </c>
      <c r="AQ1062" s="14">
        <v>0.80504597257336696</v>
      </c>
      <c r="AR1062" s="14"/>
      <c r="AS1062" s="14" t="s">
        <v>88</v>
      </c>
      <c r="AT1062" s="14">
        <v>0.75056247682475996</v>
      </c>
      <c r="AU1062" s="14">
        <v>0</v>
      </c>
      <c r="AV1062" s="14"/>
      <c r="AW1062" s="14">
        <v>0.72862453004128203</v>
      </c>
      <c r="AX1062" s="14">
        <v>0.83566018010789</v>
      </c>
      <c r="AY1062" s="14"/>
      <c r="AZ1062" s="14">
        <v>0.76383163166318102</v>
      </c>
      <c r="BA1062" s="14">
        <v>0.69959810815083401</v>
      </c>
    </row>
    <row r="1063" spans="2:53" x14ac:dyDescent="0.35"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</row>
    <row r="1064" spans="2:53" x14ac:dyDescent="0.35">
      <c r="B1064" s="6" t="s">
        <v>307</v>
      </c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</row>
    <row r="1065" spans="2:53" x14ac:dyDescent="0.35">
      <c r="B1065" s="30" t="s">
        <v>328</v>
      </c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</row>
    <row r="1066" spans="2:53" x14ac:dyDescent="0.35">
      <c r="B1066" t="s">
        <v>226</v>
      </c>
      <c r="C1066" s="14">
        <v>0.185350244982916</v>
      </c>
      <c r="D1066" s="14">
        <v>0.229573491096493</v>
      </c>
      <c r="E1066" s="14">
        <v>0.15623663062302401</v>
      </c>
      <c r="F1066" s="14"/>
      <c r="G1066" s="14">
        <v>1</v>
      </c>
      <c r="H1066" s="14">
        <v>0.14306928167140401</v>
      </c>
      <c r="I1066" s="14">
        <v>0.195232691267505</v>
      </c>
      <c r="J1066" s="14">
        <v>0.124426881920292</v>
      </c>
      <c r="K1066" s="14">
        <v>0.33898431259922501</v>
      </c>
      <c r="L1066" s="14">
        <v>1</v>
      </c>
      <c r="M1066" s="14"/>
      <c r="N1066" s="14">
        <v>0.231541490608168</v>
      </c>
      <c r="O1066" s="14">
        <v>0.19832485380416301</v>
      </c>
      <c r="P1066" s="14">
        <v>8.3051846746192801E-2</v>
      </c>
      <c r="Q1066" s="14">
        <v>0.182728934033798</v>
      </c>
      <c r="R1066" s="14"/>
      <c r="S1066" s="14">
        <v>0.218695051198392</v>
      </c>
      <c r="T1066" s="14">
        <v>0.18654686325918701</v>
      </c>
      <c r="U1066" s="14">
        <v>0.147623481096056</v>
      </c>
      <c r="V1066" s="14">
        <v>6.52925333365489E-2</v>
      </c>
      <c r="W1066" s="14">
        <v>0.12901343852050701</v>
      </c>
      <c r="X1066" s="14">
        <v>0.18216335210586901</v>
      </c>
      <c r="Y1066" s="14">
        <v>0.19403246933065699</v>
      </c>
      <c r="Z1066" s="14">
        <v>0.28922768565072798</v>
      </c>
      <c r="AA1066" s="14">
        <v>0.23746819531265401</v>
      </c>
      <c r="AB1066" s="14"/>
      <c r="AC1066" s="14">
        <v>0.209418696072243</v>
      </c>
      <c r="AD1066" s="14">
        <v>8.5110818515417005E-2</v>
      </c>
      <c r="AE1066" s="14">
        <v>0.213599280917524</v>
      </c>
      <c r="AF1066" s="14">
        <v>0.248595021110051</v>
      </c>
      <c r="AG1066" s="14">
        <v>0.17439824328094999</v>
      </c>
      <c r="AH1066" s="14"/>
      <c r="AI1066" s="14">
        <v>0.27649686772133503</v>
      </c>
      <c r="AJ1066" s="14">
        <v>0.12559967887606299</v>
      </c>
      <c r="AK1066" s="14">
        <v>0.223231675470664</v>
      </c>
      <c r="AL1066" s="14">
        <v>0.11954097360624499</v>
      </c>
      <c r="AM1066" s="14">
        <v>0.16206913079301499</v>
      </c>
      <c r="AN1066" s="14">
        <v>0.105543382793402</v>
      </c>
      <c r="AO1066" s="14"/>
      <c r="AP1066" s="14">
        <v>0.18320988195808299</v>
      </c>
      <c r="AQ1066" s="14">
        <v>0.18798743331866299</v>
      </c>
      <c r="AR1066" s="14"/>
      <c r="AS1066" s="14" t="s">
        <v>88</v>
      </c>
      <c r="AT1066" s="14">
        <v>0.18582410187850501</v>
      </c>
      <c r="AU1066" s="14">
        <v>0</v>
      </c>
      <c r="AV1066" s="14"/>
      <c r="AW1066" s="14">
        <v>0.15742905400687601</v>
      </c>
      <c r="AX1066" s="14">
        <v>0.29546408812165398</v>
      </c>
      <c r="AY1066" s="14"/>
      <c r="AZ1066" s="14">
        <v>0.205697273850517</v>
      </c>
      <c r="BA1066" s="14">
        <v>0.119617329648134</v>
      </c>
    </row>
    <row r="1067" spans="2:53" x14ac:dyDescent="0.35">
      <c r="B1067" t="s">
        <v>227</v>
      </c>
      <c r="C1067" s="14">
        <v>0.50567029567993405</v>
      </c>
      <c r="D1067" s="14">
        <v>0.61020975045312498</v>
      </c>
      <c r="E1067" s="14">
        <v>0.43684854153182201</v>
      </c>
      <c r="F1067" s="14"/>
      <c r="G1067" s="14">
        <v>0</v>
      </c>
      <c r="H1067" s="14">
        <v>0.55514918769496502</v>
      </c>
      <c r="I1067" s="14">
        <v>0.51729671238749897</v>
      </c>
      <c r="J1067" s="14">
        <v>0.41935037428087901</v>
      </c>
      <c r="K1067" s="14">
        <v>0.54423122392619905</v>
      </c>
      <c r="L1067" s="14">
        <v>0</v>
      </c>
      <c r="M1067" s="14"/>
      <c r="N1067" s="14">
        <v>0.47343130711744202</v>
      </c>
      <c r="O1067" s="14">
        <v>0.47995566822007901</v>
      </c>
      <c r="P1067" s="14">
        <v>0.55962663883243002</v>
      </c>
      <c r="Q1067" s="14">
        <v>0.53646865507388097</v>
      </c>
      <c r="R1067" s="14"/>
      <c r="S1067" s="14">
        <v>0.50963177669347004</v>
      </c>
      <c r="T1067" s="14">
        <v>0.49131521674230599</v>
      </c>
      <c r="U1067" s="14">
        <v>0.59463036191695995</v>
      </c>
      <c r="V1067" s="14">
        <v>0.77360706282181502</v>
      </c>
      <c r="W1067" s="14">
        <v>0.52629534166075498</v>
      </c>
      <c r="X1067" s="14">
        <v>0.50118494747338904</v>
      </c>
      <c r="Y1067" s="14">
        <v>0.38687734537504698</v>
      </c>
      <c r="Z1067" s="14">
        <v>0.46601942565943399</v>
      </c>
      <c r="AA1067" s="14">
        <v>0.40732553441288999</v>
      </c>
      <c r="AB1067" s="14"/>
      <c r="AC1067" s="14">
        <v>0.54507900680801202</v>
      </c>
      <c r="AD1067" s="14">
        <v>0.46976637125845999</v>
      </c>
      <c r="AE1067" s="14">
        <v>0.444053695438545</v>
      </c>
      <c r="AF1067" s="14">
        <v>0.60415547166346295</v>
      </c>
      <c r="AG1067" s="14">
        <v>0.56565376978624304</v>
      </c>
      <c r="AH1067" s="14"/>
      <c r="AI1067" s="14">
        <v>0.47690834901212797</v>
      </c>
      <c r="AJ1067" s="14">
        <v>0.50094621606329304</v>
      </c>
      <c r="AK1067" s="14">
        <v>0.45800366359219302</v>
      </c>
      <c r="AL1067" s="14">
        <v>0.58597511945366698</v>
      </c>
      <c r="AM1067" s="14">
        <v>0.54233922870318996</v>
      </c>
      <c r="AN1067" s="14">
        <v>0.70313050468835203</v>
      </c>
      <c r="AO1067" s="14"/>
      <c r="AP1067" s="14">
        <v>0.50783955228880695</v>
      </c>
      <c r="AQ1067" s="14">
        <v>0.50299750692410505</v>
      </c>
      <c r="AR1067" s="14"/>
      <c r="AS1067" s="14" t="s">
        <v>88</v>
      </c>
      <c r="AT1067" s="14">
        <v>0.50696306632895405</v>
      </c>
      <c r="AU1067" s="14">
        <v>0</v>
      </c>
      <c r="AV1067" s="14"/>
      <c r="AW1067" s="14">
        <v>0.51837551496975198</v>
      </c>
      <c r="AX1067" s="14">
        <v>0.47471702997547899</v>
      </c>
      <c r="AY1067" s="14"/>
      <c r="AZ1067" s="14">
        <v>0.54017396215046998</v>
      </c>
      <c r="BA1067" s="14">
        <v>0.39420308336085602</v>
      </c>
    </row>
    <row r="1068" spans="2:53" x14ac:dyDescent="0.35">
      <c r="B1068" t="s">
        <v>228</v>
      </c>
      <c r="C1068" s="14">
        <v>0.209610274435446</v>
      </c>
      <c r="D1068" s="14">
        <v>0.11743354955084299</v>
      </c>
      <c r="E1068" s="14">
        <v>0.27029323774293301</v>
      </c>
      <c r="F1068" s="14"/>
      <c r="G1068" s="14">
        <v>0</v>
      </c>
      <c r="H1068" s="14">
        <v>0.212963064512387</v>
      </c>
      <c r="I1068" s="14">
        <v>0.17642431928350899</v>
      </c>
      <c r="J1068" s="14">
        <v>0.36273216191296698</v>
      </c>
      <c r="K1068" s="14">
        <v>2.51912150794701E-2</v>
      </c>
      <c r="L1068" s="14">
        <v>0</v>
      </c>
      <c r="M1068" s="14"/>
      <c r="N1068" s="14">
        <v>0.24651237856893801</v>
      </c>
      <c r="O1068" s="14">
        <v>0.21749993520192401</v>
      </c>
      <c r="P1068" s="14">
        <v>0.24032547410216201</v>
      </c>
      <c r="Q1068" s="14">
        <v>0.15032206155573899</v>
      </c>
      <c r="R1068" s="14"/>
      <c r="S1068" s="14">
        <v>0.23222609626257701</v>
      </c>
      <c r="T1068" s="14">
        <v>0.22559948348643799</v>
      </c>
      <c r="U1068" s="14">
        <v>0.16123200992888601</v>
      </c>
      <c r="V1068" s="14">
        <v>4.7507765544683903E-2</v>
      </c>
      <c r="W1068" s="14">
        <v>0.34469121981873801</v>
      </c>
      <c r="X1068" s="14">
        <v>0.24596547943327901</v>
      </c>
      <c r="Y1068" s="14">
        <v>0.26480390867731102</v>
      </c>
      <c r="Z1068" s="14">
        <v>0</v>
      </c>
      <c r="AA1068" s="14">
        <v>0.19957330916139801</v>
      </c>
      <c r="AB1068" s="14"/>
      <c r="AC1068" s="14">
        <v>0.21571340125666399</v>
      </c>
      <c r="AD1068" s="14">
        <v>0.33019673703802499</v>
      </c>
      <c r="AE1068" s="14">
        <v>0.211675624276386</v>
      </c>
      <c r="AF1068" s="14">
        <v>5.57173045001879E-2</v>
      </c>
      <c r="AG1068" s="14">
        <v>0</v>
      </c>
      <c r="AH1068" s="14"/>
      <c r="AI1068" s="14">
        <v>0.110499515497694</v>
      </c>
      <c r="AJ1068" s="14">
        <v>0.35282425673061502</v>
      </c>
      <c r="AK1068" s="14">
        <v>0.170697700694174</v>
      </c>
      <c r="AL1068" s="14">
        <v>0.19746306287277099</v>
      </c>
      <c r="AM1068" s="14">
        <v>0.25646372370019999</v>
      </c>
      <c r="AN1068" s="14">
        <v>0.14545897228941501</v>
      </c>
      <c r="AO1068" s="14"/>
      <c r="AP1068" s="14">
        <v>0.201140108370953</v>
      </c>
      <c r="AQ1068" s="14">
        <v>0.220046552248119</v>
      </c>
      <c r="AR1068" s="14"/>
      <c r="AS1068" s="14" t="s">
        <v>88</v>
      </c>
      <c r="AT1068" s="14">
        <v>0.207589604747655</v>
      </c>
      <c r="AU1068" s="14">
        <v>1</v>
      </c>
      <c r="AV1068" s="14"/>
      <c r="AW1068" s="14">
        <v>0.21903010594108999</v>
      </c>
      <c r="AX1068" s="14">
        <v>0.160827929302403</v>
      </c>
      <c r="AY1068" s="14"/>
      <c r="AZ1068" s="14">
        <v>0.16753186740308601</v>
      </c>
      <c r="BA1068" s="14">
        <v>0.345548370600673</v>
      </c>
    </row>
    <row r="1069" spans="2:53" x14ac:dyDescent="0.35">
      <c r="B1069" t="s">
        <v>229</v>
      </c>
      <c r="C1069" s="14">
        <v>4.1364208705904501E-2</v>
      </c>
      <c r="D1069" s="14">
        <v>1.8322741757199199E-2</v>
      </c>
      <c r="E1069" s="14">
        <v>5.6533162638140802E-2</v>
      </c>
      <c r="F1069" s="14"/>
      <c r="G1069" s="14">
        <v>0</v>
      </c>
      <c r="H1069" s="14">
        <v>2.0855172646167701E-2</v>
      </c>
      <c r="I1069" s="14">
        <v>5.1639300133426297E-2</v>
      </c>
      <c r="J1069" s="14">
        <v>6.0786616073915001E-2</v>
      </c>
      <c r="K1069" s="14">
        <v>0</v>
      </c>
      <c r="L1069" s="14">
        <v>0</v>
      </c>
      <c r="M1069" s="14"/>
      <c r="N1069" s="14">
        <v>9.9144008840190596E-3</v>
      </c>
      <c r="O1069" s="14">
        <v>2.8348236880735501E-2</v>
      </c>
      <c r="P1069" s="14">
        <v>0.116996040319215</v>
      </c>
      <c r="Q1069" s="14">
        <v>4.4882814041569803E-2</v>
      </c>
      <c r="R1069" s="14"/>
      <c r="S1069" s="14">
        <v>1.5774664236112498E-2</v>
      </c>
      <c r="T1069" s="14">
        <v>1.9523249172404999E-2</v>
      </c>
      <c r="U1069" s="14">
        <v>5.6562492957059902E-2</v>
      </c>
      <c r="V1069" s="14">
        <v>0</v>
      </c>
      <c r="W1069" s="14">
        <v>0</v>
      </c>
      <c r="X1069" s="14">
        <v>2.7679280481234601E-2</v>
      </c>
      <c r="Y1069" s="14">
        <v>7.1796625457624594E-2</v>
      </c>
      <c r="Z1069" s="14">
        <v>0.180459395185981</v>
      </c>
      <c r="AA1069" s="14">
        <v>7.4466415782325102E-2</v>
      </c>
      <c r="AB1069" s="14"/>
      <c r="AC1069" s="14">
        <v>2.9788895863082001E-2</v>
      </c>
      <c r="AD1069" s="14">
        <v>4.2111057413688001E-2</v>
      </c>
      <c r="AE1069" s="14">
        <v>4.2899249888044201E-2</v>
      </c>
      <c r="AF1069" s="14">
        <v>1.5625714518264E-2</v>
      </c>
      <c r="AG1069" s="14">
        <v>0.25994798693280702</v>
      </c>
      <c r="AH1069" s="14"/>
      <c r="AI1069" s="14">
        <v>8.3205121927359196E-2</v>
      </c>
      <c r="AJ1069" s="14">
        <v>0</v>
      </c>
      <c r="AK1069" s="14">
        <v>0</v>
      </c>
      <c r="AL1069" s="14">
        <v>3.0830438000982101E-2</v>
      </c>
      <c r="AM1069" s="14">
        <v>0</v>
      </c>
      <c r="AN1069" s="14">
        <v>4.5867140228830199E-2</v>
      </c>
      <c r="AO1069" s="14"/>
      <c r="AP1069" s="14">
        <v>4.6410493946648097E-2</v>
      </c>
      <c r="AQ1069" s="14">
        <v>3.5146569725346598E-2</v>
      </c>
      <c r="AR1069" s="14"/>
      <c r="AS1069" s="14" t="s">
        <v>88</v>
      </c>
      <c r="AT1069" s="14">
        <v>4.1469958312697203E-2</v>
      </c>
      <c r="AU1069" s="14">
        <v>0</v>
      </c>
      <c r="AV1069" s="14"/>
      <c r="AW1069" s="14">
        <v>3.7566082790098897E-2</v>
      </c>
      <c r="AX1069" s="14">
        <v>4.5585153672637602E-2</v>
      </c>
      <c r="AY1069" s="14"/>
      <c r="AZ1069" s="14">
        <v>3.7025559638380702E-2</v>
      </c>
      <c r="BA1069" s="14">
        <v>5.5380606563234097E-2</v>
      </c>
    </row>
    <row r="1070" spans="2:53" x14ac:dyDescent="0.35">
      <c r="B1070" t="s">
        <v>116</v>
      </c>
      <c r="C1070" s="14">
        <v>3.8668913266705698E-2</v>
      </c>
      <c r="D1070" s="14">
        <v>1.1644843171605201E-2</v>
      </c>
      <c r="E1070" s="14">
        <v>5.6459745562526101E-2</v>
      </c>
      <c r="F1070" s="14"/>
      <c r="G1070" s="14">
        <v>0</v>
      </c>
      <c r="H1070" s="14">
        <v>3.9083174513056103E-2</v>
      </c>
      <c r="I1070" s="14">
        <v>3.60458863015145E-2</v>
      </c>
      <c r="J1070" s="14">
        <v>3.2703965811946401E-2</v>
      </c>
      <c r="K1070" s="14">
        <v>9.1593248395106394E-2</v>
      </c>
      <c r="L1070" s="14">
        <v>0</v>
      </c>
      <c r="M1070" s="14"/>
      <c r="N1070" s="14">
        <v>0</v>
      </c>
      <c r="O1070" s="14">
        <v>7.5871305893098706E-2</v>
      </c>
      <c r="P1070" s="14">
        <v>0</v>
      </c>
      <c r="Q1070" s="14">
        <v>5.0645376483535898E-2</v>
      </c>
      <c r="R1070" s="14"/>
      <c r="S1070" s="14">
        <v>0</v>
      </c>
      <c r="T1070" s="14">
        <v>4.6680743800747E-2</v>
      </c>
      <c r="U1070" s="14">
        <v>3.99516541010385E-2</v>
      </c>
      <c r="V1070" s="14">
        <v>0.113592638296953</v>
      </c>
      <c r="W1070" s="14">
        <v>0</v>
      </c>
      <c r="X1070" s="14">
        <v>4.3006940506228102E-2</v>
      </c>
      <c r="Y1070" s="14">
        <v>6.4259533011694805E-2</v>
      </c>
      <c r="Z1070" s="14">
        <v>6.42934935038567E-2</v>
      </c>
      <c r="AA1070" s="14">
        <v>2.24586217632009E-2</v>
      </c>
      <c r="AB1070" s="14"/>
      <c r="AC1070" s="14">
        <v>0</v>
      </c>
      <c r="AD1070" s="14">
        <v>5.4394715372689001E-2</v>
      </c>
      <c r="AE1070" s="14">
        <v>7.4535912344270802E-2</v>
      </c>
      <c r="AF1070" s="14">
        <v>2.05630673139073E-2</v>
      </c>
      <c r="AG1070" s="14">
        <v>0</v>
      </c>
      <c r="AH1070" s="14"/>
      <c r="AI1070" s="14">
        <v>3.6016511513157802E-2</v>
      </c>
      <c r="AJ1070" s="14">
        <v>2.0629848330028299E-2</v>
      </c>
      <c r="AK1070" s="14">
        <v>5.7433198789817799E-2</v>
      </c>
      <c r="AL1070" s="14">
        <v>6.6190406066334306E-2</v>
      </c>
      <c r="AM1070" s="14">
        <v>0</v>
      </c>
      <c r="AN1070" s="14">
        <v>0</v>
      </c>
      <c r="AO1070" s="14"/>
      <c r="AP1070" s="14">
        <v>3.4707672695552701E-2</v>
      </c>
      <c r="AQ1070" s="14">
        <v>4.3549644856689898E-2</v>
      </c>
      <c r="AR1070" s="14"/>
      <c r="AS1070" s="14" t="s">
        <v>88</v>
      </c>
      <c r="AT1070" s="14">
        <v>3.8767772219916397E-2</v>
      </c>
      <c r="AU1070" s="14">
        <v>0</v>
      </c>
      <c r="AV1070" s="14"/>
      <c r="AW1070" s="14">
        <v>4.8166196693837898E-2</v>
      </c>
      <c r="AX1070" s="14">
        <v>0</v>
      </c>
      <c r="AY1070" s="14"/>
      <c r="AZ1070" s="14">
        <v>2.4249970796422101E-2</v>
      </c>
      <c r="BA1070" s="14">
        <v>8.5250609827103002E-2</v>
      </c>
    </row>
    <row r="1071" spans="2:53" x14ac:dyDescent="0.35"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</row>
    <row r="1072" spans="2:53" x14ac:dyDescent="0.35">
      <c r="B1072" s="6" t="s">
        <v>308</v>
      </c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</row>
    <row r="1073" spans="2:53" x14ac:dyDescent="0.35">
      <c r="B1073" s="30" t="s">
        <v>328</v>
      </c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</row>
    <row r="1074" spans="2:53" x14ac:dyDescent="0.35">
      <c r="B1074" t="s">
        <v>231</v>
      </c>
      <c r="C1074" s="14">
        <v>0.11208645604675101</v>
      </c>
      <c r="D1074" s="14">
        <v>9.1712241750830897E-2</v>
      </c>
      <c r="E1074" s="14">
        <v>0.12549947001623199</v>
      </c>
      <c r="F1074" s="14"/>
      <c r="G1074" s="14">
        <v>0</v>
      </c>
      <c r="H1074" s="14">
        <v>9.9988494145299298E-2</v>
      </c>
      <c r="I1074" s="14">
        <v>0.143915123317194</v>
      </c>
      <c r="J1074" s="14">
        <v>8.4401038346521198E-2</v>
      </c>
      <c r="K1074" s="14">
        <v>0</v>
      </c>
      <c r="L1074" s="14">
        <v>0</v>
      </c>
      <c r="M1074" s="14"/>
      <c r="N1074" s="14">
        <v>6.7276384903773995E-2</v>
      </c>
      <c r="O1074" s="14">
        <v>0.106212550745466</v>
      </c>
      <c r="P1074" s="14">
        <v>0.203119755311051</v>
      </c>
      <c r="Q1074" s="14">
        <v>0.11110118156333899</v>
      </c>
      <c r="R1074" s="14"/>
      <c r="S1074" s="14">
        <v>0.115087439940829</v>
      </c>
      <c r="T1074" s="14">
        <v>7.5876679365879204E-2</v>
      </c>
      <c r="U1074" s="14">
        <v>0.218423694903148</v>
      </c>
      <c r="V1074" s="14">
        <v>0</v>
      </c>
      <c r="W1074" s="14">
        <v>0.119415417405158</v>
      </c>
      <c r="X1074" s="14">
        <v>3.8502808245957303E-2</v>
      </c>
      <c r="Y1074" s="14">
        <v>9.4341183438762993E-2</v>
      </c>
      <c r="Z1074" s="14">
        <v>8.9434380892306806E-2</v>
      </c>
      <c r="AA1074" s="14">
        <v>0.205104087160353</v>
      </c>
      <c r="AB1074" s="14"/>
      <c r="AC1074" s="14">
        <v>7.77582887183388E-2</v>
      </c>
      <c r="AD1074" s="14">
        <v>0.119958227753088</v>
      </c>
      <c r="AE1074" s="14">
        <v>0.127682888829286</v>
      </c>
      <c r="AF1074" s="14">
        <v>6.6372919929586396E-2</v>
      </c>
      <c r="AG1074" s="14">
        <v>0</v>
      </c>
      <c r="AH1074" s="14"/>
      <c r="AI1074" s="14">
        <v>0.16138588206141699</v>
      </c>
      <c r="AJ1074" s="14">
        <v>0.11325980092141801</v>
      </c>
      <c r="AK1074" s="14">
        <v>3.5430821038266301E-2</v>
      </c>
      <c r="AL1074" s="14">
        <v>6.3577022378699805E-2</v>
      </c>
      <c r="AM1074" s="14">
        <v>6.3144458210316098E-2</v>
      </c>
      <c r="AN1074" s="14">
        <v>9.8098612213985206E-2</v>
      </c>
      <c r="AO1074" s="14"/>
      <c r="AP1074" s="14">
        <v>9.3614515772903598E-2</v>
      </c>
      <c r="AQ1074" s="14">
        <v>0.134846139737616</v>
      </c>
      <c r="AR1074" s="14"/>
      <c r="AS1074" s="14" t="s">
        <v>88</v>
      </c>
      <c r="AT1074" s="14">
        <v>0.109816461984816</v>
      </c>
      <c r="AU1074" s="14">
        <v>1</v>
      </c>
      <c r="AV1074" s="14"/>
      <c r="AW1074" s="14">
        <v>0.108386629413947</v>
      </c>
      <c r="AX1074" s="14">
        <v>0.111532284318151</v>
      </c>
      <c r="AY1074" s="14"/>
      <c r="AZ1074" s="14">
        <v>0.10776799336102599</v>
      </c>
      <c r="BA1074" s="14">
        <v>0.126037639973616</v>
      </c>
    </row>
    <row r="1075" spans="2:53" x14ac:dyDescent="0.35">
      <c r="B1075" t="s">
        <v>232</v>
      </c>
      <c r="C1075" s="14">
        <v>0.73389847514540996</v>
      </c>
      <c r="D1075" s="14">
        <v>0.77013160086091603</v>
      </c>
      <c r="E1075" s="14">
        <v>0.71004501928589303</v>
      </c>
      <c r="F1075" s="14"/>
      <c r="G1075" s="14">
        <v>0</v>
      </c>
      <c r="H1075" s="14">
        <v>0.75723895177988099</v>
      </c>
      <c r="I1075" s="14">
        <v>0.73411491752498104</v>
      </c>
      <c r="J1075" s="14">
        <v>0.72792426377466901</v>
      </c>
      <c r="K1075" s="14">
        <v>0.80256090414231096</v>
      </c>
      <c r="L1075" s="14">
        <v>0</v>
      </c>
      <c r="M1075" s="14"/>
      <c r="N1075" s="14">
        <v>0.80832630449065801</v>
      </c>
      <c r="O1075" s="14">
        <v>0.72139775921995397</v>
      </c>
      <c r="P1075" s="14">
        <v>0.74357657232057806</v>
      </c>
      <c r="Q1075" s="14">
        <v>0.67576948786124602</v>
      </c>
      <c r="R1075" s="14"/>
      <c r="S1075" s="14">
        <v>0.80431160579132999</v>
      </c>
      <c r="T1075" s="14">
        <v>0.69495401528256895</v>
      </c>
      <c r="U1075" s="14">
        <v>0.68605056947590504</v>
      </c>
      <c r="V1075" s="14">
        <v>0.88640736170304701</v>
      </c>
      <c r="W1075" s="14">
        <v>0.70481815088647903</v>
      </c>
      <c r="X1075" s="14">
        <v>0.87293432352877298</v>
      </c>
      <c r="Y1075" s="14">
        <v>0.64796999792069099</v>
      </c>
      <c r="Z1075" s="14">
        <v>0.55704443995310904</v>
      </c>
      <c r="AA1075" s="14">
        <v>0.70532187294701498</v>
      </c>
      <c r="AB1075" s="14"/>
      <c r="AC1075" s="14">
        <v>0.77961661437117202</v>
      </c>
      <c r="AD1075" s="14">
        <v>0.69020663537248095</v>
      </c>
      <c r="AE1075" s="14">
        <v>0.74941920616729796</v>
      </c>
      <c r="AF1075" s="14">
        <v>0.78600472384849196</v>
      </c>
      <c r="AG1075" s="14">
        <v>0.68844250123044903</v>
      </c>
      <c r="AH1075" s="14"/>
      <c r="AI1075" s="14">
        <v>0.71776375154237204</v>
      </c>
      <c r="AJ1075" s="14">
        <v>0.74651311073863902</v>
      </c>
      <c r="AK1075" s="14">
        <v>0.61333498146222698</v>
      </c>
      <c r="AL1075" s="14">
        <v>0.70351018568415302</v>
      </c>
      <c r="AM1075" s="14">
        <v>0.936855541789684</v>
      </c>
      <c r="AN1075" s="14">
        <v>0.87418962610680895</v>
      </c>
      <c r="AO1075" s="14"/>
      <c r="AP1075" s="14">
        <v>0.73574923271711101</v>
      </c>
      <c r="AQ1075" s="14">
        <v>0.73161811605503002</v>
      </c>
      <c r="AR1075" s="14"/>
      <c r="AS1075" s="14" t="s">
        <v>88</v>
      </c>
      <c r="AT1075" s="14">
        <v>0.735774722210215</v>
      </c>
      <c r="AU1075" s="14">
        <v>0</v>
      </c>
      <c r="AV1075" s="14"/>
      <c r="AW1075" s="14">
        <v>0.74667154720228901</v>
      </c>
      <c r="AX1075" s="14">
        <v>0.68202992275658603</v>
      </c>
      <c r="AY1075" s="14"/>
      <c r="AZ1075" s="14">
        <v>0.76088746019923803</v>
      </c>
      <c r="BA1075" s="14">
        <v>0.64670812017717705</v>
      </c>
    </row>
    <row r="1076" spans="2:53" x14ac:dyDescent="0.35">
      <c r="B1076" t="s">
        <v>233</v>
      </c>
      <c r="C1076" s="14">
        <v>0.10085332746155599</v>
      </c>
      <c r="D1076" s="14">
        <v>0.108552836498119</v>
      </c>
      <c r="E1076" s="14">
        <v>9.5784487958565395E-2</v>
      </c>
      <c r="F1076" s="14"/>
      <c r="G1076" s="14">
        <v>1</v>
      </c>
      <c r="H1076" s="14">
        <v>9.1230921806626106E-2</v>
      </c>
      <c r="I1076" s="14">
        <v>8.0271765299938305E-2</v>
      </c>
      <c r="J1076" s="14">
        <v>0.10786598494468499</v>
      </c>
      <c r="K1076" s="14">
        <v>0.10584584746258199</v>
      </c>
      <c r="L1076" s="14">
        <v>1</v>
      </c>
      <c r="M1076" s="14"/>
      <c r="N1076" s="14">
        <v>8.3429159351619195E-2</v>
      </c>
      <c r="O1076" s="14">
        <v>9.8694448838568205E-2</v>
      </c>
      <c r="P1076" s="14">
        <v>5.3303672368371698E-2</v>
      </c>
      <c r="Q1076" s="14">
        <v>0.14466803264609701</v>
      </c>
      <c r="R1076" s="14"/>
      <c r="S1076" s="14">
        <v>8.0600954267841293E-2</v>
      </c>
      <c r="T1076" s="14">
        <v>0.16025634831230201</v>
      </c>
      <c r="U1076" s="14">
        <v>5.5574081519908503E-2</v>
      </c>
      <c r="V1076" s="14">
        <v>0</v>
      </c>
      <c r="W1076" s="14">
        <v>0.17576643170836301</v>
      </c>
      <c r="X1076" s="14">
        <v>2.0696413857217402E-2</v>
      </c>
      <c r="Y1076" s="14">
        <v>0.19342928562885101</v>
      </c>
      <c r="Z1076" s="14">
        <v>0.28922768565072798</v>
      </c>
      <c r="AA1076" s="14">
        <v>8.4074945618981302E-3</v>
      </c>
      <c r="AB1076" s="14"/>
      <c r="AC1076" s="14">
        <v>0.142625096910489</v>
      </c>
      <c r="AD1076" s="14">
        <v>8.9149659643405293E-2</v>
      </c>
      <c r="AE1076" s="14">
        <v>5.4747446197855702E-2</v>
      </c>
      <c r="AF1076" s="14">
        <v>0.12705928890801399</v>
      </c>
      <c r="AG1076" s="14">
        <v>0.31155749876955102</v>
      </c>
      <c r="AH1076" s="14"/>
      <c r="AI1076" s="14">
        <v>9.2367369084535494E-2</v>
      </c>
      <c r="AJ1076" s="14">
        <v>7.77604335126372E-2</v>
      </c>
      <c r="AK1076" s="14">
        <v>0.29380099870968901</v>
      </c>
      <c r="AL1076" s="14">
        <v>0.16672238587081201</v>
      </c>
      <c r="AM1076" s="14">
        <v>0</v>
      </c>
      <c r="AN1076" s="14">
        <v>2.77117616792062E-2</v>
      </c>
      <c r="AO1076" s="14"/>
      <c r="AP1076" s="14">
        <v>0.11157710838782101</v>
      </c>
      <c r="AQ1076" s="14">
        <v>8.7640321235161397E-2</v>
      </c>
      <c r="AR1076" s="14"/>
      <c r="AS1076" s="14" t="s">
        <v>88</v>
      </c>
      <c r="AT1076" s="14">
        <v>0.101111163887212</v>
      </c>
      <c r="AU1076" s="14">
        <v>0</v>
      </c>
      <c r="AV1076" s="14"/>
      <c r="AW1076" s="14">
        <v>8.3584754889277302E-2</v>
      </c>
      <c r="AX1076" s="14">
        <v>0.181978364662435</v>
      </c>
      <c r="AY1076" s="14"/>
      <c r="AZ1076" s="14">
        <v>9.3375047025425401E-2</v>
      </c>
      <c r="BA1076" s="14">
        <v>0.12501258815541999</v>
      </c>
    </row>
    <row r="1077" spans="2:53" x14ac:dyDescent="0.35">
      <c r="B1077" t="s">
        <v>116</v>
      </c>
      <c r="C1077" s="14">
        <v>5.3161741346283702E-2</v>
      </c>
      <c r="D1077" s="14">
        <v>2.9603320890134101E-2</v>
      </c>
      <c r="E1077" s="14">
        <v>6.8671022739310097E-2</v>
      </c>
      <c r="F1077" s="14"/>
      <c r="G1077" s="14">
        <v>0</v>
      </c>
      <c r="H1077" s="14">
        <v>5.1541632268193797E-2</v>
      </c>
      <c r="I1077" s="14">
        <v>4.1698193857887499E-2</v>
      </c>
      <c r="J1077" s="14">
        <v>7.9808712934124101E-2</v>
      </c>
      <c r="K1077" s="14">
        <v>9.1593248395106394E-2</v>
      </c>
      <c r="L1077" s="14">
        <v>0</v>
      </c>
      <c r="M1077" s="14"/>
      <c r="N1077" s="14">
        <v>4.0968151253948301E-2</v>
      </c>
      <c r="O1077" s="14">
        <v>7.3695241196011702E-2</v>
      </c>
      <c r="P1077" s="14">
        <v>0</v>
      </c>
      <c r="Q1077" s="14">
        <v>6.8461297929317599E-2</v>
      </c>
      <c r="R1077" s="14"/>
      <c r="S1077" s="14">
        <v>0</v>
      </c>
      <c r="T1077" s="14">
        <v>6.89129570392501E-2</v>
      </c>
      <c r="U1077" s="14">
        <v>3.99516541010385E-2</v>
      </c>
      <c r="V1077" s="14">
        <v>0.113592638296953</v>
      </c>
      <c r="W1077" s="14">
        <v>0</v>
      </c>
      <c r="X1077" s="14">
        <v>6.7866454368051998E-2</v>
      </c>
      <c r="Y1077" s="14">
        <v>6.4259533011694805E-2</v>
      </c>
      <c r="Z1077" s="14">
        <v>6.42934935038567E-2</v>
      </c>
      <c r="AA1077" s="14">
        <v>8.1166545330734002E-2</v>
      </c>
      <c r="AB1077" s="14"/>
      <c r="AC1077" s="14">
        <v>0</v>
      </c>
      <c r="AD1077" s="14">
        <v>0.100685477231026</v>
      </c>
      <c r="AE1077" s="14">
        <v>6.8150458805560601E-2</v>
      </c>
      <c r="AF1077" s="14">
        <v>2.05630673139073E-2</v>
      </c>
      <c r="AG1077" s="14">
        <v>0</v>
      </c>
      <c r="AH1077" s="14"/>
      <c r="AI1077" s="14">
        <v>2.8482997311676E-2</v>
      </c>
      <c r="AJ1077" s="14">
        <v>6.24666548273064E-2</v>
      </c>
      <c r="AK1077" s="14">
        <v>5.7433198789817799E-2</v>
      </c>
      <c r="AL1077" s="14">
        <v>6.6190406066334306E-2</v>
      </c>
      <c r="AM1077" s="14">
        <v>0</v>
      </c>
      <c r="AN1077" s="14">
        <v>0</v>
      </c>
      <c r="AO1077" s="14"/>
      <c r="AP1077" s="14">
        <v>5.9059143122163898E-2</v>
      </c>
      <c r="AQ1077" s="14">
        <v>4.5895422972191798E-2</v>
      </c>
      <c r="AR1077" s="14"/>
      <c r="AS1077" s="14" t="s">
        <v>88</v>
      </c>
      <c r="AT1077" s="14">
        <v>5.3297651917757698E-2</v>
      </c>
      <c r="AU1077" s="14">
        <v>0</v>
      </c>
      <c r="AV1077" s="14"/>
      <c r="AW1077" s="14">
        <v>6.1357068494486203E-2</v>
      </c>
      <c r="AX1077" s="14">
        <v>2.4459428262827501E-2</v>
      </c>
      <c r="AY1077" s="14"/>
      <c r="AZ1077" s="14">
        <v>3.7969499414310201E-2</v>
      </c>
      <c r="BA1077" s="14">
        <v>0.102241651693787</v>
      </c>
    </row>
    <row r="1078" spans="2:53" x14ac:dyDescent="0.35"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</row>
    <row r="1079" spans="2:53" x14ac:dyDescent="0.35">
      <c r="B1079" s="6" t="s">
        <v>309</v>
      </c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</row>
    <row r="1080" spans="2:53" x14ac:dyDescent="0.35">
      <c r="B1080" s="30" t="s">
        <v>328</v>
      </c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</row>
    <row r="1081" spans="2:53" x14ac:dyDescent="0.35">
      <c r="B1081" t="s">
        <v>235</v>
      </c>
      <c r="C1081" s="14">
        <v>0.26480991965724499</v>
      </c>
      <c r="D1081" s="14">
        <v>0.34174338560641898</v>
      </c>
      <c r="E1081" s="14">
        <v>0.21416209400325101</v>
      </c>
      <c r="F1081" s="14"/>
      <c r="G1081" s="14">
        <v>0</v>
      </c>
      <c r="H1081" s="14">
        <v>0.22344574508228601</v>
      </c>
      <c r="I1081" s="14">
        <v>0.32877520381105901</v>
      </c>
      <c r="J1081" s="14">
        <v>0.188193766679317</v>
      </c>
      <c r="K1081" s="14">
        <v>0.12535592770257101</v>
      </c>
      <c r="L1081" s="14">
        <v>1</v>
      </c>
      <c r="M1081" s="14"/>
      <c r="N1081" s="14">
        <v>0.32339598285808002</v>
      </c>
      <c r="O1081" s="14">
        <v>0.28897781040637399</v>
      </c>
      <c r="P1081" s="14">
        <v>0.14617112601529</v>
      </c>
      <c r="Q1081" s="14">
        <v>0.24645217809251399</v>
      </c>
      <c r="R1081" s="14"/>
      <c r="S1081" s="14">
        <v>0.35723981757473799</v>
      </c>
      <c r="T1081" s="14">
        <v>0.260939081016626</v>
      </c>
      <c r="U1081" s="14">
        <v>0.222186299940931</v>
      </c>
      <c r="V1081" s="14">
        <v>0.38300921023117701</v>
      </c>
      <c r="W1081" s="14">
        <v>0.131551445112876</v>
      </c>
      <c r="X1081" s="14">
        <v>9.3649417545444105E-2</v>
      </c>
      <c r="Y1081" s="14">
        <v>0.31623224781136</v>
      </c>
      <c r="Z1081" s="14">
        <v>0.28922768565072798</v>
      </c>
      <c r="AA1081" s="14">
        <v>0.28567740842995398</v>
      </c>
      <c r="AB1081" s="14"/>
      <c r="AC1081" s="14">
        <v>0.243384584541154</v>
      </c>
      <c r="AD1081" s="14">
        <v>0.175083339921872</v>
      </c>
      <c r="AE1081" s="14">
        <v>0.25963135205489202</v>
      </c>
      <c r="AF1081" s="14">
        <v>0.41521602290878101</v>
      </c>
      <c r="AG1081" s="14">
        <v>0.76213043805012703</v>
      </c>
      <c r="AH1081" s="14"/>
      <c r="AI1081" s="14">
        <v>0.30692703372531399</v>
      </c>
      <c r="AJ1081" s="14">
        <v>0.26086995752807601</v>
      </c>
      <c r="AK1081" s="14">
        <v>0.27512367347995897</v>
      </c>
      <c r="AL1081" s="14">
        <v>0.30267202723650399</v>
      </c>
      <c r="AM1081" s="14">
        <v>0.18564805473110699</v>
      </c>
      <c r="AN1081" s="14">
        <v>0.245390442345049</v>
      </c>
      <c r="AO1081" s="14"/>
      <c r="AP1081" s="14">
        <v>0.24572215534189401</v>
      </c>
      <c r="AQ1081" s="14">
        <v>0.288328373687669</v>
      </c>
      <c r="AR1081" s="14"/>
      <c r="AS1081" s="14" t="s">
        <v>88</v>
      </c>
      <c r="AT1081" s="14">
        <v>0.26548691906699301</v>
      </c>
      <c r="AU1081" s="14">
        <v>0</v>
      </c>
      <c r="AV1081" s="14"/>
      <c r="AW1081" s="14">
        <v>0.224443898168531</v>
      </c>
      <c r="AX1081" s="14">
        <v>0.43636847399915502</v>
      </c>
      <c r="AY1081" s="14"/>
      <c r="AZ1081" s="14">
        <v>0.28564656276164102</v>
      </c>
      <c r="BA1081" s="14">
        <v>0.19749526128846501</v>
      </c>
    </row>
    <row r="1082" spans="2:53" x14ac:dyDescent="0.35">
      <c r="B1082" t="s">
        <v>236</v>
      </c>
      <c r="C1082" s="14">
        <v>0.53486218060725998</v>
      </c>
      <c r="D1082" s="14">
        <v>0.49735163877319</v>
      </c>
      <c r="E1082" s="14">
        <v>0.55955660142347496</v>
      </c>
      <c r="F1082" s="14"/>
      <c r="G1082" s="14">
        <v>0</v>
      </c>
      <c r="H1082" s="14">
        <v>0.56403110558382896</v>
      </c>
      <c r="I1082" s="14">
        <v>0.49640092761500798</v>
      </c>
      <c r="J1082" s="14">
        <v>0.55983943541499503</v>
      </c>
      <c r="K1082" s="14">
        <v>0.78305082390232295</v>
      </c>
      <c r="L1082" s="14">
        <v>0</v>
      </c>
      <c r="M1082" s="14"/>
      <c r="N1082" s="14">
        <v>0.58601962798110097</v>
      </c>
      <c r="O1082" s="14">
        <v>0.51920096615733502</v>
      </c>
      <c r="P1082" s="14">
        <v>0.54543705510884399</v>
      </c>
      <c r="Q1082" s="14">
        <v>0.50114591014148202</v>
      </c>
      <c r="R1082" s="14"/>
      <c r="S1082" s="14">
        <v>0.57187503851035704</v>
      </c>
      <c r="T1082" s="14">
        <v>0.492986186177506</v>
      </c>
      <c r="U1082" s="14">
        <v>0.68129956001934999</v>
      </c>
      <c r="V1082" s="14">
        <v>0.33515349147193801</v>
      </c>
      <c r="W1082" s="14">
        <v>0.60866645991447399</v>
      </c>
      <c r="X1082" s="14">
        <v>0.51514375574280002</v>
      </c>
      <c r="Y1082" s="14">
        <v>0.50693691759051795</v>
      </c>
      <c r="Z1082" s="14">
        <v>0.53031291916329104</v>
      </c>
      <c r="AA1082" s="14">
        <v>0.53756771001147596</v>
      </c>
      <c r="AB1082" s="14"/>
      <c r="AC1082" s="14">
        <v>0.43512141194547299</v>
      </c>
      <c r="AD1082" s="14">
        <v>0.65334803175640299</v>
      </c>
      <c r="AE1082" s="14">
        <v>0.492877683254481</v>
      </c>
      <c r="AF1082" s="14">
        <v>0.50996780323697799</v>
      </c>
      <c r="AG1082" s="14">
        <v>0.23786956194987299</v>
      </c>
      <c r="AH1082" s="14"/>
      <c r="AI1082" s="14">
        <v>0.54599714898871998</v>
      </c>
      <c r="AJ1082" s="14">
        <v>0.61776051317576597</v>
      </c>
      <c r="AK1082" s="14">
        <v>0.60762721933720698</v>
      </c>
      <c r="AL1082" s="14">
        <v>0.456691854513263</v>
      </c>
      <c r="AM1082" s="14">
        <v>0.46110799202448199</v>
      </c>
      <c r="AN1082" s="14">
        <v>0.50132649606193802</v>
      </c>
      <c r="AO1082" s="14"/>
      <c r="AP1082" s="14">
        <v>0.54323878022084704</v>
      </c>
      <c r="AQ1082" s="14">
        <v>0.52454118807567596</v>
      </c>
      <c r="AR1082" s="14"/>
      <c r="AS1082" s="14" t="s">
        <v>88</v>
      </c>
      <c r="AT1082" s="14">
        <v>0.533673033200744</v>
      </c>
      <c r="AU1082" s="14">
        <v>1</v>
      </c>
      <c r="AV1082" s="14"/>
      <c r="AW1082" s="14">
        <v>0.53603587219704496</v>
      </c>
      <c r="AX1082" s="14">
        <v>0.51327225655409203</v>
      </c>
      <c r="AY1082" s="14"/>
      <c r="AZ1082" s="14">
        <v>0.53915712607664501</v>
      </c>
      <c r="BA1082" s="14">
        <v>0.520986971172821</v>
      </c>
    </row>
    <row r="1083" spans="2:53" x14ac:dyDescent="0.35">
      <c r="B1083" t="s">
        <v>237</v>
      </c>
      <c r="C1083" s="14">
        <v>0.17032427899330199</v>
      </c>
      <c r="D1083" s="14">
        <v>0.138629879363136</v>
      </c>
      <c r="E1083" s="14">
        <v>0.19118974250611401</v>
      </c>
      <c r="F1083" s="14"/>
      <c r="G1083" s="14">
        <v>1</v>
      </c>
      <c r="H1083" s="14">
        <v>0.169379324690656</v>
      </c>
      <c r="I1083" s="14">
        <v>0.13760041066835199</v>
      </c>
      <c r="J1083" s="14">
        <v>0.25196679790568699</v>
      </c>
      <c r="K1083" s="14">
        <v>9.1593248395106394E-2</v>
      </c>
      <c r="L1083" s="14">
        <v>0</v>
      </c>
      <c r="M1083" s="14"/>
      <c r="N1083" s="14">
        <v>7.7487422316101895E-2</v>
      </c>
      <c r="O1083" s="14">
        <v>0.154619870991963</v>
      </c>
      <c r="P1083" s="14">
        <v>0.27580322261073398</v>
      </c>
      <c r="Q1083" s="14">
        <v>0.21689025967797301</v>
      </c>
      <c r="R1083" s="14"/>
      <c r="S1083" s="14">
        <v>7.0885143914904594E-2</v>
      </c>
      <c r="T1083" s="14">
        <v>0.15934344676435</v>
      </c>
      <c r="U1083" s="14">
        <v>9.6514140039718505E-2</v>
      </c>
      <c r="V1083" s="14">
        <v>0.21575242554461699</v>
      </c>
      <c r="W1083" s="14">
        <v>0.22173663340637301</v>
      </c>
      <c r="X1083" s="14">
        <v>0.35735465713300602</v>
      </c>
      <c r="Y1083" s="14">
        <v>0.17683083459812299</v>
      </c>
      <c r="Z1083" s="14">
        <v>0.180459395185981</v>
      </c>
      <c r="AA1083" s="14">
        <v>0.15429625979536801</v>
      </c>
      <c r="AB1083" s="14"/>
      <c r="AC1083" s="14">
        <v>0.28625153002074499</v>
      </c>
      <c r="AD1083" s="14">
        <v>0.15016739118466199</v>
      </c>
      <c r="AE1083" s="14">
        <v>0.20124975491809299</v>
      </c>
      <c r="AF1083" s="14">
        <v>7.4816173854241094E-2</v>
      </c>
      <c r="AG1083" s="14">
        <v>0</v>
      </c>
      <c r="AH1083" s="14"/>
      <c r="AI1083" s="14">
        <v>0.123895681123368</v>
      </c>
      <c r="AJ1083" s="14">
        <v>0.101399780060897</v>
      </c>
      <c r="AK1083" s="14">
        <v>6.9864105839323606E-2</v>
      </c>
      <c r="AL1083" s="14">
        <v>0.20212847701665501</v>
      </c>
      <c r="AM1083" s="14">
        <v>0.35324395324441099</v>
      </c>
      <c r="AN1083" s="14">
        <v>0.18834556875858599</v>
      </c>
      <c r="AO1083" s="14"/>
      <c r="AP1083" s="14">
        <v>0.18013233257608699</v>
      </c>
      <c r="AQ1083" s="14">
        <v>0.15823956055777899</v>
      </c>
      <c r="AR1083" s="14"/>
      <c r="AS1083" s="14" t="s">
        <v>88</v>
      </c>
      <c r="AT1083" s="14">
        <v>0.17075972127769001</v>
      </c>
      <c r="AU1083" s="14">
        <v>0</v>
      </c>
      <c r="AV1083" s="14"/>
      <c r="AW1083" s="14">
        <v>0.20214756575250301</v>
      </c>
      <c r="AX1083" s="14">
        <v>5.0359269446752501E-2</v>
      </c>
      <c r="AY1083" s="14"/>
      <c r="AZ1083" s="14">
        <v>0.14255313899012001</v>
      </c>
      <c r="BA1083" s="14">
        <v>0.26004145620172903</v>
      </c>
    </row>
    <row r="1084" spans="2:53" x14ac:dyDescent="0.35">
      <c r="B1084" t="s">
        <v>238</v>
      </c>
      <c r="C1084" s="14">
        <v>1.6977675602614799E-2</v>
      </c>
      <c r="D1084" s="14">
        <v>2.2275096257253699E-2</v>
      </c>
      <c r="E1084" s="14">
        <v>1.34902097199613E-2</v>
      </c>
      <c r="F1084" s="14"/>
      <c r="G1084" s="14">
        <v>0</v>
      </c>
      <c r="H1084" s="14">
        <v>3.1950167508954602E-2</v>
      </c>
      <c r="I1084" s="14">
        <v>1.6664124369157499E-2</v>
      </c>
      <c r="J1084" s="14">
        <v>0</v>
      </c>
      <c r="K1084" s="14">
        <v>0</v>
      </c>
      <c r="L1084" s="14">
        <v>0</v>
      </c>
      <c r="M1084" s="14"/>
      <c r="N1084" s="14">
        <v>1.3096966844716999E-2</v>
      </c>
      <c r="O1084" s="14">
        <v>2.75494685968335E-2</v>
      </c>
      <c r="P1084" s="14">
        <v>0</v>
      </c>
      <c r="Q1084" s="14">
        <v>1.7118070438621701E-2</v>
      </c>
      <c r="R1084" s="14"/>
      <c r="S1084" s="14">
        <v>0</v>
      </c>
      <c r="T1084" s="14">
        <v>5.9090782471581102E-2</v>
      </c>
      <c r="U1084" s="14">
        <v>0</v>
      </c>
      <c r="V1084" s="14">
        <v>0</v>
      </c>
      <c r="W1084" s="14">
        <v>3.8045461566277299E-2</v>
      </c>
      <c r="X1084" s="14">
        <v>3.3852169578750098E-2</v>
      </c>
      <c r="Y1084" s="14">
        <v>0</v>
      </c>
      <c r="Z1084" s="14">
        <v>0</v>
      </c>
      <c r="AA1084" s="14">
        <v>0</v>
      </c>
      <c r="AB1084" s="14"/>
      <c r="AC1084" s="14">
        <v>0</v>
      </c>
      <c r="AD1084" s="14">
        <v>0</v>
      </c>
      <c r="AE1084" s="14">
        <v>3.5418579536123297E-2</v>
      </c>
      <c r="AF1084" s="14">
        <v>0</v>
      </c>
      <c r="AG1084" s="14">
        <v>0</v>
      </c>
      <c r="AH1084" s="14"/>
      <c r="AI1084" s="14">
        <v>1.48075331492717E-2</v>
      </c>
      <c r="AJ1084" s="14">
        <v>1.99697492352615E-2</v>
      </c>
      <c r="AK1084" s="14">
        <v>4.7385001343510799E-2</v>
      </c>
      <c r="AL1084" s="14">
        <v>0</v>
      </c>
      <c r="AM1084" s="14">
        <v>0</v>
      </c>
      <c r="AN1084" s="14">
        <v>0</v>
      </c>
      <c r="AO1084" s="14"/>
      <c r="AP1084" s="14">
        <v>1.6019819513722899E-2</v>
      </c>
      <c r="AQ1084" s="14">
        <v>1.8157871146848598E-2</v>
      </c>
      <c r="AR1084" s="14"/>
      <c r="AS1084" s="14" t="s">
        <v>88</v>
      </c>
      <c r="AT1084" s="14">
        <v>1.7021079854150099E-2</v>
      </c>
      <c r="AU1084" s="14">
        <v>0</v>
      </c>
      <c r="AV1084" s="14"/>
      <c r="AW1084" s="14">
        <v>2.1147479807347099E-2</v>
      </c>
      <c r="AX1084" s="14">
        <v>0</v>
      </c>
      <c r="AY1084" s="14"/>
      <c r="AZ1084" s="14">
        <v>2.2232961388005502E-2</v>
      </c>
      <c r="BA1084" s="14">
        <v>0</v>
      </c>
    </row>
    <row r="1085" spans="2:53" x14ac:dyDescent="0.35">
      <c r="B1085" t="s">
        <v>116</v>
      </c>
      <c r="C1085" s="14">
        <v>1.3025945139577199E-2</v>
      </c>
      <c r="D1085" s="14">
        <v>0</v>
      </c>
      <c r="E1085" s="14">
        <v>2.1601352347198101E-2</v>
      </c>
      <c r="F1085" s="14"/>
      <c r="G1085" s="14">
        <v>0</v>
      </c>
      <c r="H1085" s="14">
        <v>1.1193657134274599E-2</v>
      </c>
      <c r="I1085" s="14">
        <v>2.0559333536422999E-2</v>
      </c>
      <c r="J1085" s="14">
        <v>0</v>
      </c>
      <c r="K1085" s="14">
        <v>0</v>
      </c>
      <c r="L1085" s="14">
        <v>0</v>
      </c>
      <c r="M1085" s="14"/>
      <c r="N1085" s="14">
        <v>0</v>
      </c>
      <c r="O1085" s="14">
        <v>9.6518838474943906E-3</v>
      </c>
      <c r="P1085" s="14">
        <v>3.2588596265132698E-2</v>
      </c>
      <c r="Q1085" s="14">
        <v>1.83935816494094E-2</v>
      </c>
      <c r="R1085" s="14"/>
      <c r="S1085" s="14">
        <v>0</v>
      </c>
      <c r="T1085" s="14">
        <v>2.76405035699369E-2</v>
      </c>
      <c r="U1085" s="14">
        <v>0</v>
      </c>
      <c r="V1085" s="14">
        <v>6.6084872752268695E-2</v>
      </c>
      <c r="W1085" s="14">
        <v>0</v>
      </c>
      <c r="X1085" s="14">
        <v>0</v>
      </c>
      <c r="Y1085" s="14">
        <v>0</v>
      </c>
      <c r="Z1085" s="14">
        <v>0</v>
      </c>
      <c r="AA1085" s="14">
        <v>2.24586217632009E-2</v>
      </c>
      <c r="AB1085" s="14"/>
      <c r="AC1085" s="14">
        <v>3.5242473492627102E-2</v>
      </c>
      <c r="AD1085" s="14">
        <v>2.1401237137062001E-2</v>
      </c>
      <c r="AE1085" s="14">
        <v>1.08226302364104E-2</v>
      </c>
      <c r="AF1085" s="14">
        <v>0</v>
      </c>
      <c r="AG1085" s="14">
        <v>0</v>
      </c>
      <c r="AH1085" s="14"/>
      <c r="AI1085" s="14">
        <v>8.3726030133259109E-3</v>
      </c>
      <c r="AJ1085" s="14">
        <v>0</v>
      </c>
      <c r="AK1085" s="14">
        <v>0</v>
      </c>
      <c r="AL1085" s="14">
        <v>3.8507641233578499E-2</v>
      </c>
      <c r="AM1085" s="14">
        <v>0</v>
      </c>
      <c r="AN1085" s="14">
        <v>6.4937492834426694E-2</v>
      </c>
      <c r="AO1085" s="14"/>
      <c r="AP1085" s="14">
        <v>1.4886912347449099E-2</v>
      </c>
      <c r="AQ1085" s="14">
        <v>1.0733006532028499E-2</v>
      </c>
      <c r="AR1085" s="14"/>
      <c r="AS1085" s="14" t="s">
        <v>88</v>
      </c>
      <c r="AT1085" s="14">
        <v>1.30592466004225E-2</v>
      </c>
      <c r="AU1085" s="14">
        <v>0</v>
      </c>
      <c r="AV1085" s="14"/>
      <c r="AW1085" s="14">
        <v>1.62251840745735E-2</v>
      </c>
      <c r="AX1085" s="14">
        <v>0</v>
      </c>
      <c r="AY1085" s="14"/>
      <c r="AZ1085" s="14">
        <v>1.0410210783589001E-2</v>
      </c>
      <c r="BA1085" s="14">
        <v>2.1476311336984698E-2</v>
      </c>
    </row>
    <row r="1086" spans="2:53" x14ac:dyDescent="0.35"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</row>
    <row r="1087" spans="2:53" x14ac:dyDescent="0.35">
      <c r="B1087" s="6" t="s">
        <v>310</v>
      </c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</row>
    <row r="1088" spans="2:53" x14ac:dyDescent="0.35">
      <c r="B1088" s="30" t="s">
        <v>328</v>
      </c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</row>
    <row r="1089" spans="2:53" x14ac:dyDescent="0.35">
      <c r="B1089" t="s">
        <v>220</v>
      </c>
      <c r="C1089" s="14">
        <v>0.27548126892078001</v>
      </c>
      <c r="D1089" s="14">
        <v>0.33221462893989601</v>
      </c>
      <c r="E1089" s="14">
        <v>0.23813183598464099</v>
      </c>
      <c r="F1089" s="14"/>
      <c r="G1089" s="14">
        <v>1</v>
      </c>
      <c r="H1089" s="14">
        <v>0.28020453548914298</v>
      </c>
      <c r="I1089" s="14">
        <v>0.31398496625414002</v>
      </c>
      <c r="J1089" s="14">
        <v>0.14294142070958199</v>
      </c>
      <c r="K1089" s="14">
        <v>0.25832968021611202</v>
      </c>
      <c r="L1089" s="14">
        <v>0</v>
      </c>
      <c r="M1089" s="14"/>
      <c r="N1089" s="14">
        <v>0.29038541056496198</v>
      </c>
      <c r="O1089" s="14">
        <v>0.32202946210250499</v>
      </c>
      <c r="P1089" s="14">
        <v>0.14333071611929499</v>
      </c>
      <c r="Q1089" s="14">
        <v>0.277687695667446</v>
      </c>
      <c r="R1089" s="14"/>
      <c r="S1089" s="14">
        <v>0.239594940478007</v>
      </c>
      <c r="T1089" s="14">
        <v>0.23808033675229801</v>
      </c>
      <c r="U1089" s="14">
        <v>0.215300344540821</v>
      </c>
      <c r="V1089" s="14">
        <v>0.418708331373013</v>
      </c>
      <c r="W1089" s="14">
        <v>0.39463452817485001</v>
      </c>
      <c r="X1089" s="14">
        <v>8.7563292888197003E-2</v>
      </c>
      <c r="Y1089" s="14">
        <v>0.29493893326074699</v>
      </c>
      <c r="Z1089" s="14">
        <v>0.28922768565072798</v>
      </c>
      <c r="AA1089" s="14">
        <v>0.36186373222030399</v>
      </c>
      <c r="AB1089" s="14"/>
      <c r="AC1089" s="14">
        <v>0.17212881144453701</v>
      </c>
      <c r="AD1089" s="14">
        <v>0.21936600417504701</v>
      </c>
      <c r="AE1089" s="14">
        <v>0.23681490574297301</v>
      </c>
      <c r="AF1089" s="14">
        <v>0.43577733360481902</v>
      </c>
      <c r="AG1089" s="14">
        <v>0.71052092621338303</v>
      </c>
      <c r="AH1089" s="14"/>
      <c r="AI1089" s="14">
        <v>0.35236880147954902</v>
      </c>
      <c r="AJ1089" s="14">
        <v>8.0688967117207494E-2</v>
      </c>
      <c r="AK1089" s="14">
        <v>0.45568225761779402</v>
      </c>
      <c r="AL1089" s="14">
        <v>0.22808652274151001</v>
      </c>
      <c r="AM1089" s="14">
        <v>0.36932852152172901</v>
      </c>
      <c r="AN1089" s="14">
        <v>0.20990256883588901</v>
      </c>
      <c r="AO1089" s="14"/>
      <c r="AP1089" s="14">
        <v>0.27115175927812901</v>
      </c>
      <c r="AQ1089" s="14">
        <v>0.28081575292963201</v>
      </c>
      <c r="AR1089" s="14"/>
      <c r="AS1089" s="14" t="s">
        <v>88</v>
      </c>
      <c r="AT1089" s="14">
        <v>0.27618555015275698</v>
      </c>
      <c r="AU1089" s="14">
        <v>0</v>
      </c>
      <c r="AV1089" s="14"/>
      <c r="AW1089" s="14">
        <v>0.24660777434789299</v>
      </c>
      <c r="AX1089" s="14">
        <v>0.406362547747951</v>
      </c>
      <c r="AY1089" s="14"/>
      <c r="AZ1089" s="14">
        <v>0.31121721108354899</v>
      </c>
      <c r="BA1089" s="14">
        <v>0.16003307862827501</v>
      </c>
    </row>
    <row r="1090" spans="2:53" x14ac:dyDescent="0.35">
      <c r="B1090" t="s">
        <v>221</v>
      </c>
      <c r="C1090" s="14">
        <v>0.53335272032129799</v>
      </c>
      <c r="D1090" s="14">
        <v>0.51770049491849901</v>
      </c>
      <c r="E1090" s="14">
        <v>0.54365709402287699</v>
      </c>
      <c r="F1090" s="14"/>
      <c r="G1090" s="14">
        <v>0</v>
      </c>
      <c r="H1090" s="14">
        <v>0.57251775040388797</v>
      </c>
      <c r="I1090" s="14">
        <v>0.46948768356061199</v>
      </c>
      <c r="J1090" s="14">
        <v>0.62316522080840497</v>
      </c>
      <c r="K1090" s="14">
        <v>0.65007707138878101</v>
      </c>
      <c r="L1090" s="14">
        <v>1</v>
      </c>
      <c r="M1090" s="14"/>
      <c r="N1090" s="14">
        <v>0.52949111815878103</v>
      </c>
      <c r="O1090" s="14">
        <v>0.53799639570216895</v>
      </c>
      <c r="P1090" s="14">
        <v>0.49118551831812701</v>
      </c>
      <c r="Q1090" s="14">
        <v>0.553932794352748</v>
      </c>
      <c r="R1090" s="14"/>
      <c r="S1090" s="14">
        <v>0.61433524387490901</v>
      </c>
      <c r="T1090" s="14">
        <v>0.60854479777117798</v>
      </c>
      <c r="U1090" s="14">
        <v>0.62346763298935204</v>
      </c>
      <c r="V1090" s="14">
        <v>0.581291668626987</v>
      </c>
      <c r="W1090" s="14">
        <v>0.42070926363934602</v>
      </c>
      <c r="X1090" s="14">
        <v>0.64437264243068104</v>
      </c>
      <c r="Y1090" s="14">
        <v>0.47548231992471202</v>
      </c>
      <c r="Z1090" s="14">
        <v>0.37499438499507498</v>
      </c>
      <c r="AA1090" s="14">
        <v>0.35000593121316798</v>
      </c>
      <c r="AB1090" s="14"/>
      <c r="AC1090" s="14">
        <v>0.66937991701774902</v>
      </c>
      <c r="AD1090" s="14">
        <v>0.575475507360379</v>
      </c>
      <c r="AE1090" s="14">
        <v>0.52651397362422703</v>
      </c>
      <c r="AF1090" s="14">
        <v>0.448172468084374</v>
      </c>
      <c r="AG1090" s="14">
        <v>0.28947907378661702</v>
      </c>
      <c r="AH1090" s="14"/>
      <c r="AI1090" s="14">
        <v>0.43402120312266601</v>
      </c>
      <c r="AJ1090" s="14">
        <v>0.72121081472545101</v>
      </c>
      <c r="AK1090" s="14">
        <v>0.32553529819756899</v>
      </c>
      <c r="AL1090" s="14">
        <v>0.674835665773728</v>
      </c>
      <c r="AM1090" s="14">
        <v>0.51059437060262503</v>
      </c>
      <c r="AN1090" s="14">
        <v>0.70993440967975197</v>
      </c>
      <c r="AO1090" s="14"/>
      <c r="AP1090" s="14">
        <v>0.54274937944036505</v>
      </c>
      <c r="AQ1090" s="14">
        <v>0.52177489004844602</v>
      </c>
      <c r="AR1090" s="14"/>
      <c r="AS1090" s="14" t="s">
        <v>88</v>
      </c>
      <c r="AT1090" s="14">
        <v>0.53471626243222903</v>
      </c>
      <c r="AU1090" s="14">
        <v>0</v>
      </c>
      <c r="AV1090" s="14"/>
      <c r="AW1090" s="14">
        <v>0.54616007429972202</v>
      </c>
      <c r="AX1090" s="14">
        <v>0.45422621665116902</v>
      </c>
      <c r="AY1090" s="14"/>
      <c r="AZ1090" s="14">
        <v>0.54580559644558002</v>
      </c>
      <c r="BA1090" s="14">
        <v>0.49312257874739301</v>
      </c>
    </row>
    <row r="1091" spans="2:53" x14ac:dyDescent="0.35">
      <c r="B1091" t="s">
        <v>222</v>
      </c>
      <c r="C1091" s="14">
        <v>0.14379800702189199</v>
      </c>
      <c r="D1091" s="14">
        <v>0.12759233893322</v>
      </c>
      <c r="E1091" s="14">
        <v>0.15446673020802601</v>
      </c>
      <c r="F1091" s="14"/>
      <c r="G1091" s="14">
        <v>0</v>
      </c>
      <c r="H1091" s="14">
        <v>8.7937786510492499E-2</v>
      </c>
      <c r="I1091" s="14">
        <v>0.17121642734099701</v>
      </c>
      <c r="J1091" s="14">
        <v>0.183079565161891</v>
      </c>
      <c r="K1091" s="14">
        <v>9.1593248395106394E-2</v>
      </c>
      <c r="L1091" s="14">
        <v>0</v>
      </c>
      <c r="M1091" s="14"/>
      <c r="N1091" s="14">
        <v>8.8580825375190006E-2</v>
      </c>
      <c r="O1091" s="14">
        <v>0.109449840617504</v>
      </c>
      <c r="P1091" s="14">
        <v>0.332895181288762</v>
      </c>
      <c r="Q1091" s="14">
        <v>0.13342735116832999</v>
      </c>
      <c r="R1091" s="14"/>
      <c r="S1091" s="14">
        <v>0.12239740403763601</v>
      </c>
      <c r="T1091" s="14">
        <v>4.1755462410908099E-2</v>
      </c>
      <c r="U1091" s="14">
        <v>0.16123202246982701</v>
      </c>
      <c r="V1091" s="14">
        <v>0</v>
      </c>
      <c r="W1091" s="14">
        <v>0.156208769083692</v>
      </c>
      <c r="X1091" s="14">
        <v>0.247367650823904</v>
      </c>
      <c r="Y1091" s="14">
        <v>0.21134862866687601</v>
      </c>
      <c r="Z1091" s="14">
        <v>0.33577792935419698</v>
      </c>
      <c r="AA1091" s="14">
        <v>0.16270375287748901</v>
      </c>
      <c r="AB1091" s="14"/>
      <c r="AC1091" s="14">
        <v>0.14375940768241199</v>
      </c>
      <c r="AD1091" s="14">
        <v>0.127044033154178</v>
      </c>
      <c r="AE1091" s="14">
        <v>0.19577001753149301</v>
      </c>
      <c r="AF1091" s="14">
        <v>5.8534093754948398E-2</v>
      </c>
      <c r="AG1091" s="14">
        <v>0</v>
      </c>
      <c r="AH1091" s="14"/>
      <c r="AI1091" s="14">
        <v>0.18210337649948599</v>
      </c>
      <c r="AJ1091" s="14">
        <v>0.12051319058934599</v>
      </c>
      <c r="AK1091" s="14">
        <v>9.2717861693219203E-2</v>
      </c>
      <c r="AL1091" s="14">
        <v>9.7077811484762799E-2</v>
      </c>
      <c r="AM1091" s="14">
        <v>0.120077107875646</v>
      </c>
      <c r="AN1091" s="14">
        <v>0</v>
      </c>
      <c r="AO1091" s="14"/>
      <c r="AP1091" s="14">
        <v>0.13019624490453</v>
      </c>
      <c r="AQ1091" s="14">
        <v>0.160557037142181</v>
      </c>
      <c r="AR1091" s="14"/>
      <c r="AS1091" s="14" t="s">
        <v>88</v>
      </c>
      <c r="AT1091" s="14">
        <v>0.144165633604774</v>
      </c>
      <c r="AU1091" s="14">
        <v>0</v>
      </c>
      <c r="AV1091" s="14"/>
      <c r="AW1091" s="14">
        <v>0.15856236499457901</v>
      </c>
      <c r="AX1091" s="14">
        <v>0.103408819367639</v>
      </c>
      <c r="AY1091" s="14"/>
      <c r="AZ1091" s="14">
        <v>0.100859993125507</v>
      </c>
      <c r="BA1091" s="14">
        <v>0.28251314083629497</v>
      </c>
    </row>
    <row r="1092" spans="2:53" x14ac:dyDescent="0.35">
      <c r="B1092" t="s">
        <v>223</v>
      </c>
      <c r="C1092" s="14">
        <v>7.3479400724146497E-3</v>
      </c>
      <c r="D1092" s="14">
        <v>0</v>
      </c>
      <c r="E1092" s="14">
        <v>1.21853301875242E-2</v>
      </c>
      <c r="F1092" s="14"/>
      <c r="G1092" s="14">
        <v>0</v>
      </c>
      <c r="H1092" s="14">
        <v>0</v>
      </c>
      <c r="I1092" s="14">
        <v>1.00009573314423E-2</v>
      </c>
      <c r="J1092" s="14">
        <v>1.44485849495271E-2</v>
      </c>
      <c r="K1092" s="14">
        <v>0</v>
      </c>
      <c r="L1092" s="14">
        <v>0</v>
      </c>
      <c r="M1092" s="14"/>
      <c r="N1092" s="14">
        <v>1.01165971276647E-2</v>
      </c>
      <c r="O1092" s="14">
        <v>0</v>
      </c>
      <c r="P1092" s="14">
        <v>3.2588584273816099E-2</v>
      </c>
      <c r="Q1092" s="14">
        <v>0</v>
      </c>
      <c r="R1092" s="14"/>
      <c r="S1092" s="14">
        <v>0</v>
      </c>
      <c r="T1092" s="14">
        <v>4.2238461181889203E-2</v>
      </c>
      <c r="U1092" s="14">
        <v>0</v>
      </c>
      <c r="V1092" s="14">
        <v>0</v>
      </c>
      <c r="W1092" s="14">
        <v>0</v>
      </c>
      <c r="X1092" s="14">
        <v>0</v>
      </c>
      <c r="Y1092" s="14">
        <v>0</v>
      </c>
      <c r="Z1092" s="14">
        <v>0</v>
      </c>
      <c r="AA1092" s="14">
        <v>0</v>
      </c>
      <c r="AB1092" s="14"/>
      <c r="AC1092" s="14">
        <v>0</v>
      </c>
      <c r="AD1092" s="14">
        <v>2.0271387369654201E-2</v>
      </c>
      <c r="AE1092" s="14">
        <v>8.7499143072144094E-3</v>
      </c>
      <c r="AF1092" s="14">
        <v>0</v>
      </c>
      <c r="AG1092" s="14">
        <v>0</v>
      </c>
      <c r="AH1092" s="14"/>
      <c r="AI1092" s="14">
        <v>0</v>
      </c>
      <c r="AJ1092" s="14">
        <v>2.9207186855001298E-2</v>
      </c>
      <c r="AK1092" s="14">
        <v>0</v>
      </c>
      <c r="AL1092" s="14">
        <v>0</v>
      </c>
      <c r="AM1092" s="14">
        <v>0</v>
      </c>
      <c r="AN1092" s="14">
        <v>3.42958812555288E-2</v>
      </c>
      <c r="AO1092" s="14"/>
      <c r="AP1092" s="14">
        <v>0</v>
      </c>
      <c r="AQ1092" s="14">
        <v>1.64014985696978E-2</v>
      </c>
      <c r="AR1092" s="14"/>
      <c r="AS1092" s="14" t="s">
        <v>88</v>
      </c>
      <c r="AT1092" s="14">
        <v>7.3667254377752997E-3</v>
      </c>
      <c r="AU1092" s="14">
        <v>0</v>
      </c>
      <c r="AV1092" s="14"/>
      <c r="AW1092" s="14">
        <v>9.1526318410191307E-3</v>
      </c>
      <c r="AX1092" s="14">
        <v>0</v>
      </c>
      <c r="AY1092" s="14"/>
      <c r="AZ1092" s="14">
        <v>0</v>
      </c>
      <c r="BA1092" s="14">
        <v>3.10861244436067E-2</v>
      </c>
    </row>
    <row r="1093" spans="2:53" x14ac:dyDescent="0.35">
      <c r="B1093" t="s">
        <v>116</v>
      </c>
      <c r="C1093" s="14">
        <v>5.2543561799202297E-3</v>
      </c>
      <c r="D1093" s="14">
        <v>0</v>
      </c>
      <c r="E1093" s="14">
        <v>8.7134713054548094E-3</v>
      </c>
      <c r="F1093" s="14"/>
      <c r="G1093" s="14">
        <v>0</v>
      </c>
      <c r="H1093" s="14">
        <v>1.1193657134274599E-2</v>
      </c>
      <c r="I1093" s="14">
        <v>4.39536159447844E-3</v>
      </c>
      <c r="J1093" s="14">
        <v>0</v>
      </c>
      <c r="K1093" s="14">
        <v>0</v>
      </c>
      <c r="L1093" s="14">
        <v>0</v>
      </c>
      <c r="M1093" s="14"/>
      <c r="N1093" s="14">
        <v>8.4186194917700696E-3</v>
      </c>
      <c r="O1093" s="14">
        <v>9.6518838474943906E-3</v>
      </c>
      <c r="P1093" s="14">
        <v>0</v>
      </c>
      <c r="Q1093" s="14">
        <v>0</v>
      </c>
      <c r="R1093" s="14"/>
      <c r="S1093" s="14">
        <v>0</v>
      </c>
      <c r="T1093" s="14">
        <v>0</v>
      </c>
      <c r="U1093" s="14">
        <v>0</v>
      </c>
      <c r="V1093" s="14">
        <v>0</v>
      </c>
      <c r="W1093" s="14">
        <v>0</v>
      </c>
      <c r="X1093" s="14">
        <v>0</v>
      </c>
      <c r="Y1093" s="14">
        <v>1.8230118147664998E-2</v>
      </c>
      <c r="Z1093" s="14">
        <v>0</v>
      </c>
      <c r="AA1093" s="14">
        <v>2.24586217632009E-2</v>
      </c>
      <c r="AB1093" s="14"/>
      <c r="AC1093" s="14">
        <v>0</v>
      </c>
      <c r="AD1093" s="14">
        <v>8.9091548497311802E-3</v>
      </c>
      <c r="AE1093" s="14">
        <v>1.08226302364104E-2</v>
      </c>
      <c r="AF1093" s="14">
        <v>0</v>
      </c>
      <c r="AG1093" s="14">
        <v>0</v>
      </c>
      <c r="AH1093" s="14"/>
      <c r="AI1093" s="14">
        <v>8.3726030133259109E-3</v>
      </c>
      <c r="AJ1093" s="14">
        <v>1.28363858709429E-2</v>
      </c>
      <c r="AK1093" s="14">
        <v>0</v>
      </c>
      <c r="AL1093" s="14">
        <v>0</v>
      </c>
      <c r="AM1093" s="14">
        <v>0</v>
      </c>
      <c r="AN1093" s="14">
        <v>0</v>
      </c>
      <c r="AO1093" s="14"/>
      <c r="AP1093" s="14">
        <v>5.69040474856807E-3</v>
      </c>
      <c r="AQ1093" s="14">
        <v>4.7170911525787002E-3</v>
      </c>
      <c r="AR1093" s="14"/>
      <c r="AS1093" s="14" t="s">
        <v>88</v>
      </c>
      <c r="AT1093" s="14">
        <v>5.2677891964666504E-3</v>
      </c>
      <c r="AU1093" s="14">
        <v>0</v>
      </c>
      <c r="AV1093" s="14"/>
      <c r="AW1093" s="14">
        <v>6.54485300675432E-3</v>
      </c>
      <c r="AX1093" s="14">
        <v>0</v>
      </c>
      <c r="AY1093" s="14"/>
      <c r="AZ1093" s="14">
        <v>4.1133723301249201E-3</v>
      </c>
      <c r="BA1093" s="14">
        <v>8.9404076071324095E-3</v>
      </c>
    </row>
    <row r="1094" spans="2:53" x14ac:dyDescent="0.35">
      <c r="B1094" t="s">
        <v>224</v>
      </c>
      <c r="C1094" s="14">
        <v>0.80883398924207905</v>
      </c>
      <c r="D1094" s="14">
        <v>0.84991512385839596</v>
      </c>
      <c r="E1094" s="14">
        <v>0.78178893000751704</v>
      </c>
      <c r="F1094" s="14"/>
      <c r="G1094" s="14">
        <v>1</v>
      </c>
      <c r="H1094" s="14">
        <v>0.85272228589303101</v>
      </c>
      <c r="I1094" s="14">
        <v>0.78347264981475295</v>
      </c>
      <c r="J1094" s="14">
        <v>0.76610664151798702</v>
      </c>
      <c r="K1094" s="14">
        <v>0.90840675160489404</v>
      </c>
      <c r="L1094" s="14">
        <v>1</v>
      </c>
      <c r="M1094" s="14"/>
      <c r="N1094" s="14">
        <v>0.81987652872374295</v>
      </c>
      <c r="O1094" s="14">
        <v>0.860025857804674</v>
      </c>
      <c r="P1094" s="14">
        <v>0.634516234437422</v>
      </c>
      <c r="Q1094" s="14">
        <v>0.831620490020194</v>
      </c>
      <c r="R1094" s="14"/>
      <c r="S1094" s="14">
        <v>0.85393018435291601</v>
      </c>
      <c r="T1094" s="14">
        <v>0.84662513452347599</v>
      </c>
      <c r="U1094" s="14">
        <v>0.83876797753017296</v>
      </c>
      <c r="V1094" s="14">
        <v>1</v>
      </c>
      <c r="W1094" s="14">
        <v>0.81534379181419603</v>
      </c>
      <c r="X1094" s="14">
        <v>0.73193593531887802</v>
      </c>
      <c r="Y1094" s="14">
        <v>0.77042125318545895</v>
      </c>
      <c r="Z1094" s="14">
        <v>0.66422207064580296</v>
      </c>
      <c r="AA1094" s="14">
        <v>0.71186966343347202</v>
      </c>
      <c r="AB1094" s="14"/>
      <c r="AC1094" s="14">
        <v>0.84150872846228597</v>
      </c>
      <c r="AD1094" s="14">
        <v>0.79484151153542604</v>
      </c>
      <c r="AE1094" s="14">
        <v>0.76332887936719995</v>
      </c>
      <c r="AF1094" s="14">
        <v>0.88394980168919302</v>
      </c>
      <c r="AG1094" s="14">
        <v>1</v>
      </c>
      <c r="AH1094" s="14"/>
      <c r="AI1094" s="14">
        <v>0.78639000460221498</v>
      </c>
      <c r="AJ1094" s="14">
        <v>0.80189978184265798</v>
      </c>
      <c r="AK1094" s="14">
        <v>0.78121755581536301</v>
      </c>
      <c r="AL1094" s="14">
        <v>0.90292218851523698</v>
      </c>
      <c r="AM1094" s="14">
        <v>0.87992289212435404</v>
      </c>
      <c r="AN1094" s="14">
        <v>0.91983697851564095</v>
      </c>
      <c r="AO1094" s="14"/>
      <c r="AP1094" s="14">
        <v>0.81390113871849401</v>
      </c>
      <c r="AQ1094" s="14">
        <v>0.80259064297807803</v>
      </c>
      <c r="AR1094" s="14"/>
      <c r="AS1094" s="14" t="s">
        <v>88</v>
      </c>
      <c r="AT1094" s="14">
        <v>0.81090181258498595</v>
      </c>
      <c r="AU1094" s="14">
        <v>0</v>
      </c>
      <c r="AV1094" s="14"/>
      <c r="AW1094" s="14">
        <v>0.79276784864761496</v>
      </c>
      <c r="AX1094" s="14">
        <v>0.86058876439912002</v>
      </c>
      <c r="AY1094" s="14"/>
      <c r="AZ1094" s="14">
        <v>0.85702280752912896</v>
      </c>
      <c r="BA1094" s="14">
        <v>0.65315565737566805</v>
      </c>
    </row>
    <row r="1095" spans="2:53" x14ac:dyDescent="0.35"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</row>
    <row r="1096" spans="2:53" x14ac:dyDescent="0.35">
      <c r="B1096" s="6" t="s">
        <v>311</v>
      </c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</row>
    <row r="1097" spans="2:53" x14ac:dyDescent="0.35">
      <c r="B1097" s="30" t="s">
        <v>320</v>
      </c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</row>
    <row r="1098" spans="2:53" x14ac:dyDescent="0.35">
      <c r="B1098" t="s">
        <v>154</v>
      </c>
      <c r="C1098" s="14">
        <v>0.45463725903061702</v>
      </c>
      <c r="D1098" s="14">
        <v>0.506261742110788</v>
      </c>
      <c r="E1098" s="14">
        <v>0.41180999350465403</v>
      </c>
      <c r="F1098" s="14"/>
      <c r="G1098" s="14">
        <v>0</v>
      </c>
      <c r="H1098" s="14">
        <v>0.40732709607856799</v>
      </c>
      <c r="I1098" s="14">
        <v>0.47139158081868299</v>
      </c>
      <c r="J1098" s="14">
        <v>0.41748825574876702</v>
      </c>
      <c r="K1098" s="14">
        <v>0.83561100838509395</v>
      </c>
      <c r="L1098" s="14">
        <v>0.34819201228478702</v>
      </c>
      <c r="M1098" s="14"/>
      <c r="N1098" s="14">
        <v>0.553467965750431</v>
      </c>
      <c r="O1098" s="14">
        <v>0.483985179420442</v>
      </c>
      <c r="P1098" s="14">
        <v>0.42471187250790698</v>
      </c>
      <c r="Q1098" s="14">
        <v>0.369695049652287</v>
      </c>
      <c r="R1098" s="14"/>
      <c r="S1098" s="14">
        <v>0.49330596594874399</v>
      </c>
      <c r="T1098" s="14">
        <v>0.44287925175231402</v>
      </c>
      <c r="U1098" s="14">
        <v>0.65443002837968001</v>
      </c>
      <c r="V1098" s="14">
        <v>0.35989663556516499</v>
      </c>
      <c r="W1098" s="14">
        <v>0.330909629703589</v>
      </c>
      <c r="X1098" s="14">
        <v>0.42856548922190701</v>
      </c>
      <c r="Y1098" s="14">
        <v>0.51100224165339503</v>
      </c>
      <c r="Z1098" s="14">
        <v>0.43807753612028599</v>
      </c>
      <c r="AA1098" s="14">
        <v>0.43200372240180002</v>
      </c>
      <c r="AB1098" s="14"/>
      <c r="AC1098" s="14">
        <v>0.42164541227505897</v>
      </c>
      <c r="AD1098" s="14">
        <v>0.39113901106725002</v>
      </c>
      <c r="AE1098" s="14">
        <v>0.40667792976177602</v>
      </c>
      <c r="AF1098" s="14">
        <v>0.59432440391628305</v>
      </c>
      <c r="AG1098" s="14">
        <v>0.638913218940106</v>
      </c>
      <c r="AH1098" s="14"/>
      <c r="AI1098" s="14">
        <v>0.45195300004318301</v>
      </c>
      <c r="AJ1098" s="14">
        <v>0.57833639754273902</v>
      </c>
      <c r="AK1098" s="14">
        <v>0.51134970103604405</v>
      </c>
      <c r="AL1098" s="14">
        <v>0.421545050734908</v>
      </c>
      <c r="AM1098" s="14">
        <v>0.39572804660607103</v>
      </c>
      <c r="AN1098" s="14">
        <v>0.38319014024605902</v>
      </c>
      <c r="AO1098" s="14"/>
      <c r="AP1098" s="14">
        <v>0.48990832481987101</v>
      </c>
      <c r="AQ1098" s="14">
        <v>0.40813034202816301</v>
      </c>
      <c r="AR1098" s="14"/>
      <c r="AS1098" s="14" t="s">
        <v>88</v>
      </c>
      <c r="AT1098" s="14">
        <v>0.45371079989749502</v>
      </c>
      <c r="AU1098" s="14">
        <v>1</v>
      </c>
      <c r="AV1098" s="14"/>
      <c r="AW1098" s="14">
        <v>0.42104023947013802</v>
      </c>
      <c r="AX1098" s="14">
        <v>0.625714493702201</v>
      </c>
      <c r="AY1098" s="14"/>
      <c r="AZ1098" s="14">
        <v>0.50915478058418795</v>
      </c>
      <c r="BA1098" s="14">
        <v>0.29143937377301299</v>
      </c>
    </row>
    <row r="1099" spans="2:53" x14ac:dyDescent="0.35">
      <c r="B1099" t="s">
        <v>155</v>
      </c>
      <c r="C1099" s="14">
        <v>0.32869284524716402</v>
      </c>
      <c r="D1099" s="14">
        <v>0.30054018087764101</v>
      </c>
      <c r="E1099" s="14">
        <v>0.35204807439966701</v>
      </c>
      <c r="F1099" s="14"/>
      <c r="G1099" s="14">
        <v>1</v>
      </c>
      <c r="H1099" s="14">
        <v>0.36405547934355798</v>
      </c>
      <c r="I1099" s="14">
        <v>0.34341349688904799</v>
      </c>
      <c r="J1099" s="14">
        <v>0.28182461957143101</v>
      </c>
      <c r="K1099" s="14">
        <v>8.0135625468646401E-2</v>
      </c>
      <c r="L1099" s="14">
        <v>0</v>
      </c>
      <c r="M1099" s="14"/>
      <c r="N1099" s="14">
        <v>0.27855132821406597</v>
      </c>
      <c r="O1099" s="14">
        <v>0.33560343677405702</v>
      </c>
      <c r="P1099" s="14">
        <v>0.34272286377004202</v>
      </c>
      <c r="Q1099" s="14">
        <v>0.345967542402291</v>
      </c>
      <c r="R1099" s="14"/>
      <c r="S1099" s="14">
        <v>0.337763479258477</v>
      </c>
      <c r="T1099" s="14">
        <v>0.38995666454821198</v>
      </c>
      <c r="U1099" s="14">
        <v>0.239801065966286</v>
      </c>
      <c r="V1099" s="14">
        <v>0.38560955939775599</v>
      </c>
      <c r="W1099" s="14">
        <v>0.45881455065107901</v>
      </c>
      <c r="X1099" s="14">
        <v>0.27033280932703802</v>
      </c>
      <c r="Y1099" s="14">
        <v>0.29557718989201098</v>
      </c>
      <c r="Z1099" s="14">
        <v>0.36832762821930998</v>
      </c>
      <c r="AA1099" s="14">
        <v>0.24860671350073099</v>
      </c>
      <c r="AB1099" s="14"/>
      <c r="AC1099" s="14">
        <v>0.31163818647627001</v>
      </c>
      <c r="AD1099" s="14">
        <v>0.34992247176028002</v>
      </c>
      <c r="AE1099" s="14">
        <v>0.40124715676817801</v>
      </c>
      <c r="AF1099" s="14">
        <v>0.26743430558782899</v>
      </c>
      <c r="AG1099" s="14">
        <v>0.243776589510935</v>
      </c>
      <c r="AH1099" s="14"/>
      <c r="AI1099" s="14">
        <v>0.33538963978254399</v>
      </c>
      <c r="AJ1099" s="14">
        <v>0.28873853753116502</v>
      </c>
      <c r="AK1099" s="14">
        <v>0.29521758790882102</v>
      </c>
      <c r="AL1099" s="14">
        <v>0.331036653166564</v>
      </c>
      <c r="AM1099" s="14">
        <v>0.49328056098109002</v>
      </c>
      <c r="AN1099" s="14">
        <v>0.22751212717449301</v>
      </c>
      <c r="AO1099" s="14"/>
      <c r="AP1099" s="14">
        <v>0.319245458424124</v>
      </c>
      <c r="AQ1099" s="14">
        <v>0.341149764964149</v>
      </c>
      <c r="AR1099" s="14"/>
      <c r="AS1099" s="14" t="s">
        <v>88</v>
      </c>
      <c r="AT1099" s="14">
        <v>0.32925122678956598</v>
      </c>
      <c r="AU1099" s="14">
        <v>0</v>
      </c>
      <c r="AV1099" s="14"/>
      <c r="AW1099" s="14">
        <v>0.32820315533834399</v>
      </c>
      <c r="AX1099" s="14">
        <v>0.31647333150624402</v>
      </c>
      <c r="AY1099" s="14"/>
      <c r="AZ1099" s="14">
        <v>0.30664122721442899</v>
      </c>
      <c r="BA1099" s="14">
        <v>0.42219804068431299</v>
      </c>
    </row>
    <row r="1100" spans="2:53" x14ac:dyDescent="0.35">
      <c r="B1100" t="s">
        <v>116</v>
      </c>
      <c r="C1100" s="14">
        <v>0.21666989572221901</v>
      </c>
      <c r="D1100" s="14">
        <v>0.19319807701157099</v>
      </c>
      <c r="E1100" s="14">
        <v>0.23614193209567899</v>
      </c>
      <c r="F1100" s="14"/>
      <c r="G1100" s="14">
        <v>0</v>
      </c>
      <c r="H1100" s="14">
        <v>0.22861742457787401</v>
      </c>
      <c r="I1100" s="14">
        <v>0.18519492229227</v>
      </c>
      <c r="J1100" s="14">
        <v>0.30068712467980202</v>
      </c>
      <c r="K1100" s="14">
        <v>8.4253366146259404E-2</v>
      </c>
      <c r="L1100" s="14">
        <v>0.65180798771521298</v>
      </c>
      <c r="M1100" s="14"/>
      <c r="N1100" s="14">
        <v>0.167980706035503</v>
      </c>
      <c r="O1100" s="14">
        <v>0.18041138380550101</v>
      </c>
      <c r="P1100" s="14">
        <v>0.232565263722051</v>
      </c>
      <c r="Q1100" s="14">
        <v>0.284337407945422</v>
      </c>
      <c r="R1100" s="14"/>
      <c r="S1100" s="14">
        <v>0.16893055479277899</v>
      </c>
      <c r="T1100" s="14">
        <v>0.167164083699475</v>
      </c>
      <c r="U1100" s="14">
        <v>0.105768905654034</v>
      </c>
      <c r="V1100" s="14">
        <v>0.25449380503707902</v>
      </c>
      <c r="W1100" s="14">
        <v>0.21027581964533101</v>
      </c>
      <c r="X1100" s="14">
        <v>0.30110170145105503</v>
      </c>
      <c r="Y1100" s="14">
        <v>0.19342056845459299</v>
      </c>
      <c r="Z1100" s="14">
        <v>0.193594835660404</v>
      </c>
      <c r="AA1100" s="14">
        <v>0.31938956409746899</v>
      </c>
      <c r="AB1100" s="14"/>
      <c r="AC1100" s="14">
        <v>0.26671640124867102</v>
      </c>
      <c r="AD1100" s="14">
        <v>0.25893851717247002</v>
      </c>
      <c r="AE1100" s="14">
        <v>0.19207491347004599</v>
      </c>
      <c r="AF1100" s="14">
        <v>0.13824129049588799</v>
      </c>
      <c r="AG1100" s="14">
        <v>0.11731019154896</v>
      </c>
      <c r="AH1100" s="14"/>
      <c r="AI1100" s="14">
        <v>0.212657360174274</v>
      </c>
      <c r="AJ1100" s="14">
        <v>0.13292506492609599</v>
      </c>
      <c r="AK1100" s="14">
        <v>0.19343271105513499</v>
      </c>
      <c r="AL1100" s="14">
        <v>0.247418296098528</v>
      </c>
      <c r="AM1100" s="14">
        <v>0.11099139241284001</v>
      </c>
      <c r="AN1100" s="14">
        <v>0.389297732579448</v>
      </c>
      <c r="AO1100" s="14"/>
      <c r="AP1100" s="14">
        <v>0.19084621675600499</v>
      </c>
      <c r="AQ1100" s="14">
        <v>0.25071989300768799</v>
      </c>
      <c r="AR1100" s="14"/>
      <c r="AS1100" s="14" t="s">
        <v>88</v>
      </c>
      <c r="AT1100" s="14">
        <v>0.217037973312938</v>
      </c>
      <c r="AU1100" s="14">
        <v>0</v>
      </c>
      <c r="AV1100" s="14"/>
      <c r="AW1100" s="14">
        <v>0.25075660519151699</v>
      </c>
      <c r="AX1100" s="14">
        <v>5.7812174791555301E-2</v>
      </c>
      <c r="AY1100" s="14"/>
      <c r="AZ1100" s="14">
        <v>0.184203992201383</v>
      </c>
      <c r="BA1100" s="14">
        <v>0.28636258554267402</v>
      </c>
    </row>
    <row r="1101" spans="2:53" x14ac:dyDescent="0.35"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</row>
    <row r="1102" spans="2:53" x14ac:dyDescent="0.35">
      <c r="B1102" s="6" t="s">
        <v>312</v>
      </c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</row>
    <row r="1103" spans="2:53" x14ac:dyDescent="0.35">
      <c r="B1103" s="30" t="s">
        <v>328</v>
      </c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</row>
    <row r="1104" spans="2:53" x14ac:dyDescent="0.35">
      <c r="B1104" t="s">
        <v>214</v>
      </c>
      <c r="C1104" s="14">
        <v>0.16712804817145299</v>
      </c>
      <c r="D1104" s="14">
        <v>0.190540249226897</v>
      </c>
      <c r="E1104" s="14">
        <v>0.14325075440139601</v>
      </c>
      <c r="F1104" s="14"/>
      <c r="G1104" s="14" t="s">
        <v>88</v>
      </c>
      <c r="H1104" s="14">
        <v>0.313213186797557</v>
      </c>
      <c r="I1104" s="14">
        <v>0.121926598401083</v>
      </c>
      <c r="J1104" s="14">
        <v>9.1441153290682795E-2</v>
      </c>
      <c r="K1104" s="14">
        <v>0.20513111868421599</v>
      </c>
      <c r="L1104" s="14">
        <v>0</v>
      </c>
      <c r="M1104" s="14"/>
      <c r="N1104" s="14">
        <v>0.103680470209885</v>
      </c>
      <c r="O1104" s="14">
        <v>0.16857693948240099</v>
      </c>
      <c r="P1104" s="14">
        <v>0.183666621539957</v>
      </c>
      <c r="Q1104" s="14">
        <v>0.22778290641530199</v>
      </c>
      <c r="R1104" s="14"/>
      <c r="S1104" s="14">
        <v>0.16379721491874299</v>
      </c>
      <c r="T1104" s="14">
        <v>0.22383878786273101</v>
      </c>
      <c r="U1104" s="14">
        <v>0.189006558649259</v>
      </c>
      <c r="V1104" s="14">
        <v>0.27879698215834497</v>
      </c>
      <c r="W1104" s="14">
        <v>0</v>
      </c>
      <c r="X1104" s="14">
        <v>0.33516900221231199</v>
      </c>
      <c r="Y1104" s="14">
        <v>5.8864604826617602E-2</v>
      </c>
      <c r="Z1104" s="14">
        <v>0.36232865525997598</v>
      </c>
      <c r="AA1104" s="14">
        <v>1.2207957008214001E-2</v>
      </c>
      <c r="AB1104" s="14"/>
      <c r="AC1104" s="14">
        <v>8.8820085483597197E-2</v>
      </c>
      <c r="AD1104" s="14">
        <v>0.180311301233157</v>
      </c>
      <c r="AE1104" s="14">
        <v>0.21477985255414</v>
      </c>
      <c r="AF1104" s="14">
        <v>0.201823256597047</v>
      </c>
      <c r="AG1104" s="14">
        <v>0.124796923527945</v>
      </c>
      <c r="AH1104" s="14"/>
      <c r="AI1104" s="14">
        <v>0.25746352998428002</v>
      </c>
      <c r="AJ1104" s="14">
        <v>0.182441036982083</v>
      </c>
      <c r="AK1104" s="14">
        <v>0.20166484101980101</v>
      </c>
      <c r="AL1104" s="14">
        <v>8.4725762142380007E-2</v>
      </c>
      <c r="AM1104" s="14">
        <v>0</v>
      </c>
      <c r="AN1104" s="14">
        <v>6.33171516290192E-2</v>
      </c>
      <c r="AO1104" s="14"/>
      <c r="AP1104" s="14">
        <v>0.181098734689846</v>
      </c>
      <c r="AQ1104" s="14">
        <v>0.14501581264348901</v>
      </c>
      <c r="AR1104" s="14"/>
      <c r="AS1104" s="14" t="s">
        <v>88</v>
      </c>
      <c r="AT1104" s="14">
        <v>0.16775381282369201</v>
      </c>
      <c r="AU1104" s="14">
        <v>0</v>
      </c>
      <c r="AV1104" s="14"/>
      <c r="AW1104" s="14">
        <v>0.181382348496299</v>
      </c>
      <c r="AX1104" s="14">
        <v>0.16207023212584401</v>
      </c>
      <c r="AY1104" s="14"/>
      <c r="AZ1104" s="14">
        <v>0.17269088413961001</v>
      </c>
      <c r="BA1104" s="14">
        <v>0.13368882870273499</v>
      </c>
    </row>
    <row r="1105" spans="2:53" x14ac:dyDescent="0.35">
      <c r="B1105" t="s">
        <v>215</v>
      </c>
      <c r="C1105" s="14">
        <v>0.57476130012146198</v>
      </c>
      <c r="D1105" s="14">
        <v>0.60507169763371205</v>
      </c>
      <c r="E1105" s="14">
        <v>0.54384877446984503</v>
      </c>
      <c r="F1105" s="14"/>
      <c r="G1105" s="14" t="s">
        <v>88</v>
      </c>
      <c r="H1105" s="14">
        <v>0.46656783789538903</v>
      </c>
      <c r="I1105" s="14">
        <v>0.63029965898043305</v>
      </c>
      <c r="J1105" s="14">
        <v>0.44475794568817401</v>
      </c>
      <c r="K1105" s="14">
        <v>0.79486888131578404</v>
      </c>
      <c r="L1105" s="14">
        <v>1</v>
      </c>
      <c r="M1105" s="14"/>
      <c r="N1105" s="14">
        <v>0.65350763975602599</v>
      </c>
      <c r="O1105" s="14">
        <v>0.52540645148994003</v>
      </c>
      <c r="P1105" s="14">
        <v>0.59794928120774704</v>
      </c>
      <c r="Q1105" s="14">
        <v>0.53061254888086296</v>
      </c>
      <c r="R1105" s="14"/>
      <c r="S1105" s="14">
        <v>0.71822693345858901</v>
      </c>
      <c r="T1105" s="14">
        <v>0.393755256926486</v>
      </c>
      <c r="U1105" s="14">
        <v>0.58772214669252298</v>
      </c>
      <c r="V1105" s="14">
        <v>0.37487724717453003</v>
      </c>
      <c r="W1105" s="14">
        <v>0.70081850656140299</v>
      </c>
      <c r="X1105" s="14">
        <v>0.50183237419905202</v>
      </c>
      <c r="Y1105" s="14">
        <v>0.70296517659552105</v>
      </c>
      <c r="Z1105" s="14">
        <v>0.55048887305993</v>
      </c>
      <c r="AA1105" s="14">
        <v>0.59935146407073103</v>
      </c>
      <c r="AB1105" s="14"/>
      <c r="AC1105" s="14">
        <v>0.70269586909689596</v>
      </c>
      <c r="AD1105" s="14">
        <v>0.48882979340259303</v>
      </c>
      <c r="AE1105" s="14">
        <v>0.49493888378345602</v>
      </c>
      <c r="AF1105" s="14">
        <v>0.65442959476689799</v>
      </c>
      <c r="AG1105" s="14">
        <v>0.51607223993435802</v>
      </c>
      <c r="AH1105" s="14"/>
      <c r="AI1105" s="14">
        <v>0.59889540535149099</v>
      </c>
      <c r="AJ1105" s="14">
        <v>0.495039462470447</v>
      </c>
      <c r="AK1105" s="14">
        <v>0.39564774660871299</v>
      </c>
      <c r="AL1105" s="14">
        <v>0.59149938549624503</v>
      </c>
      <c r="AM1105" s="14">
        <v>0.564791503778034</v>
      </c>
      <c r="AN1105" s="14">
        <v>0.831519039797736</v>
      </c>
      <c r="AO1105" s="14"/>
      <c r="AP1105" s="14">
        <v>0.53427297279764296</v>
      </c>
      <c r="AQ1105" s="14">
        <v>0.638844581121215</v>
      </c>
      <c r="AR1105" s="14"/>
      <c r="AS1105" s="14" t="s">
        <v>88</v>
      </c>
      <c r="AT1105" s="14">
        <v>0.57691333449884996</v>
      </c>
      <c r="AU1105" s="14">
        <v>0</v>
      </c>
      <c r="AV1105" s="14"/>
      <c r="AW1105" s="14">
        <v>0.54260474987763296</v>
      </c>
      <c r="AX1105" s="14">
        <v>0.67409949856511897</v>
      </c>
      <c r="AY1105" s="14"/>
      <c r="AZ1105" s="14">
        <v>0.59003322237119205</v>
      </c>
      <c r="BA1105" s="14">
        <v>0.48295899591165797</v>
      </c>
    </row>
    <row r="1106" spans="2:53" x14ac:dyDescent="0.35">
      <c r="B1106" t="s">
        <v>216</v>
      </c>
      <c r="C1106" s="14">
        <v>0.16160019287456501</v>
      </c>
      <c r="D1106" s="14">
        <v>0.153221142883433</v>
      </c>
      <c r="E1106" s="14">
        <v>0.170145696036717</v>
      </c>
      <c r="F1106" s="14"/>
      <c r="G1106" s="14" t="s">
        <v>88</v>
      </c>
      <c r="H1106" s="14">
        <v>0.136967779710331</v>
      </c>
      <c r="I1106" s="14">
        <v>0.16613836783449901</v>
      </c>
      <c r="J1106" s="14">
        <v>0.25614192251457002</v>
      </c>
      <c r="K1106" s="14">
        <v>0</v>
      </c>
      <c r="L1106" s="14">
        <v>0</v>
      </c>
      <c r="M1106" s="14"/>
      <c r="N1106" s="14">
        <v>0.123945437774462</v>
      </c>
      <c r="O1106" s="14">
        <v>0.198933333784379</v>
      </c>
      <c r="P1106" s="14">
        <v>0.118019228334081</v>
      </c>
      <c r="Q1106" s="14">
        <v>0.18907421452329701</v>
      </c>
      <c r="R1106" s="14"/>
      <c r="S1106" s="14">
        <v>6.7730183840964599E-3</v>
      </c>
      <c r="T1106" s="14">
        <v>0.29107933525982799</v>
      </c>
      <c r="U1106" s="14">
        <v>0.16388224283581901</v>
      </c>
      <c r="V1106" s="14">
        <v>0.346325770667125</v>
      </c>
      <c r="W1106" s="14">
        <v>0.245839125976409</v>
      </c>
      <c r="X1106" s="14">
        <v>5.1264531264781102E-2</v>
      </c>
      <c r="Y1106" s="14">
        <v>0.110248305317818</v>
      </c>
      <c r="Z1106" s="14">
        <v>8.7182471680094104E-2</v>
      </c>
      <c r="AA1106" s="14">
        <v>0.217142132806976</v>
      </c>
      <c r="AB1106" s="14"/>
      <c r="AC1106" s="14">
        <v>0.145318883175723</v>
      </c>
      <c r="AD1106" s="14">
        <v>0.18025370589662901</v>
      </c>
      <c r="AE1106" s="14">
        <v>0.178998586374467</v>
      </c>
      <c r="AF1106" s="14">
        <v>6.8713740858558706E-2</v>
      </c>
      <c r="AG1106" s="14">
        <v>0</v>
      </c>
      <c r="AH1106" s="14"/>
      <c r="AI1106" s="14">
        <v>8.6861090704472094E-2</v>
      </c>
      <c r="AJ1106" s="14">
        <v>0.219528954085285</v>
      </c>
      <c r="AK1106" s="14">
        <v>0.25506139547263001</v>
      </c>
      <c r="AL1106" s="14">
        <v>0.192744170436978</v>
      </c>
      <c r="AM1106" s="14">
        <v>0.220428827821635</v>
      </c>
      <c r="AN1106" s="14">
        <v>0.105163808573245</v>
      </c>
      <c r="AO1106" s="14"/>
      <c r="AP1106" s="14">
        <v>0.199270175783412</v>
      </c>
      <c r="AQ1106" s="14">
        <v>0.101977673013553</v>
      </c>
      <c r="AR1106" s="14"/>
      <c r="AS1106" s="14" t="s">
        <v>88</v>
      </c>
      <c r="AT1106" s="14">
        <v>0.16220526000484101</v>
      </c>
      <c r="AU1106" s="14">
        <v>0</v>
      </c>
      <c r="AV1106" s="14"/>
      <c r="AW1106" s="14">
        <v>0.16947215404985</v>
      </c>
      <c r="AX1106" s="14">
        <v>0.12289382119469799</v>
      </c>
      <c r="AY1106" s="14"/>
      <c r="AZ1106" s="14">
        <v>0.150063671976016</v>
      </c>
      <c r="BA1106" s="14">
        <v>0.230948319700577</v>
      </c>
    </row>
    <row r="1107" spans="2:53" x14ac:dyDescent="0.35">
      <c r="B1107" t="s">
        <v>217</v>
      </c>
      <c r="C1107" s="14">
        <v>9.9364916854985993E-3</v>
      </c>
      <c r="D1107" s="14">
        <v>0</v>
      </c>
      <c r="E1107" s="14">
        <v>2.0070375742641301E-2</v>
      </c>
      <c r="F1107" s="14"/>
      <c r="G1107" s="14" t="s">
        <v>88</v>
      </c>
      <c r="H1107" s="14">
        <v>2.0928133652326601E-2</v>
      </c>
      <c r="I1107" s="14">
        <v>9.4464100372703193E-3</v>
      </c>
      <c r="J1107" s="14">
        <v>0</v>
      </c>
      <c r="K1107" s="14">
        <v>0</v>
      </c>
      <c r="L1107" s="14">
        <v>0</v>
      </c>
      <c r="M1107" s="14"/>
      <c r="N1107" s="14">
        <v>0</v>
      </c>
      <c r="O1107" s="14">
        <v>3.14948451562507E-2</v>
      </c>
      <c r="P1107" s="14">
        <v>0</v>
      </c>
      <c r="Q1107" s="14">
        <v>0</v>
      </c>
      <c r="R1107" s="14"/>
      <c r="S1107" s="14">
        <v>0</v>
      </c>
      <c r="T1107" s="14">
        <v>6.0884413409750301E-2</v>
      </c>
      <c r="U1107" s="14">
        <v>0</v>
      </c>
      <c r="V1107" s="14">
        <v>0</v>
      </c>
      <c r="W1107" s="14">
        <v>0</v>
      </c>
      <c r="X1107" s="14">
        <v>0</v>
      </c>
      <c r="Y1107" s="14">
        <v>0</v>
      </c>
      <c r="Z1107" s="14">
        <v>0</v>
      </c>
      <c r="AA1107" s="14">
        <v>0</v>
      </c>
      <c r="AB1107" s="14"/>
      <c r="AC1107" s="14">
        <v>0</v>
      </c>
      <c r="AD1107" s="14">
        <v>2.5778419946257101E-2</v>
      </c>
      <c r="AE1107" s="14">
        <v>1.90076299059087E-2</v>
      </c>
      <c r="AF1107" s="14">
        <v>0</v>
      </c>
      <c r="AG1107" s="14">
        <v>0</v>
      </c>
      <c r="AH1107" s="14"/>
      <c r="AI1107" s="14">
        <v>0</v>
      </c>
      <c r="AJ1107" s="14">
        <v>2.1899242439666702E-2</v>
      </c>
      <c r="AK1107" s="14">
        <v>0</v>
      </c>
      <c r="AL1107" s="14">
        <v>3.9980373341307301E-2</v>
      </c>
      <c r="AM1107" s="14">
        <v>0</v>
      </c>
      <c r="AN1107" s="14">
        <v>0</v>
      </c>
      <c r="AO1107" s="14"/>
      <c r="AP1107" s="14">
        <v>1.6214446271101399E-2</v>
      </c>
      <c r="AQ1107" s="14">
        <v>0</v>
      </c>
      <c r="AR1107" s="14"/>
      <c r="AS1107" s="14" t="s">
        <v>88</v>
      </c>
      <c r="AT1107" s="14">
        <v>9.9736961244427397E-3</v>
      </c>
      <c r="AU1107" s="14">
        <v>0</v>
      </c>
      <c r="AV1107" s="14"/>
      <c r="AW1107" s="14">
        <v>1.3464342836409E-2</v>
      </c>
      <c r="AX1107" s="14">
        <v>0</v>
      </c>
      <c r="AY1107" s="14"/>
      <c r="AZ1107" s="14">
        <v>5.7947464629789199E-3</v>
      </c>
      <c r="BA1107" s="14">
        <v>3.4833276036529498E-2</v>
      </c>
    </row>
    <row r="1108" spans="2:53" x14ac:dyDescent="0.35">
      <c r="B1108" t="s">
        <v>116</v>
      </c>
      <c r="C1108" s="14">
        <v>4.0401272760790398E-2</v>
      </c>
      <c r="D1108" s="14">
        <v>2.6902405581384198E-2</v>
      </c>
      <c r="E1108" s="14">
        <v>5.41683003222901E-2</v>
      </c>
      <c r="F1108" s="14"/>
      <c r="G1108" s="14" t="s">
        <v>88</v>
      </c>
      <c r="H1108" s="14">
        <v>0</v>
      </c>
      <c r="I1108" s="14">
        <v>3.72245879772789E-2</v>
      </c>
      <c r="J1108" s="14">
        <v>0.12788952874102</v>
      </c>
      <c r="K1108" s="14">
        <v>0</v>
      </c>
      <c r="L1108" s="14">
        <v>0</v>
      </c>
      <c r="M1108" s="14"/>
      <c r="N1108" s="14">
        <v>3.4031354725381498E-2</v>
      </c>
      <c r="O1108" s="14">
        <v>6.0155745558215797E-2</v>
      </c>
      <c r="P1108" s="14">
        <v>6.7592748911216596E-2</v>
      </c>
      <c r="Q1108" s="14">
        <v>0</v>
      </c>
      <c r="R1108" s="14"/>
      <c r="S1108" s="14">
        <v>4.8404034095116698E-2</v>
      </c>
      <c r="T1108" s="14">
        <v>3.0442206541204799E-2</v>
      </c>
      <c r="U1108" s="14">
        <v>4.8328116091548697E-2</v>
      </c>
      <c r="V1108" s="14">
        <v>0</v>
      </c>
      <c r="W1108" s="14">
        <v>5.3342367462187797E-2</v>
      </c>
      <c r="X1108" s="14">
        <v>4.67118527241938E-2</v>
      </c>
      <c r="Y1108" s="14">
        <v>0</v>
      </c>
      <c r="Z1108" s="14">
        <v>0</v>
      </c>
      <c r="AA1108" s="14">
        <v>8.6052619981350206E-2</v>
      </c>
      <c r="AB1108" s="14"/>
      <c r="AC1108" s="14">
        <v>4.3502690617051497E-2</v>
      </c>
      <c r="AD1108" s="14">
        <v>2.9157973850504101E-2</v>
      </c>
      <c r="AE1108" s="14">
        <v>7.07755151782508E-2</v>
      </c>
      <c r="AF1108" s="14">
        <v>4.0018177057779498E-2</v>
      </c>
      <c r="AG1108" s="14">
        <v>0</v>
      </c>
      <c r="AH1108" s="14"/>
      <c r="AI1108" s="14">
        <v>0</v>
      </c>
      <c r="AJ1108" s="14">
        <v>4.6669477651773997E-2</v>
      </c>
      <c r="AK1108" s="14">
        <v>0.124428858174985</v>
      </c>
      <c r="AL1108" s="14">
        <v>5.2349197497269399E-2</v>
      </c>
      <c r="AM1108" s="14">
        <v>0.11906687783723501</v>
      </c>
      <c r="AN1108" s="14">
        <v>0</v>
      </c>
      <c r="AO1108" s="14"/>
      <c r="AP1108" s="14">
        <v>1.9785455176347898E-2</v>
      </c>
      <c r="AQ1108" s="14">
        <v>7.3031152003202898E-2</v>
      </c>
      <c r="AR1108" s="14"/>
      <c r="AS1108" s="14" t="s">
        <v>88</v>
      </c>
      <c r="AT1108" s="14">
        <v>3.6808321305846797E-2</v>
      </c>
      <c r="AU1108" s="14">
        <v>1</v>
      </c>
      <c r="AV1108" s="14"/>
      <c r="AW1108" s="14">
        <v>4.9690691506034702E-2</v>
      </c>
      <c r="AX1108" s="14">
        <v>0</v>
      </c>
      <c r="AY1108" s="14"/>
      <c r="AZ1108" s="14">
        <v>4.0069651434033599E-2</v>
      </c>
      <c r="BA1108" s="14">
        <v>4.2394708912675397E-2</v>
      </c>
    </row>
    <row r="1109" spans="2:53" x14ac:dyDescent="0.35"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</row>
    <row r="1110" spans="2:53" x14ac:dyDescent="0.35">
      <c r="B1110" s="6" t="s">
        <v>313</v>
      </c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</row>
    <row r="1111" spans="2:53" x14ac:dyDescent="0.35">
      <c r="B1111" s="30" t="s">
        <v>328</v>
      </c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</row>
    <row r="1112" spans="2:53" x14ac:dyDescent="0.35">
      <c r="B1112" t="s">
        <v>220</v>
      </c>
      <c r="C1112" s="14">
        <v>0.21165125181913</v>
      </c>
      <c r="D1112" s="14">
        <v>0.24022701687077</v>
      </c>
      <c r="E1112" s="14">
        <v>0.18250781779401001</v>
      </c>
      <c r="F1112" s="14"/>
      <c r="G1112" s="14" t="s">
        <v>88</v>
      </c>
      <c r="H1112" s="14">
        <v>0.23946531200044999</v>
      </c>
      <c r="I1112" s="14">
        <v>0.23276063675491099</v>
      </c>
      <c r="J1112" s="14">
        <v>9.0606687524860799E-2</v>
      </c>
      <c r="K1112" s="14">
        <v>0.26289941103387698</v>
      </c>
      <c r="L1112" s="14">
        <v>0</v>
      </c>
      <c r="M1112" s="14"/>
      <c r="N1112" s="14">
        <v>0.21515317821468999</v>
      </c>
      <c r="O1112" s="14">
        <v>0.23402909379905101</v>
      </c>
      <c r="P1112" s="14">
        <v>0.16874467470469501</v>
      </c>
      <c r="Q1112" s="14">
        <v>0.210098960188116</v>
      </c>
      <c r="R1112" s="14"/>
      <c r="S1112" s="14">
        <v>0.30224420473623298</v>
      </c>
      <c r="T1112" s="14">
        <v>0.24192864217797699</v>
      </c>
      <c r="U1112" s="14">
        <v>9.0108993651238603E-2</v>
      </c>
      <c r="V1112" s="14">
        <v>0.34449186738931298</v>
      </c>
      <c r="W1112" s="14">
        <v>0.15257844620577901</v>
      </c>
      <c r="X1112" s="14">
        <v>0.161257453546789</v>
      </c>
      <c r="Y1112" s="14">
        <v>5.09514591008767E-2</v>
      </c>
      <c r="Z1112" s="14">
        <v>0.36232865525997598</v>
      </c>
      <c r="AA1112" s="14">
        <v>0.28064681389549001</v>
      </c>
      <c r="AB1112" s="14"/>
      <c r="AC1112" s="14">
        <v>0.16691047966844</v>
      </c>
      <c r="AD1112" s="14">
        <v>7.5465366962915906E-2</v>
      </c>
      <c r="AE1112" s="14">
        <v>0.28763917580508902</v>
      </c>
      <c r="AF1112" s="14">
        <v>0.26918427587835297</v>
      </c>
      <c r="AG1112" s="14">
        <v>0.240939688509231</v>
      </c>
      <c r="AH1112" s="14"/>
      <c r="AI1112" s="14">
        <v>0.333647656455479</v>
      </c>
      <c r="AJ1112" s="14">
        <v>0.14045170340243901</v>
      </c>
      <c r="AK1112" s="14">
        <v>0.22736739733438999</v>
      </c>
      <c r="AL1112" s="14">
        <v>0.18518510987129899</v>
      </c>
      <c r="AM1112" s="14">
        <v>0.15478300038483001</v>
      </c>
      <c r="AN1112" s="14">
        <v>9.2845464412939602E-2</v>
      </c>
      <c r="AO1112" s="14"/>
      <c r="AP1112" s="14">
        <v>0.242555742730512</v>
      </c>
      <c r="AQ1112" s="14">
        <v>0.16273687806915901</v>
      </c>
      <c r="AR1112" s="14"/>
      <c r="AS1112" s="14" t="s">
        <v>88</v>
      </c>
      <c r="AT1112" s="14">
        <v>0.212443721266595</v>
      </c>
      <c r="AU1112" s="14">
        <v>0</v>
      </c>
      <c r="AV1112" s="14"/>
      <c r="AW1112" s="14">
        <v>0.184682578963248</v>
      </c>
      <c r="AX1112" s="14">
        <v>0.33857832939915</v>
      </c>
      <c r="AY1112" s="14"/>
      <c r="AZ1112" s="14">
        <v>0.229103317365248</v>
      </c>
      <c r="BA1112" s="14">
        <v>0.106743709457694</v>
      </c>
    </row>
    <row r="1113" spans="2:53" x14ac:dyDescent="0.35">
      <c r="B1113" t="s">
        <v>221</v>
      </c>
      <c r="C1113" s="14">
        <v>0.52623528375325501</v>
      </c>
      <c r="D1113" s="14">
        <v>0.53141396642400496</v>
      </c>
      <c r="E1113" s="14">
        <v>0.52095372448513799</v>
      </c>
      <c r="F1113" s="14"/>
      <c r="G1113" s="14" t="s">
        <v>88</v>
      </c>
      <c r="H1113" s="14">
        <v>0.51779153239396403</v>
      </c>
      <c r="I1113" s="14">
        <v>0.48954979057144299</v>
      </c>
      <c r="J1113" s="14">
        <v>0.62070381122309104</v>
      </c>
      <c r="K1113" s="14">
        <v>0.56661908476995604</v>
      </c>
      <c r="L1113" s="14">
        <v>1</v>
      </c>
      <c r="M1113" s="14"/>
      <c r="N1113" s="14">
        <v>0.55364969750291004</v>
      </c>
      <c r="O1113" s="14">
        <v>0.392656357724114</v>
      </c>
      <c r="P1113" s="14">
        <v>0.488345517726262</v>
      </c>
      <c r="Q1113" s="14">
        <v>0.70524530342365399</v>
      </c>
      <c r="R1113" s="14"/>
      <c r="S1113" s="14">
        <v>0.501486638141311</v>
      </c>
      <c r="T1113" s="14">
        <v>0.53447055787734299</v>
      </c>
      <c r="U1113" s="14">
        <v>0.74481312367238695</v>
      </c>
      <c r="V1113" s="14">
        <v>0.30918235367022701</v>
      </c>
      <c r="W1113" s="14">
        <v>0.27254554914256401</v>
      </c>
      <c r="X1113" s="14">
        <v>0.59663747995863503</v>
      </c>
      <c r="Y1113" s="14">
        <v>0.59155092463407499</v>
      </c>
      <c r="Z1113" s="14">
        <v>0.63767134474002396</v>
      </c>
      <c r="AA1113" s="14">
        <v>0.436664114039583</v>
      </c>
      <c r="AB1113" s="14"/>
      <c r="AC1113" s="14">
        <v>0.54617633045819702</v>
      </c>
      <c r="AD1113" s="14">
        <v>0.63226120747211101</v>
      </c>
      <c r="AE1113" s="14">
        <v>0.408342900726405</v>
      </c>
      <c r="AF1113" s="14">
        <v>0.49327331938227398</v>
      </c>
      <c r="AG1113" s="14">
        <v>0.32862841439120299</v>
      </c>
      <c r="AH1113" s="14"/>
      <c r="AI1113" s="14">
        <v>0.444127985338444</v>
      </c>
      <c r="AJ1113" s="14">
        <v>0.63681891664997103</v>
      </c>
      <c r="AK1113" s="14">
        <v>0.52276834368886704</v>
      </c>
      <c r="AL1113" s="14">
        <v>0.51110341790970404</v>
      </c>
      <c r="AM1113" s="14">
        <v>0.439606450251531</v>
      </c>
      <c r="AN1113" s="14">
        <v>0.70308654584196395</v>
      </c>
      <c r="AO1113" s="14"/>
      <c r="AP1113" s="14">
        <v>0.45625921427475502</v>
      </c>
      <c r="AQ1113" s="14">
        <v>0.63699056607905502</v>
      </c>
      <c r="AR1113" s="14"/>
      <c r="AS1113" s="14" t="s">
        <v>88</v>
      </c>
      <c r="AT1113" s="14">
        <v>0.52820562591267395</v>
      </c>
      <c r="AU1113" s="14">
        <v>0</v>
      </c>
      <c r="AV1113" s="14"/>
      <c r="AW1113" s="14">
        <v>0.52867633381302104</v>
      </c>
      <c r="AX1113" s="14">
        <v>0.46679721512045302</v>
      </c>
      <c r="AY1113" s="14"/>
      <c r="AZ1113" s="14">
        <v>0.51435473925930797</v>
      </c>
      <c r="BA1113" s="14">
        <v>0.59765139902523201</v>
      </c>
    </row>
    <row r="1114" spans="2:53" x14ac:dyDescent="0.35">
      <c r="B1114" t="s">
        <v>222</v>
      </c>
      <c r="C1114" s="14">
        <v>0.16489526713635499</v>
      </c>
      <c r="D1114" s="14">
        <v>0.15823053417208899</v>
      </c>
      <c r="E1114" s="14">
        <v>0.17169239767995101</v>
      </c>
      <c r="F1114" s="14"/>
      <c r="G1114" s="14" t="s">
        <v>88</v>
      </c>
      <c r="H1114" s="14">
        <v>0.14502956459809799</v>
      </c>
      <c r="I1114" s="14">
        <v>0.19860514483063499</v>
      </c>
      <c r="J1114" s="14">
        <v>8.9530082057112395E-2</v>
      </c>
      <c r="K1114" s="14">
        <v>0.17048150419616701</v>
      </c>
      <c r="L1114" s="14">
        <v>0</v>
      </c>
      <c r="M1114" s="14"/>
      <c r="N1114" s="14">
        <v>9.9690648828561504E-2</v>
      </c>
      <c r="O1114" s="14">
        <v>0.28508232930204602</v>
      </c>
      <c r="P1114" s="14">
        <v>0.188941092585933</v>
      </c>
      <c r="Q1114" s="14">
        <v>5.9776127008697999E-2</v>
      </c>
      <c r="R1114" s="14"/>
      <c r="S1114" s="14">
        <v>0.114659404362753</v>
      </c>
      <c r="T1114" s="14">
        <v>7.9069659391799496E-2</v>
      </c>
      <c r="U1114" s="14">
        <v>0.16507788267637499</v>
      </c>
      <c r="V1114" s="14">
        <v>0.34632577894046002</v>
      </c>
      <c r="W1114" s="14">
        <v>0.50520597289999303</v>
      </c>
      <c r="X1114" s="14">
        <v>0.13037097417072099</v>
      </c>
      <c r="Y1114" s="14">
        <v>0.14623674105840501</v>
      </c>
      <c r="Z1114" s="14">
        <v>0</v>
      </c>
      <c r="AA1114" s="14">
        <v>0.15675313940198701</v>
      </c>
      <c r="AB1114" s="14"/>
      <c r="AC1114" s="14">
        <v>0.15972375784048501</v>
      </c>
      <c r="AD1114" s="14">
        <v>0.13695910916294399</v>
      </c>
      <c r="AE1114" s="14">
        <v>0.192735246180569</v>
      </c>
      <c r="AF1114" s="14">
        <v>0.18725886157489399</v>
      </c>
      <c r="AG1114" s="14">
        <v>0</v>
      </c>
      <c r="AH1114" s="14"/>
      <c r="AI1114" s="14">
        <v>0.16544438424631999</v>
      </c>
      <c r="AJ1114" s="14">
        <v>0.14120038355797301</v>
      </c>
      <c r="AK1114" s="14">
        <v>0.179193206551575</v>
      </c>
      <c r="AL1114" s="14">
        <v>0.14278657747068099</v>
      </c>
      <c r="AM1114" s="14">
        <v>0.220428827821635</v>
      </c>
      <c r="AN1114" s="14">
        <v>0.18420995031050999</v>
      </c>
      <c r="AO1114" s="14"/>
      <c r="AP1114" s="14">
        <v>0.196464648251616</v>
      </c>
      <c r="AQ1114" s="14">
        <v>0.11492853216068299</v>
      </c>
      <c r="AR1114" s="14"/>
      <c r="AS1114" s="14" t="s">
        <v>88</v>
      </c>
      <c r="AT1114" s="14">
        <v>0.16551267175888501</v>
      </c>
      <c r="AU1114" s="14">
        <v>0</v>
      </c>
      <c r="AV1114" s="14"/>
      <c r="AW1114" s="14">
        <v>0.18068851165890201</v>
      </c>
      <c r="AX1114" s="14">
        <v>0.15368800736605701</v>
      </c>
      <c r="AY1114" s="14"/>
      <c r="AZ1114" s="14">
        <v>0.16693940952442299</v>
      </c>
      <c r="BA1114" s="14">
        <v>0.15260755519748501</v>
      </c>
    </row>
    <row r="1115" spans="2:53" x14ac:dyDescent="0.35">
      <c r="B1115" t="s">
        <v>223</v>
      </c>
      <c r="C1115" s="14">
        <v>1.5684076551034699E-2</v>
      </c>
      <c r="D1115" s="14">
        <v>1.8961572277177399E-2</v>
      </c>
      <c r="E1115" s="14">
        <v>1.2341472064686301E-2</v>
      </c>
      <c r="F1115" s="14"/>
      <c r="G1115" s="14" t="s">
        <v>88</v>
      </c>
      <c r="H1115" s="14">
        <v>2.5737831870891001E-2</v>
      </c>
      <c r="I1115" s="14">
        <v>1.8203650415057698E-2</v>
      </c>
      <c r="J1115" s="14">
        <v>0</v>
      </c>
      <c r="K1115" s="14">
        <v>0</v>
      </c>
      <c r="L1115" s="14">
        <v>0</v>
      </c>
      <c r="M1115" s="14"/>
      <c r="N1115" s="14">
        <v>4.1559038606242202E-3</v>
      </c>
      <c r="O1115" s="14">
        <v>1.5747422493460499E-2</v>
      </c>
      <c r="P1115" s="14">
        <v>5.3603846064895197E-2</v>
      </c>
      <c r="Q1115" s="14">
        <v>0</v>
      </c>
      <c r="R1115" s="14"/>
      <c r="S1115" s="14">
        <v>0</v>
      </c>
      <c r="T1115" s="14">
        <v>3.0442206541204799E-2</v>
      </c>
      <c r="U1115" s="14">
        <v>0</v>
      </c>
      <c r="V1115" s="14">
        <v>0</v>
      </c>
      <c r="W1115" s="14">
        <v>1.6327664289476101E-2</v>
      </c>
      <c r="X1115" s="14">
        <v>0</v>
      </c>
      <c r="Y1115" s="14">
        <v>8.3338961946599802E-2</v>
      </c>
      <c r="Z1115" s="14">
        <v>0</v>
      </c>
      <c r="AA1115" s="14">
        <v>0</v>
      </c>
      <c r="AB1115" s="14"/>
      <c r="AC1115" s="14">
        <v>6.4024269789094201E-2</v>
      </c>
      <c r="AD1115" s="14">
        <v>2.5778419946257101E-2</v>
      </c>
      <c r="AE1115" s="14">
        <v>0</v>
      </c>
      <c r="AF1115" s="14">
        <v>0</v>
      </c>
      <c r="AG1115" s="14">
        <v>7.1301060561869106E-2</v>
      </c>
      <c r="AH1115" s="14"/>
      <c r="AI1115" s="14">
        <v>0</v>
      </c>
      <c r="AJ1115" s="14">
        <v>0</v>
      </c>
      <c r="AK1115" s="14">
        <v>0</v>
      </c>
      <c r="AL1115" s="14">
        <v>3.9980373341307301E-2</v>
      </c>
      <c r="AM1115" s="14">
        <v>0</v>
      </c>
      <c r="AN1115" s="14">
        <v>1.9858039434587301E-2</v>
      </c>
      <c r="AO1115" s="14"/>
      <c r="AP1115" s="14">
        <v>2.3730201134162798E-2</v>
      </c>
      <c r="AQ1115" s="14">
        <v>2.9489971664071902E-3</v>
      </c>
      <c r="AR1115" s="14"/>
      <c r="AS1115" s="14" t="s">
        <v>88</v>
      </c>
      <c r="AT1115" s="14">
        <v>1.5742801228406499E-2</v>
      </c>
      <c r="AU1115" s="14">
        <v>0</v>
      </c>
      <c r="AV1115" s="14"/>
      <c r="AW1115" s="14">
        <v>1.9705363865355398E-2</v>
      </c>
      <c r="AX1115" s="14">
        <v>0</v>
      </c>
      <c r="AY1115" s="14"/>
      <c r="AZ1115" s="14">
        <v>7.1264935840091703E-3</v>
      </c>
      <c r="BA1115" s="14">
        <v>6.7125265288973099E-2</v>
      </c>
    </row>
    <row r="1116" spans="2:53" x14ac:dyDescent="0.35">
      <c r="B1116" t="s">
        <v>116</v>
      </c>
      <c r="C1116" s="14">
        <v>3.3740138873584E-2</v>
      </c>
      <c r="D1116" s="14">
        <v>2.6902405581384198E-2</v>
      </c>
      <c r="E1116" s="14">
        <v>4.0713706465649001E-2</v>
      </c>
      <c r="F1116" s="14"/>
      <c r="G1116" s="14" t="s">
        <v>88</v>
      </c>
      <c r="H1116" s="14">
        <v>1.5648430195214998E-2</v>
      </c>
      <c r="I1116" s="14">
        <v>2.45886516038374E-2</v>
      </c>
      <c r="J1116" s="14">
        <v>0.104979659158183</v>
      </c>
      <c r="K1116" s="14">
        <v>0</v>
      </c>
      <c r="L1116" s="14">
        <v>0</v>
      </c>
      <c r="M1116" s="14"/>
      <c r="N1116" s="14">
        <v>3.3975345041354799E-2</v>
      </c>
      <c r="O1116" s="14">
        <v>5.6737374018538803E-2</v>
      </c>
      <c r="P1116" s="14">
        <v>3.64223057744643E-2</v>
      </c>
      <c r="Q1116" s="14">
        <v>0</v>
      </c>
      <c r="R1116" s="14"/>
      <c r="S1116" s="14">
        <v>4.8404034095116698E-2</v>
      </c>
      <c r="T1116" s="14">
        <v>8.3646727143130206E-2</v>
      </c>
      <c r="U1116" s="14">
        <v>0</v>
      </c>
      <c r="V1116" s="14">
        <v>0</v>
      </c>
      <c r="W1116" s="14">
        <v>0</v>
      </c>
      <c r="X1116" s="14">
        <v>0</v>
      </c>
      <c r="Y1116" s="14">
        <v>0</v>
      </c>
      <c r="Z1116" s="14">
        <v>0</v>
      </c>
      <c r="AA1116" s="14">
        <v>8.6052619981350206E-2</v>
      </c>
      <c r="AB1116" s="14"/>
      <c r="AC1116" s="14">
        <v>4.3502690617051497E-2</v>
      </c>
      <c r="AD1116" s="14">
        <v>4.84330707976749E-2</v>
      </c>
      <c r="AE1116" s="14">
        <v>6.8483778601165599E-2</v>
      </c>
      <c r="AF1116" s="14">
        <v>0</v>
      </c>
      <c r="AG1116" s="14">
        <v>0</v>
      </c>
      <c r="AH1116" s="14"/>
      <c r="AI1116" s="14">
        <v>0</v>
      </c>
      <c r="AJ1116" s="14">
        <v>6.8568720091440702E-2</v>
      </c>
      <c r="AK1116" s="14">
        <v>0</v>
      </c>
      <c r="AL1116" s="14">
        <v>8.2243410321188995E-2</v>
      </c>
      <c r="AM1116" s="14">
        <v>0</v>
      </c>
      <c r="AN1116" s="14">
        <v>0</v>
      </c>
      <c r="AO1116" s="14"/>
      <c r="AP1116" s="14">
        <v>3.39546290644792E-2</v>
      </c>
      <c r="AQ1116" s="14">
        <v>3.3400652505947703E-2</v>
      </c>
      <c r="AR1116" s="14"/>
      <c r="AS1116" s="14" t="s">
        <v>88</v>
      </c>
      <c r="AT1116" s="14">
        <v>3.38664694715878E-2</v>
      </c>
      <c r="AU1116" s="14">
        <v>0</v>
      </c>
      <c r="AV1116" s="14"/>
      <c r="AW1116" s="14">
        <v>4.571923486888E-2</v>
      </c>
      <c r="AX1116" s="14">
        <v>0</v>
      </c>
      <c r="AY1116" s="14"/>
      <c r="AZ1116" s="14">
        <v>3.3558288255513997E-2</v>
      </c>
      <c r="BA1116" s="14">
        <v>3.4833276036529498E-2</v>
      </c>
    </row>
    <row r="1117" spans="2:53" x14ac:dyDescent="0.35">
      <c r="B1117" t="s">
        <v>224</v>
      </c>
      <c r="C1117" s="14">
        <v>0.73788653557238504</v>
      </c>
      <c r="D1117" s="14">
        <v>0.77164098329477604</v>
      </c>
      <c r="E1117" s="14">
        <v>0.70346154227914803</v>
      </c>
      <c r="F1117" s="14"/>
      <c r="G1117" s="14" t="s">
        <v>88</v>
      </c>
      <c r="H1117" s="14">
        <v>0.75725684439441399</v>
      </c>
      <c r="I1117" s="14">
        <v>0.72231042732635398</v>
      </c>
      <c r="J1117" s="14">
        <v>0.71131049874795205</v>
      </c>
      <c r="K1117" s="14">
        <v>0.82951849580383297</v>
      </c>
      <c r="L1117" s="14">
        <v>1</v>
      </c>
      <c r="M1117" s="14"/>
      <c r="N1117" s="14">
        <v>0.76880287571760098</v>
      </c>
      <c r="O1117" s="14">
        <v>0.62668545152316402</v>
      </c>
      <c r="P1117" s="14">
        <v>0.65709019243095701</v>
      </c>
      <c r="Q1117" s="14">
        <v>0.91534426361177001</v>
      </c>
      <c r="R1117" s="14"/>
      <c r="S1117" s="14">
        <v>0.80373084287754404</v>
      </c>
      <c r="T1117" s="14">
        <v>0.77639920005532004</v>
      </c>
      <c r="U1117" s="14">
        <v>0.83492211732362498</v>
      </c>
      <c r="V1117" s="14">
        <v>0.65367422105953998</v>
      </c>
      <c r="W1117" s="14">
        <v>0.425123995348343</v>
      </c>
      <c r="X1117" s="14">
        <v>0.75789493350542403</v>
      </c>
      <c r="Y1117" s="14">
        <v>0.64250238373495205</v>
      </c>
      <c r="Z1117" s="14">
        <v>1</v>
      </c>
      <c r="AA1117" s="14">
        <v>0.71731092793507301</v>
      </c>
      <c r="AB1117" s="14"/>
      <c r="AC1117" s="14">
        <v>0.71308681012663699</v>
      </c>
      <c r="AD1117" s="14">
        <v>0.70772657443502596</v>
      </c>
      <c r="AE1117" s="14">
        <v>0.69598207653149402</v>
      </c>
      <c r="AF1117" s="14">
        <v>0.76245759526062595</v>
      </c>
      <c r="AG1117" s="14">
        <v>0.56956810290043403</v>
      </c>
      <c r="AH1117" s="14"/>
      <c r="AI1117" s="14">
        <v>0.777775641793923</v>
      </c>
      <c r="AJ1117" s="14">
        <v>0.77727062005240999</v>
      </c>
      <c r="AK1117" s="14">
        <v>0.75013574102325598</v>
      </c>
      <c r="AL1117" s="14">
        <v>0.69628852778100303</v>
      </c>
      <c r="AM1117" s="14">
        <v>0.59438945063636095</v>
      </c>
      <c r="AN1117" s="14">
        <v>0.79593201025490301</v>
      </c>
      <c r="AO1117" s="14"/>
      <c r="AP1117" s="14">
        <v>0.69881495700526697</v>
      </c>
      <c r="AQ1117" s="14">
        <v>0.79972744414821295</v>
      </c>
      <c r="AR1117" s="14"/>
      <c r="AS1117" s="14" t="s">
        <v>88</v>
      </c>
      <c r="AT1117" s="14">
        <v>0.740649347179269</v>
      </c>
      <c r="AU1117" s="14">
        <v>0</v>
      </c>
      <c r="AV1117" s="14"/>
      <c r="AW1117" s="14">
        <v>0.71335891277626895</v>
      </c>
      <c r="AX1117" s="14">
        <v>0.80537554451960303</v>
      </c>
      <c r="AY1117" s="14"/>
      <c r="AZ1117" s="14">
        <v>0.743458056624556</v>
      </c>
      <c r="BA1117" s="14">
        <v>0.70439510848292497</v>
      </c>
    </row>
    <row r="1118" spans="2:53" x14ac:dyDescent="0.35"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</row>
    <row r="1119" spans="2:53" x14ac:dyDescent="0.35">
      <c r="B1119" s="6" t="s">
        <v>314</v>
      </c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</row>
    <row r="1120" spans="2:53" x14ac:dyDescent="0.35">
      <c r="B1120" s="30" t="s">
        <v>328</v>
      </c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</row>
    <row r="1121" spans="2:53" x14ac:dyDescent="0.35">
      <c r="B1121" t="s">
        <v>226</v>
      </c>
      <c r="C1121" s="14">
        <v>0.22584866916548399</v>
      </c>
      <c r="D1121" s="14">
        <v>0.21800754494105501</v>
      </c>
      <c r="E1121" s="14">
        <v>0.233845560450965</v>
      </c>
      <c r="F1121" s="14"/>
      <c r="G1121" s="14" t="s">
        <v>88</v>
      </c>
      <c r="H1121" s="14">
        <v>0.31686869183282701</v>
      </c>
      <c r="I1121" s="14">
        <v>0.206185895762557</v>
      </c>
      <c r="J1121" s="14">
        <v>0.17708781784977901</v>
      </c>
      <c r="K1121" s="14">
        <v>0.19905108002198099</v>
      </c>
      <c r="L1121" s="14">
        <v>0</v>
      </c>
      <c r="M1121" s="14"/>
      <c r="N1121" s="14">
        <v>0.27135214521302797</v>
      </c>
      <c r="O1121" s="14">
        <v>0.25617964493435402</v>
      </c>
      <c r="P1121" s="14">
        <v>6.9194432651659296E-2</v>
      </c>
      <c r="Q1121" s="14">
        <v>0.25140967535934799</v>
      </c>
      <c r="R1121" s="14"/>
      <c r="S1121" s="14">
        <v>0.28474286978114999</v>
      </c>
      <c r="T1121" s="14">
        <v>0.26824670922823002</v>
      </c>
      <c r="U1121" s="14">
        <v>0.13739296680983601</v>
      </c>
      <c r="V1121" s="14">
        <v>0.37807321429354301</v>
      </c>
      <c r="W1121" s="14">
        <v>0.240245926209468</v>
      </c>
      <c r="X1121" s="14">
        <v>0.161257453546789</v>
      </c>
      <c r="Y1121" s="14">
        <v>0.10686883124680201</v>
      </c>
      <c r="Z1121" s="14">
        <v>0.36232865525997598</v>
      </c>
      <c r="AA1121" s="14">
        <v>0.22463820482973501</v>
      </c>
      <c r="AB1121" s="14"/>
      <c r="AC1121" s="14">
        <v>0.14506817879484901</v>
      </c>
      <c r="AD1121" s="14">
        <v>0.108629086124388</v>
      </c>
      <c r="AE1121" s="14">
        <v>0.29193089669083699</v>
      </c>
      <c r="AF1121" s="14">
        <v>0.27530224172819701</v>
      </c>
      <c r="AG1121" s="14">
        <v>0.3122407490711</v>
      </c>
      <c r="AH1121" s="14"/>
      <c r="AI1121" s="14">
        <v>0.31854805137290199</v>
      </c>
      <c r="AJ1121" s="14">
        <v>0.109463408291975</v>
      </c>
      <c r="AK1121" s="14">
        <v>0.29433109881930802</v>
      </c>
      <c r="AL1121" s="14">
        <v>0.24858062976763001</v>
      </c>
      <c r="AM1121" s="14">
        <v>0.26147884126879101</v>
      </c>
      <c r="AN1121" s="14">
        <v>0.112703503847527</v>
      </c>
      <c r="AO1121" s="14"/>
      <c r="AP1121" s="14">
        <v>0.224925522944248</v>
      </c>
      <c r="AQ1121" s="14">
        <v>0.22730978753241901</v>
      </c>
      <c r="AR1121" s="14"/>
      <c r="AS1121" s="14" t="s">
        <v>88</v>
      </c>
      <c r="AT1121" s="14">
        <v>0.22669429690699799</v>
      </c>
      <c r="AU1121" s="14">
        <v>0</v>
      </c>
      <c r="AV1121" s="14"/>
      <c r="AW1121" s="14">
        <v>0.18454124372290701</v>
      </c>
      <c r="AX1121" s="14">
        <v>0.40268414609789299</v>
      </c>
      <c r="AY1121" s="14"/>
      <c r="AZ1121" s="14">
        <v>0.235852110672331</v>
      </c>
      <c r="BA1121" s="14">
        <v>0.16571616159114799</v>
      </c>
    </row>
    <row r="1122" spans="2:53" x14ac:dyDescent="0.35">
      <c r="B1122" t="s">
        <v>227</v>
      </c>
      <c r="C1122" s="14">
        <v>0.41296224817896299</v>
      </c>
      <c r="D1122" s="14">
        <v>0.43425231210562099</v>
      </c>
      <c r="E1122" s="14">
        <v>0.39124924863841198</v>
      </c>
      <c r="F1122" s="14"/>
      <c r="G1122" s="14" t="s">
        <v>88</v>
      </c>
      <c r="H1122" s="14">
        <v>0.37331532290890401</v>
      </c>
      <c r="I1122" s="14">
        <v>0.43422040881365098</v>
      </c>
      <c r="J1122" s="14">
        <v>0.28808951611519901</v>
      </c>
      <c r="K1122" s="14">
        <v>0.63046741578185195</v>
      </c>
      <c r="L1122" s="14">
        <v>1</v>
      </c>
      <c r="M1122" s="14"/>
      <c r="N1122" s="14">
        <v>0.42118449051451601</v>
      </c>
      <c r="O1122" s="14">
        <v>0.27964981628476399</v>
      </c>
      <c r="P1122" s="14">
        <v>0.581127939346052</v>
      </c>
      <c r="Q1122" s="14">
        <v>0.45520628223752402</v>
      </c>
      <c r="R1122" s="14"/>
      <c r="S1122" s="14">
        <v>0.310684944930325</v>
      </c>
      <c r="T1122" s="14">
        <v>0.43765697970797302</v>
      </c>
      <c r="U1122" s="14">
        <v>0.57530639832850405</v>
      </c>
      <c r="V1122" s="14">
        <v>0.38880602435480199</v>
      </c>
      <c r="W1122" s="14">
        <v>0.174499312791388</v>
      </c>
      <c r="X1122" s="14">
        <v>0.46381654456870902</v>
      </c>
      <c r="Y1122" s="14">
        <v>0.45866308132101902</v>
      </c>
      <c r="Z1122" s="14">
        <v>0.28520068032225998</v>
      </c>
      <c r="AA1122" s="14">
        <v>0.44218775063104698</v>
      </c>
      <c r="AB1122" s="14"/>
      <c r="AC1122" s="14">
        <v>0.27017106997100598</v>
      </c>
      <c r="AD1122" s="14">
        <v>0.494109798855009</v>
      </c>
      <c r="AE1122" s="14">
        <v>0.37895945178914398</v>
      </c>
      <c r="AF1122" s="14">
        <v>0.48970078914318099</v>
      </c>
      <c r="AG1122" s="14">
        <v>0.32862841439120299</v>
      </c>
      <c r="AH1122" s="14"/>
      <c r="AI1122" s="14">
        <v>0.43786209106093998</v>
      </c>
      <c r="AJ1122" s="14">
        <v>0.49206625579088098</v>
      </c>
      <c r="AK1122" s="14">
        <v>0.45580464220394901</v>
      </c>
      <c r="AL1122" s="14">
        <v>0.27347977072151403</v>
      </c>
      <c r="AM1122" s="14">
        <v>0.33291060936757</v>
      </c>
      <c r="AN1122" s="14">
        <v>0.52601833470109904</v>
      </c>
      <c r="AO1122" s="14"/>
      <c r="AP1122" s="14">
        <v>0.397105026394376</v>
      </c>
      <c r="AQ1122" s="14">
        <v>0.43806041514866301</v>
      </c>
      <c r="AR1122" s="14"/>
      <c r="AS1122" s="14" t="s">
        <v>88</v>
      </c>
      <c r="AT1122" s="14">
        <v>0.41450847085341302</v>
      </c>
      <c r="AU1122" s="14">
        <v>0</v>
      </c>
      <c r="AV1122" s="14"/>
      <c r="AW1122" s="14">
        <v>0.422416913930175</v>
      </c>
      <c r="AX1122" s="14">
        <v>0.29700778664606597</v>
      </c>
      <c r="AY1122" s="14"/>
      <c r="AZ1122" s="14">
        <v>0.44808481447612802</v>
      </c>
      <c r="BA1122" s="14">
        <v>0.20183410968295401</v>
      </c>
    </row>
    <row r="1123" spans="2:53" x14ac:dyDescent="0.35">
      <c r="B1123" t="s">
        <v>228</v>
      </c>
      <c r="C1123" s="14">
        <v>0.274532362260275</v>
      </c>
      <c r="D1123" s="14">
        <v>0.26031804679144699</v>
      </c>
      <c r="E1123" s="14">
        <v>0.28902905077690499</v>
      </c>
      <c r="F1123" s="14"/>
      <c r="G1123" s="14" t="s">
        <v>88</v>
      </c>
      <c r="H1123" s="14">
        <v>0.24376455299510899</v>
      </c>
      <c r="I1123" s="14">
        <v>0.26299527276019402</v>
      </c>
      <c r="J1123" s="14">
        <v>0.41093717150395398</v>
      </c>
      <c r="K1123" s="14">
        <v>0.17048150419616701</v>
      </c>
      <c r="L1123" s="14">
        <v>0</v>
      </c>
      <c r="M1123" s="14"/>
      <c r="N1123" s="14">
        <v>0.20028001269533999</v>
      </c>
      <c r="O1123" s="14">
        <v>0.33173899449074201</v>
      </c>
      <c r="P1123" s="14">
        <v>0.263301661930395</v>
      </c>
      <c r="Q1123" s="14">
        <v>0.29338404240312799</v>
      </c>
      <c r="R1123" s="14"/>
      <c r="S1123" s="14">
        <v>0.31618941414472401</v>
      </c>
      <c r="T1123" s="14">
        <v>0.202769690785502</v>
      </c>
      <c r="U1123" s="14">
        <v>0.238972518770111</v>
      </c>
      <c r="V1123" s="14">
        <v>0.10000800521703899</v>
      </c>
      <c r="W1123" s="14">
        <v>0.53191239353695596</v>
      </c>
      <c r="X1123" s="14">
        <v>0.334574011848362</v>
      </c>
      <c r="Y1123" s="14">
        <v>0.23727989219741999</v>
      </c>
      <c r="Z1123" s="14">
        <v>0.35247066441776398</v>
      </c>
      <c r="AA1123" s="14">
        <v>0.25340741917603798</v>
      </c>
      <c r="AB1123" s="14"/>
      <c r="AC1123" s="14">
        <v>0.46234411986184998</v>
      </c>
      <c r="AD1123" s="14">
        <v>0.26554856510418801</v>
      </c>
      <c r="AE1123" s="14">
        <v>0.234862980374588</v>
      </c>
      <c r="AF1123" s="14">
        <v>0.15996356135112599</v>
      </c>
      <c r="AG1123" s="14">
        <v>0.35913083653769701</v>
      </c>
      <c r="AH1123" s="14"/>
      <c r="AI1123" s="14">
        <v>0.20246053750013299</v>
      </c>
      <c r="AJ1123" s="14">
        <v>0.32498967455968703</v>
      </c>
      <c r="AK1123" s="14">
        <v>0.10223824207788799</v>
      </c>
      <c r="AL1123" s="14">
        <v>0.43923848842503599</v>
      </c>
      <c r="AM1123" s="14">
        <v>0.33949570565887</v>
      </c>
      <c r="AN1123" s="14">
        <v>0.13751069919262199</v>
      </c>
      <c r="AO1123" s="14"/>
      <c r="AP1123" s="14">
        <v>0.29135108446154701</v>
      </c>
      <c r="AQ1123" s="14">
        <v>0.24791237145994299</v>
      </c>
      <c r="AR1123" s="14"/>
      <c r="AS1123" s="14" t="s">
        <v>88</v>
      </c>
      <c r="AT1123" s="14">
        <v>0.27556027259655702</v>
      </c>
      <c r="AU1123" s="14">
        <v>0</v>
      </c>
      <c r="AV1123" s="14"/>
      <c r="AW1123" s="14">
        <v>0.28958621721411498</v>
      </c>
      <c r="AX1123" s="14">
        <v>0.26826617426994198</v>
      </c>
      <c r="AY1123" s="14"/>
      <c r="AZ1123" s="14">
        <v>0.24583163067554201</v>
      </c>
      <c r="BA1123" s="14">
        <v>0.44705768349363401</v>
      </c>
    </row>
    <row r="1124" spans="2:53" x14ac:dyDescent="0.35">
      <c r="B1124" t="s">
        <v>229</v>
      </c>
      <c r="C1124" s="14">
        <v>2.7408495576810799E-2</v>
      </c>
      <c r="D1124" s="14">
        <v>3.6255185905919203E-2</v>
      </c>
      <c r="E1124" s="14">
        <v>1.8386062214795499E-2</v>
      </c>
      <c r="F1124" s="14"/>
      <c r="G1124" s="14" t="s">
        <v>88</v>
      </c>
      <c r="H1124" s="14">
        <v>3.8343673718324298E-2</v>
      </c>
      <c r="I1124" s="14">
        <v>3.4806012935891598E-2</v>
      </c>
      <c r="J1124" s="14">
        <v>0</v>
      </c>
      <c r="K1124" s="14">
        <v>0</v>
      </c>
      <c r="L1124" s="14">
        <v>0</v>
      </c>
      <c r="M1124" s="14"/>
      <c r="N1124" s="14">
        <v>0</v>
      </c>
      <c r="O1124" s="14">
        <v>5.6528376069134301E-2</v>
      </c>
      <c r="P1124" s="14">
        <v>5.3603846064895197E-2</v>
      </c>
      <c r="Q1124" s="14">
        <v>0</v>
      </c>
      <c r="R1124" s="14"/>
      <c r="S1124" s="14">
        <v>0</v>
      </c>
      <c r="T1124" s="14">
        <v>3.0442206868545402E-2</v>
      </c>
      <c r="U1124" s="14">
        <v>0</v>
      </c>
      <c r="V1124" s="14">
        <v>0.13311275613461501</v>
      </c>
      <c r="W1124" s="14">
        <v>0</v>
      </c>
      <c r="X1124" s="14">
        <v>0</v>
      </c>
      <c r="Y1124" s="14">
        <v>0.11932738600439</v>
      </c>
      <c r="Z1124" s="14">
        <v>0</v>
      </c>
      <c r="AA1124" s="14">
        <v>0</v>
      </c>
      <c r="AB1124" s="14"/>
      <c r="AC1124" s="14">
        <v>0.122416631372294</v>
      </c>
      <c r="AD1124" s="14">
        <v>4.7230170631261198E-2</v>
      </c>
      <c r="AE1124" s="14">
        <v>0</v>
      </c>
      <c r="AF1124" s="14">
        <v>0</v>
      </c>
      <c r="AG1124" s="14">
        <v>0</v>
      </c>
      <c r="AH1124" s="14"/>
      <c r="AI1124" s="14">
        <v>0</v>
      </c>
      <c r="AJ1124" s="14">
        <v>0</v>
      </c>
      <c r="AK1124" s="14">
        <v>0</v>
      </c>
      <c r="AL1124" s="14">
        <v>0</v>
      </c>
      <c r="AM1124" s="14">
        <v>0</v>
      </c>
      <c r="AN1124" s="14">
        <v>0.22376746225875199</v>
      </c>
      <c r="AO1124" s="14"/>
      <c r="AP1124" s="14">
        <v>3.7978900751245999E-2</v>
      </c>
      <c r="AQ1124" s="14">
        <v>1.0678087337E-2</v>
      </c>
      <c r="AR1124" s="14"/>
      <c r="AS1124" s="14" t="s">
        <v>88</v>
      </c>
      <c r="AT1124" s="14">
        <v>2.7511119091479099E-2</v>
      </c>
      <c r="AU1124" s="14">
        <v>0</v>
      </c>
      <c r="AV1124" s="14"/>
      <c r="AW1124" s="14">
        <v>3.7139605482179899E-2</v>
      </c>
      <c r="AX1124" s="14">
        <v>0</v>
      </c>
      <c r="AY1124" s="14"/>
      <c r="AZ1124" s="14">
        <v>2.0801347485316299E-2</v>
      </c>
      <c r="BA1124" s="14">
        <v>6.7125265288973099E-2</v>
      </c>
    </row>
    <row r="1125" spans="2:53" x14ac:dyDescent="0.35">
      <c r="B1125" t="s">
        <v>116</v>
      </c>
      <c r="C1125" s="14">
        <v>3.4411335093539101E-2</v>
      </c>
      <c r="D1125" s="14">
        <v>2.6902405581384198E-2</v>
      </c>
      <c r="E1125" s="14">
        <v>4.2069432486252403E-2</v>
      </c>
      <c r="F1125" s="14"/>
      <c r="G1125" s="14" t="s">
        <v>88</v>
      </c>
      <c r="H1125" s="14">
        <v>4.6941242235278603E-3</v>
      </c>
      <c r="I1125" s="14">
        <v>3.6085640959069798E-2</v>
      </c>
      <c r="J1125" s="14">
        <v>8.7936450290573107E-2</v>
      </c>
      <c r="K1125" s="14">
        <v>0</v>
      </c>
      <c r="L1125" s="14">
        <v>0</v>
      </c>
      <c r="M1125" s="14"/>
      <c r="N1125" s="14">
        <v>3.8087394854367303E-2</v>
      </c>
      <c r="O1125" s="14">
        <v>7.5903168221005998E-2</v>
      </c>
      <c r="P1125" s="14">
        <v>0</v>
      </c>
      <c r="Q1125" s="14">
        <v>0</v>
      </c>
      <c r="R1125" s="14"/>
      <c r="S1125" s="14">
        <v>5.5177052479213201E-2</v>
      </c>
      <c r="T1125" s="14">
        <v>6.0884413409750301E-2</v>
      </c>
      <c r="U1125" s="14">
        <v>4.8328116091548697E-2</v>
      </c>
      <c r="V1125" s="14">
        <v>0</v>
      </c>
      <c r="W1125" s="14">
        <v>5.3342367462187797E-2</v>
      </c>
      <c r="X1125" s="14">
        <v>0</v>
      </c>
      <c r="Y1125" s="14">
        <v>0</v>
      </c>
      <c r="Z1125" s="14">
        <v>0</v>
      </c>
      <c r="AA1125" s="14">
        <v>3.98833126815899E-2</v>
      </c>
      <c r="AB1125" s="14"/>
      <c r="AC1125" s="14">
        <v>0</v>
      </c>
      <c r="AD1125" s="14">
        <v>2.9157973850504101E-2</v>
      </c>
      <c r="AE1125" s="14">
        <v>7.2747138941653799E-2</v>
      </c>
      <c r="AF1125" s="14">
        <v>4.0018177057779498E-2</v>
      </c>
      <c r="AG1125" s="14">
        <v>0</v>
      </c>
      <c r="AH1125" s="14"/>
      <c r="AI1125" s="14">
        <v>0</v>
      </c>
      <c r="AJ1125" s="14">
        <v>7.3480661357457594E-2</v>
      </c>
      <c r="AK1125" s="14">
        <v>0.124428858174985</v>
      </c>
      <c r="AL1125" s="14">
        <v>0</v>
      </c>
      <c r="AM1125" s="14">
        <v>0</v>
      </c>
      <c r="AN1125" s="14">
        <v>0</v>
      </c>
      <c r="AO1125" s="14"/>
      <c r="AP1125" s="14">
        <v>1.9095732563551699E-2</v>
      </c>
      <c r="AQ1125" s="14">
        <v>5.8652249092283497E-2</v>
      </c>
      <c r="AR1125" s="14"/>
      <c r="AS1125" s="14" t="s">
        <v>88</v>
      </c>
      <c r="AT1125" s="14">
        <v>3.07959559772766E-2</v>
      </c>
      <c r="AU1125" s="14">
        <v>1</v>
      </c>
      <c r="AV1125" s="14"/>
      <c r="AW1125" s="14">
        <v>4.0064078908967501E-2</v>
      </c>
      <c r="AX1125" s="14">
        <v>5.4283938482554599E-3</v>
      </c>
      <c r="AY1125" s="14"/>
      <c r="AZ1125" s="14">
        <v>2.7288501378001099E-2</v>
      </c>
      <c r="BA1125" s="14">
        <v>7.7227984949204895E-2</v>
      </c>
    </row>
    <row r="1126" spans="2:53" x14ac:dyDescent="0.35"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</row>
    <row r="1127" spans="2:53" x14ac:dyDescent="0.35">
      <c r="B1127" s="6" t="s">
        <v>315</v>
      </c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</row>
    <row r="1128" spans="2:53" x14ac:dyDescent="0.35">
      <c r="B1128" s="30" t="s">
        <v>328</v>
      </c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</row>
    <row r="1129" spans="2:53" x14ac:dyDescent="0.35">
      <c r="B1129" t="s">
        <v>231</v>
      </c>
      <c r="C1129" s="14">
        <v>0.120690667679826</v>
      </c>
      <c r="D1129" s="14">
        <v>0.12524718021091899</v>
      </c>
      <c r="E1129" s="14">
        <v>0.116043638209415</v>
      </c>
      <c r="F1129" s="14"/>
      <c r="G1129" s="14" t="s">
        <v>88</v>
      </c>
      <c r="H1129" s="14">
        <v>0.12781108095764701</v>
      </c>
      <c r="I1129" s="14">
        <v>0.16304903198936099</v>
      </c>
      <c r="J1129" s="14">
        <v>2.8219958351751201E-2</v>
      </c>
      <c r="K1129" s="14">
        <v>0</v>
      </c>
      <c r="L1129" s="14">
        <v>0</v>
      </c>
      <c r="M1129" s="14"/>
      <c r="N1129" s="14">
        <v>7.8177577799497397E-2</v>
      </c>
      <c r="O1129" s="14">
        <v>0.124865699303261</v>
      </c>
      <c r="P1129" s="14">
        <v>0.17175955515202501</v>
      </c>
      <c r="Q1129" s="14">
        <v>0.12606218743871</v>
      </c>
      <c r="R1129" s="14"/>
      <c r="S1129" s="14">
        <v>0.14971922910388399</v>
      </c>
      <c r="T1129" s="14">
        <v>9.2139059853144994E-2</v>
      </c>
      <c r="U1129" s="14">
        <v>6.8421650493277197E-2</v>
      </c>
      <c r="V1129" s="14">
        <v>0.13311274786128</v>
      </c>
      <c r="W1129" s="14">
        <v>0.142679628899234</v>
      </c>
      <c r="X1129" s="14">
        <v>0.19182570532000201</v>
      </c>
      <c r="Y1129" s="14">
        <v>0</v>
      </c>
      <c r="Z1129" s="14">
        <v>0.36232865525997598</v>
      </c>
      <c r="AA1129" s="14">
        <v>0.124949292678179</v>
      </c>
      <c r="AB1129" s="14"/>
      <c r="AC1129" s="14">
        <v>8.8820085483597197E-2</v>
      </c>
      <c r="AD1129" s="14">
        <v>0.102013473827251</v>
      </c>
      <c r="AE1129" s="14">
        <v>9.4251790021892504E-2</v>
      </c>
      <c r="AF1129" s="14">
        <v>0.17307967524884599</v>
      </c>
      <c r="AG1129" s="14">
        <v>0</v>
      </c>
      <c r="AH1129" s="14"/>
      <c r="AI1129" s="14">
        <v>0.14767934492896201</v>
      </c>
      <c r="AJ1129" s="14">
        <v>0.119462978354252</v>
      </c>
      <c r="AK1129" s="14">
        <v>6.3491345977789299E-2</v>
      </c>
      <c r="AL1129" s="14">
        <v>0.18052100692908299</v>
      </c>
      <c r="AM1129" s="14">
        <v>0.106695840883961</v>
      </c>
      <c r="AN1129" s="14">
        <v>0.12019506899258101</v>
      </c>
      <c r="AO1129" s="14"/>
      <c r="AP1129" s="14">
        <v>0.15926319427771801</v>
      </c>
      <c r="AQ1129" s="14">
        <v>5.9639638303540098E-2</v>
      </c>
      <c r="AR1129" s="14"/>
      <c r="AS1129" s="14" t="s">
        <v>88</v>
      </c>
      <c r="AT1129" s="14">
        <v>0.121142560432212</v>
      </c>
      <c r="AU1129" s="14">
        <v>0</v>
      </c>
      <c r="AV1129" s="14"/>
      <c r="AW1129" s="14">
        <v>9.3218460279136495E-2</v>
      </c>
      <c r="AX1129" s="14">
        <v>0.17478035785391399</v>
      </c>
      <c r="AY1129" s="14"/>
      <c r="AZ1129" s="14">
        <v>0.13302262627147901</v>
      </c>
      <c r="BA1129" s="14">
        <v>4.65610201069055E-2</v>
      </c>
    </row>
    <row r="1130" spans="2:53" x14ac:dyDescent="0.35">
      <c r="B1130" t="s">
        <v>232</v>
      </c>
      <c r="C1130" s="14">
        <v>0.72294360936065705</v>
      </c>
      <c r="D1130" s="14">
        <v>0.73396402359766699</v>
      </c>
      <c r="E1130" s="14">
        <v>0.71170427019806903</v>
      </c>
      <c r="F1130" s="14"/>
      <c r="G1130" s="14" t="s">
        <v>88</v>
      </c>
      <c r="H1130" s="14">
        <v>0.83044472838410599</v>
      </c>
      <c r="I1130" s="14">
        <v>0.63936144517872995</v>
      </c>
      <c r="J1130" s="14">
        <v>0.79368335675600199</v>
      </c>
      <c r="K1130" s="14">
        <v>0.79815629689173495</v>
      </c>
      <c r="L1130" s="14">
        <v>1</v>
      </c>
      <c r="M1130" s="14"/>
      <c r="N1130" s="14">
        <v>0.802378154736756</v>
      </c>
      <c r="O1130" s="14">
        <v>0.71967305191340003</v>
      </c>
      <c r="P1130" s="14">
        <v>0.63123950256870198</v>
      </c>
      <c r="Q1130" s="14">
        <v>0.703851916383193</v>
      </c>
      <c r="R1130" s="14"/>
      <c r="S1130" s="14">
        <v>0.77725238579579703</v>
      </c>
      <c r="T1130" s="14">
        <v>0.63957070632870605</v>
      </c>
      <c r="U1130" s="14">
        <v>0.797099021750032</v>
      </c>
      <c r="V1130" s="14">
        <v>0.71514846536166599</v>
      </c>
      <c r="W1130" s="14">
        <v>0.601164599456117</v>
      </c>
      <c r="X1130" s="14">
        <v>0.69994452961310905</v>
      </c>
      <c r="Y1130" s="14">
        <v>0.88975169468218196</v>
      </c>
      <c r="Z1130" s="14">
        <v>0.63767134474002396</v>
      </c>
      <c r="AA1130" s="14">
        <v>0.659951607915506</v>
      </c>
      <c r="AB1130" s="14"/>
      <c r="AC1130" s="14">
        <v>0.55730429409039905</v>
      </c>
      <c r="AD1130" s="14">
        <v>0.82621917372173004</v>
      </c>
      <c r="AE1130" s="14">
        <v>0.72126900276922201</v>
      </c>
      <c r="AF1130" s="14">
        <v>0.78234094297565804</v>
      </c>
      <c r="AG1130" s="14">
        <v>0.92869893943813098</v>
      </c>
      <c r="AH1130" s="14"/>
      <c r="AI1130" s="14">
        <v>0.74599463199801896</v>
      </c>
      <c r="AJ1130" s="14">
        <v>0.78515711784862396</v>
      </c>
      <c r="AK1130" s="14">
        <v>0.54667923652651895</v>
      </c>
      <c r="AL1130" s="14">
        <v>0.71990700077223202</v>
      </c>
      <c r="AM1130" s="14">
        <v>0.74463933442047703</v>
      </c>
      <c r="AN1130" s="14">
        <v>0.55340414587584796</v>
      </c>
      <c r="AO1130" s="14"/>
      <c r="AP1130" s="14">
        <v>0.69190979896559002</v>
      </c>
      <c r="AQ1130" s="14">
        <v>0.77206266474011098</v>
      </c>
      <c r="AR1130" s="14"/>
      <c r="AS1130" s="14" t="s">
        <v>88</v>
      </c>
      <c r="AT1130" s="14">
        <v>0.72565047132218496</v>
      </c>
      <c r="AU1130" s="14">
        <v>0</v>
      </c>
      <c r="AV1130" s="14"/>
      <c r="AW1130" s="14">
        <v>0.73171228128072796</v>
      </c>
      <c r="AX1130" s="14">
        <v>0.77167894358150402</v>
      </c>
      <c r="AY1130" s="14"/>
      <c r="AZ1130" s="14">
        <v>0.72672804646274702</v>
      </c>
      <c r="BA1130" s="14">
        <v>0.70019466915340101</v>
      </c>
    </row>
    <row r="1131" spans="2:53" x14ac:dyDescent="0.35">
      <c r="B1131" t="s">
        <v>233</v>
      </c>
      <c r="C1131" s="14">
        <v>9.0997281604640406E-2</v>
      </c>
      <c r="D1131" s="14">
        <v>9.6592776981288306E-2</v>
      </c>
      <c r="E1131" s="14">
        <v>8.5290629479928895E-2</v>
      </c>
      <c r="F1131" s="14"/>
      <c r="G1131" s="14" t="s">
        <v>88</v>
      </c>
      <c r="H1131" s="14">
        <v>3.6934492439682998E-2</v>
      </c>
      <c r="I1131" s="14">
        <v>0.115064400643191</v>
      </c>
      <c r="J1131" s="14">
        <v>5.0207156151227401E-2</v>
      </c>
      <c r="K1131" s="14">
        <v>0.20184370310826499</v>
      </c>
      <c r="L1131" s="14">
        <v>0</v>
      </c>
      <c r="M1131" s="14"/>
      <c r="N1131" s="14">
        <v>7.0005134442307396E-2</v>
      </c>
      <c r="O1131" s="14">
        <v>5.18814903248856E-2</v>
      </c>
      <c r="P1131" s="14">
        <v>9.0026162210289001E-2</v>
      </c>
      <c r="Q1131" s="14">
        <v>0.170085896178097</v>
      </c>
      <c r="R1131" s="14"/>
      <c r="S1131" s="14">
        <v>2.4624351005202098E-2</v>
      </c>
      <c r="T1131" s="14">
        <v>0.164306543223733</v>
      </c>
      <c r="U1131" s="14">
        <v>8.6151211665142099E-2</v>
      </c>
      <c r="V1131" s="14">
        <v>1.86260306424391E-2</v>
      </c>
      <c r="W1131" s="14">
        <v>0.186485739892986</v>
      </c>
      <c r="X1131" s="14">
        <v>6.1517912342695803E-2</v>
      </c>
      <c r="Y1131" s="14">
        <v>8.3338961946599802E-2</v>
      </c>
      <c r="Z1131" s="14">
        <v>0</v>
      </c>
      <c r="AA1131" s="14">
        <v>0.129046479424965</v>
      </c>
      <c r="AB1131" s="14"/>
      <c r="AC1131" s="14">
        <v>0.20494279066339399</v>
      </c>
      <c r="AD1131" s="14">
        <v>4.2609378600514398E-2</v>
      </c>
      <c r="AE1131" s="14">
        <v>8.2869059999830394E-2</v>
      </c>
      <c r="AF1131" s="14">
        <v>4.5612047177159797E-3</v>
      </c>
      <c r="AG1131" s="14">
        <v>0</v>
      </c>
      <c r="AH1131" s="14"/>
      <c r="AI1131" s="14">
        <v>9.7913327672596098E-2</v>
      </c>
      <c r="AJ1131" s="14">
        <v>2.6811183705683601E-2</v>
      </c>
      <c r="AK1131" s="14">
        <v>0.265400559320707</v>
      </c>
      <c r="AL1131" s="14">
        <v>4.7222794801416203E-2</v>
      </c>
      <c r="AM1131" s="14">
        <v>2.9597946858327201E-2</v>
      </c>
      <c r="AN1131" s="14">
        <v>3.2346890619377497E-2</v>
      </c>
      <c r="AO1131" s="14"/>
      <c r="AP1131" s="14">
        <v>0.101641120626907</v>
      </c>
      <c r="AQ1131" s="14">
        <v>7.4150645251283107E-2</v>
      </c>
      <c r="AR1131" s="14"/>
      <c r="AS1131" s="14" t="s">
        <v>88</v>
      </c>
      <c r="AT1131" s="14">
        <v>9.1337995703207303E-2</v>
      </c>
      <c r="AU1131" s="14">
        <v>0</v>
      </c>
      <c r="AV1131" s="14"/>
      <c r="AW1131" s="14">
        <v>9.3094242827476706E-2</v>
      </c>
      <c r="AX1131" s="14">
        <v>5.3540698564582198E-2</v>
      </c>
      <c r="AY1131" s="14"/>
      <c r="AZ1131" s="14">
        <v>8.0459429594225196E-2</v>
      </c>
      <c r="BA1131" s="14">
        <v>0.15434222798132199</v>
      </c>
    </row>
    <row r="1132" spans="2:53" x14ac:dyDescent="0.35">
      <c r="B1132" t="s">
        <v>116</v>
      </c>
      <c r="C1132" s="14">
        <v>6.5368441354876503E-2</v>
      </c>
      <c r="D1132" s="14">
        <v>4.4196019210126003E-2</v>
      </c>
      <c r="E1132" s="14">
        <v>8.6961462112586305E-2</v>
      </c>
      <c r="F1132" s="14"/>
      <c r="G1132" s="14" t="s">
        <v>88</v>
      </c>
      <c r="H1132" s="14">
        <v>4.8096982185644099E-3</v>
      </c>
      <c r="I1132" s="14">
        <v>8.2525122188718505E-2</v>
      </c>
      <c r="J1132" s="14">
        <v>0.12788952874102</v>
      </c>
      <c r="K1132" s="14">
        <v>0</v>
      </c>
      <c r="L1132" s="14">
        <v>0</v>
      </c>
      <c r="M1132" s="14"/>
      <c r="N1132" s="14">
        <v>4.9439133021439097E-2</v>
      </c>
      <c r="O1132" s="14">
        <v>0.10357975845845301</v>
      </c>
      <c r="P1132" s="14">
        <v>0.106974780068985</v>
      </c>
      <c r="Q1132" s="14">
        <v>0</v>
      </c>
      <c r="R1132" s="14"/>
      <c r="S1132" s="14">
        <v>4.8404034095116698E-2</v>
      </c>
      <c r="T1132" s="14">
        <v>0.10398369059441601</v>
      </c>
      <c r="U1132" s="14">
        <v>4.8328116091548697E-2</v>
      </c>
      <c r="V1132" s="14">
        <v>0.13311275613461501</v>
      </c>
      <c r="W1132" s="14">
        <v>6.9670031751663905E-2</v>
      </c>
      <c r="X1132" s="14">
        <v>4.67118527241938E-2</v>
      </c>
      <c r="Y1132" s="14">
        <v>2.6909343371218201E-2</v>
      </c>
      <c r="Z1132" s="14">
        <v>0</v>
      </c>
      <c r="AA1132" s="14">
        <v>8.6052619981350206E-2</v>
      </c>
      <c r="AB1132" s="14"/>
      <c r="AC1132" s="14">
        <v>0.14893282976260999</v>
      </c>
      <c r="AD1132" s="14">
        <v>2.9157973850504101E-2</v>
      </c>
      <c r="AE1132" s="14">
        <v>0.10161014720905499</v>
      </c>
      <c r="AF1132" s="14">
        <v>4.0018177057779498E-2</v>
      </c>
      <c r="AG1132" s="14">
        <v>7.1301060561869106E-2</v>
      </c>
      <c r="AH1132" s="14"/>
      <c r="AI1132" s="14">
        <v>8.4126954004227605E-3</v>
      </c>
      <c r="AJ1132" s="14">
        <v>6.8568720091440702E-2</v>
      </c>
      <c r="AK1132" s="14">
        <v>0.124428858174985</v>
      </c>
      <c r="AL1132" s="14">
        <v>5.2349197497269399E-2</v>
      </c>
      <c r="AM1132" s="14">
        <v>0.11906687783723501</v>
      </c>
      <c r="AN1132" s="14">
        <v>0.29405389451219399</v>
      </c>
      <c r="AO1132" s="14"/>
      <c r="AP1132" s="14">
        <v>4.7185886129784298E-2</v>
      </c>
      <c r="AQ1132" s="14">
        <v>9.4147051705065807E-2</v>
      </c>
      <c r="AR1132" s="14"/>
      <c r="AS1132" s="14" t="s">
        <v>88</v>
      </c>
      <c r="AT1132" s="14">
        <v>6.1868972542395401E-2</v>
      </c>
      <c r="AU1132" s="14">
        <v>1</v>
      </c>
      <c r="AV1132" s="14"/>
      <c r="AW1132" s="14">
        <v>8.1975015612658894E-2</v>
      </c>
      <c r="AX1132" s="14">
        <v>0</v>
      </c>
      <c r="AY1132" s="14"/>
      <c r="AZ1132" s="14">
        <v>5.97898976715487E-2</v>
      </c>
      <c r="BA1132" s="14">
        <v>9.8902082758372506E-2</v>
      </c>
    </row>
    <row r="1133" spans="2:53" x14ac:dyDescent="0.35"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</row>
    <row r="1134" spans="2:53" x14ac:dyDescent="0.35">
      <c r="B1134" s="6" t="s">
        <v>316</v>
      </c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</row>
    <row r="1135" spans="2:53" x14ac:dyDescent="0.35">
      <c r="B1135" s="30" t="s">
        <v>328</v>
      </c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</row>
    <row r="1136" spans="2:53" x14ac:dyDescent="0.35">
      <c r="B1136" t="s">
        <v>235</v>
      </c>
      <c r="C1136" s="14">
        <v>0.29983924525828998</v>
      </c>
      <c r="D1136" s="14">
        <v>0.29564878053354698</v>
      </c>
      <c r="E1136" s="14">
        <v>0.304112955236639</v>
      </c>
      <c r="F1136" s="14"/>
      <c r="G1136" s="14" t="s">
        <v>88</v>
      </c>
      <c r="H1136" s="14">
        <v>0.18065913055358199</v>
      </c>
      <c r="I1136" s="14">
        <v>0.30224176820061199</v>
      </c>
      <c r="J1136" s="14">
        <v>0.43668952823594098</v>
      </c>
      <c r="K1136" s="14">
        <v>0.40089478313024601</v>
      </c>
      <c r="L1136" s="14">
        <v>0</v>
      </c>
      <c r="M1136" s="14"/>
      <c r="N1136" s="14">
        <v>0.37084258262431602</v>
      </c>
      <c r="O1136" s="14">
        <v>0.34477784488757901</v>
      </c>
      <c r="P1136" s="14">
        <v>0.19673773045755699</v>
      </c>
      <c r="Q1136" s="14">
        <v>0.23377597095035699</v>
      </c>
      <c r="R1136" s="14"/>
      <c r="S1136" s="14">
        <v>0.319546983930106</v>
      </c>
      <c r="T1136" s="14">
        <v>0.48704446574838101</v>
      </c>
      <c r="U1136" s="14">
        <v>0.15463106550353201</v>
      </c>
      <c r="V1136" s="14">
        <v>0.21137911952803301</v>
      </c>
      <c r="W1136" s="14">
        <v>0.28327165751081601</v>
      </c>
      <c r="X1136" s="14">
        <v>0.161257453546789</v>
      </c>
      <c r="Y1136" s="14">
        <v>0.23624737837436399</v>
      </c>
      <c r="Z1136" s="14">
        <v>0.181164363337218</v>
      </c>
      <c r="AA1136" s="14">
        <v>0.43828434614352801</v>
      </c>
      <c r="AB1136" s="14"/>
      <c r="AC1136" s="14">
        <v>0.16600313629684799</v>
      </c>
      <c r="AD1136" s="14">
        <v>0.21447314212271101</v>
      </c>
      <c r="AE1136" s="14">
        <v>0.37418137265192603</v>
      </c>
      <c r="AF1136" s="14">
        <v>0.413112775929871</v>
      </c>
      <c r="AG1136" s="14">
        <v>0.69671979680904605</v>
      </c>
      <c r="AH1136" s="14"/>
      <c r="AI1136" s="14">
        <v>0.30917020900653602</v>
      </c>
      <c r="AJ1136" s="14">
        <v>0.22933025687363501</v>
      </c>
      <c r="AK1136" s="14">
        <v>0.50379059112251601</v>
      </c>
      <c r="AL1136" s="14">
        <v>0.438727468927261</v>
      </c>
      <c r="AM1136" s="14">
        <v>0.13629378774228801</v>
      </c>
      <c r="AN1136" s="14">
        <v>0.41050492736462102</v>
      </c>
      <c r="AO1136" s="14"/>
      <c r="AP1136" s="14">
        <v>0.30172930782185597</v>
      </c>
      <c r="AQ1136" s="14">
        <v>0.29684773095345401</v>
      </c>
      <c r="AR1136" s="14"/>
      <c r="AS1136" s="14" t="s">
        <v>88</v>
      </c>
      <c r="AT1136" s="14">
        <v>0.30096191020345903</v>
      </c>
      <c r="AU1136" s="14">
        <v>0</v>
      </c>
      <c r="AV1136" s="14"/>
      <c r="AW1136" s="14">
        <v>0.27406560144263398</v>
      </c>
      <c r="AX1136" s="14">
        <v>0.41367365656507799</v>
      </c>
      <c r="AY1136" s="14"/>
      <c r="AZ1136" s="14">
        <v>0.31686310989684902</v>
      </c>
      <c r="BA1136" s="14">
        <v>0.19750569648690999</v>
      </c>
    </row>
    <row r="1137" spans="2:53" x14ac:dyDescent="0.35">
      <c r="B1137" t="s">
        <v>236</v>
      </c>
      <c r="C1137" s="14">
        <v>0.56878890324461695</v>
      </c>
      <c r="D1137" s="14">
        <v>0.55629596167597195</v>
      </c>
      <c r="E1137" s="14">
        <v>0.58153002208176896</v>
      </c>
      <c r="F1137" s="14"/>
      <c r="G1137" s="14" t="s">
        <v>88</v>
      </c>
      <c r="H1137" s="14">
        <v>0.64717519345156704</v>
      </c>
      <c r="I1137" s="14">
        <v>0.55938241923894805</v>
      </c>
      <c r="J1137" s="14">
        <v>0.45446168294970901</v>
      </c>
      <c r="K1137" s="14">
        <v>0.59910521686975404</v>
      </c>
      <c r="L1137" s="14">
        <v>1</v>
      </c>
      <c r="M1137" s="14"/>
      <c r="N1137" s="14">
        <v>0.59272415936242395</v>
      </c>
      <c r="O1137" s="14">
        <v>0.43049126187461201</v>
      </c>
      <c r="P1137" s="14">
        <v>0.64769031994884396</v>
      </c>
      <c r="Q1137" s="14">
        <v>0.66813323092419996</v>
      </c>
      <c r="R1137" s="14"/>
      <c r="S1137" s="14">
        <v>0.60992157597598895</v>
      </c>
      <c r="T1137" s="14">
        <v>0.42162891397332403</v>
      </c>
      <c r="U1137" s="14">
        <v>0.79704081840491903</v>
      </c>
      <c r="V1137" s="14">
        <v>0.574126149762752</v>
      </c>
      <c r="W1137" s="14">
        <v>0.58371346017535697</v>
      </c>
      <c r="X1137" s="14">
        <v>0.52943807954531696</v>
      </c>
      <c r="Y1137" s="14">
        <v>0.64442523562124598</v>
      </c>
      <c r="Z1137" s="14">
        <v>0.67623529650165204</v>
      </c>
      <c r="AA1137" s="14">
        <v>0.422296965363611</v>
      </c>
      <c r="AB1137" s="14"/>
      <c r="AC1137" s="14">
        <v>0.61024883607357205</v>
      </c>
      <c r="AD1137" s="14">
        <v>0.60972701576336097</v>
      </c>
      <c r="AE1137" s="14">
        <v>0.51443151543893995</v>
      </c>
      <c r="AF1137" s="14">
        <v>0.54668404281695204</v>
      </c>
      <c r="AG1137" s="14">
        <v>0.23197914262908501</v>
      </c>
      <c r="AH1137" s="14"/>
      <c r="AI1137" s="14">
        <v>0.61941392851424704</v>
      </c>
      <c r="AJ1137" s="14">
        <v>0.61399832862020498</v>
      </c>
      <c r="AK1137" s="14">
        <v>0.38334966415822702</v>
      </c>
      <c r="AL1137" s="14">
        <v>0.41865156300710099</v>
      </c>
      <c r="AM1137" s="14">
        <v>0.74953308577130495</v>
      </c>
      <c r="AN1137" s="14">
        <v>0.34586957094203902</v>
      </c>
      <c r="AO1137" s="14"/>
      <c r="AP1137" s="14">
        <v>0.55292313839544205</v>
      </c>
      <c r="AQ1137" s="14">
        <v>0.59390059183016997</v>
      </c>
      <c r="AR1137" s="14"/>
      <c r="AS1137" s="14" t="s">
        <v>88</v>
      </c>
      <c r="AT1137" s="14">
        <v>0.56717435281484296</v>
      </c>
      <c r="AU1137" s="14">
        <v>1</v>
      </c>
      <c r="AV1137" s="14"/>
      <c r="AW1137" s="14">
        <v>0.56803285127194403</v>
      </c>
      <c r="AX1137" s="14">
        <v>0.51958488425971305</v>
      </c>
      <c r="AY1137" s="14"/>
      <c r="AZ1137" s="14">
        <v>0.55935747222912302</v>
      </c>
      <c r="BA1137" s="14">
        <v>0.62548295164664303</v>
      </c>
    </row>
    <row r="1138" spans="2:53" x14ac:dyDescent="0.35">
      <c r="B1138" t="s">
        <v>237</v>
      </c>
      <c r="C1138" s="14">
        <v>0.113160023586555</v>
      </c>
      <c r="D1138" s="14">
        <v>0.11424770158152101</v>
      </c>
      <c r="E1138" s="14">
        <v>0.112050738434273</v>
      </c>
      <c r="F1138" s="14"/>
      <c r="G1138" s="14" t="s">
        <v>88</v>
      </c>
      <c r="H1138" s="14">
        <v>0.128997572028371</v>
      </c>
      <c r="I1138" s="14">
        <v>0.123233570993872</v>
      </c>
      <c r="J1138" s="14">
        <v>0.10884878881435001</v>
      </c>
      <c r="K1138" s="14">
        <v>0</v>
      </c>
      <c r="L1138" s="14">
        <v>0</v>
      </c>
      <c r="M1138" s="14"/>
      <c r="N1138" s="14">
        <v>3.2277354152635503E-2</v>
      </c>
      <c r="O1138" s="14">
        <v>0.199488364375521</v>
      </c>
      <c r="P1138" s="14">
        <v>0.10458790310240899</v>
      </c>
      <c r="Q1138" s="14">
        <v>9.8090798125443607E-2</v>
      </c>
      <c r="R1138" s="14"/>
      <c r="S1138" s="14">
        <v>2.2127405998787701E-2</v>
      </c>
      <c r="T1138" s="14">
        <v>9.1326620278295703E-2</v>
      </c>
      <c r="U1138" s="14">
        <v>4.8328116091548697E-2</v>
      </c>
      <c r="V1138" s="14">
        <v>0.21449473070921499</v>
      </c>
      <c r="W1138" s="14">
        <v>0.116687218024351</v>
      </c>
      <c r="X1138" s="14">
        <v>0.232900058393987</v>
      </c>
      <c r="Y1138" s="14">
        <v>0.11932738600439</v>
      </c>
      <c r="Z1138" s="14">
        <v>0.14260034016112999</v>
      </c>
      <c r="AA1138" s="14">
        <v>0.13941868849286099</v>
      </c>
      <c r="AB1138" s="14"/>
      <c r="AC1138" s="14">
        <v>0.22374802762957999</v>
      </c>
      <c r="AD1138" s="14">
        <v>0.128551525170541</v>
      </c>
      <c r="AE1138" s="14">
        <v>8.0918592915400295E-2</v>
      </c>
      <c r="AF1138" s="14">
        <v>4.0203181253176803E-2</v>
      </c>
      <c r="AG1138" s="14">
        <v>0</v>
      </c>
      <c r="AH1138" s="14"/>
      <c r="AI1138" s="14">
        <v>7.1415862479216899E-2</v>
      </c>
      <c r="AJ1138" s="14">
        <v>0.116533099642774</v>
      </c>
      <c r="AK1138" s="14">
        <v>0.112859744719257</v>
      </c>
      <c r="AL1138" s="14">
        <v>0.14262096806563701</v>
      </c>
      <c r="AM1138" s="14">
        <v>0.114173126486406</v>
      </c>
      <c r="AN1138" s="14">
        <v>0.22376746225875199</v>
      </c>
      <c r="AO1138" s="14"/>
      <c r="AP1138" s="14">
        <v>0.13048812302711699</v>
      </c>
      <c r="AQ1138" s="14">
        <v>8.5733811168341903E-2</v>
      </c>
      <c r="AR1138" s="14"/>
      <c r="AS1138" s="14" t="s">
        <v>88</v>
      </c>
      <c r="AT1138" s="14">
        <v>0.113583719929459</v>
      </c>
      <c r="AU1138" s="14">
        <v>0</v>
      </c>
      <c r="AV1138" s="14"/>
      <c r="AW1138" s="14">
        <v>0.14711012853185701</v>
      </c>
      <c r="AX1138" s="14">
        <v>2.2382911366181701E-2</v>
      </c>
      <c r="AY1138" s="14"/>
      <c r="AZ1138" s="14">
        <v>0.1025379315876</v>
      </c>
      <c r="BA1138" s="14">
        <v>0.17701135186644801</v>
      </c>
    </row>
    <row r="1139" spans="2:53" x14ac:dyDescent="0.35">
      <c r="B1139" t="s">
        <v>238</v>
      </c>
      <c r="C1139" s="14">
        <v>1.02479158189967E-2</v>
      </c>
      <c r="D1139" s="14">
        <v>1.8034856703291399E-2</v>
      </c>
      <c r="E1139" s="14">
        <v>2.30628424731914E-3</v>
      </c>
      <c r="F1139" s="14"/>
      <c r="G1139" s="14" t="s">
        <v>88</v>
      </c>
      <c r="H1139" s="14">
        <v>4.3168103966480201E-2</v>
      </c>
      <c r="I1139" s="14">
        <v>0</v>
      </c>
      <c r="J1139" s="14">
        <v>0</v>
      </c>
      <c r="K1139" s="14">
        <v>0</v>
      </c>
      <c r="L1139" s="14">
        <v>0</v>
      </c>
      <c r="M1139" s="14"/>
      <c r="N1139" s="14">
        <v>4.1559038606242202E-3</v>
      </c>
      <c r="O1139" s="14">
        <v>0</v>
      </c>
      <c r="P1139" s="14">
        <v>5.0984046491190302E-2</v>
      </c>
      <c r="Q1139" s="14">
        <v>0</v>
      </c>
      <c r="R1139" s="14"/>
      <c r="S1139" s="14">
        <v>0</v>
      </c>
      <c r="T1139" s="14">
        <v>0</v>
      </c>
      <c r="U1139" s="14">
        <v>0</v>
      </c>
      <c r="V1139" s="14">
        <v>0</v>
      </c>
      <c r="W1139" s="14">
        <v>1.6327664289476101E-2</v>
      </c>
      <c r="X1139" s="14">
        <v>7.6404408513906993E-2</v>
      </c>
      <c r="Y1139" s="14">
        <v>0</v>
      </c>
      <c r="Z1139" s="14">
        <v>0</v>
      </c>
      <c r="AA1139" s="14">
        <v>0</v>
      </c>
      <c r="AB1139" s="14"/>
      <c r="AC1139" s="14">
        <v>0</v>
      </c>
      <c r="AD1139" s="14">
        <v>4.72483169433872E-2</v>
      </c>
      <c r="AE1139" s="14">
        <v>0</v>
      </c>
      <c r="AF1139" s="14">
        <v>0</v>
      </c>
      <c r="AG1139" s="14">
        <v>7.1301060561869106E-2</v>
      </c>
      <c r="AH1139" s="14"/>
      <c r="AI1139" s="14">
        <v>0</v>
      </c>
      <c r="AJ1139" s="14">
        <v>4.01383148633856E-2</v>
      </c>
      <c r="AK1139" s="14">
        <v>0</v>
      </c>
      <c r="AL1139" s="14">
        <v>0</v>
      </c>
      <c r="AM1139" s="14">
        <v>0</v>
      </c>
      <c r="AN1139" s="14">
        <v>1.9858039434587301E-2</v>
      </c>
      <c r="AO1139" s="14"/>
      <c r="AP1139" s="14">
        <v>1.4859430755585301E-2</v>
      </c>
      <c r="AQ1139" s="14">
        <v>2.9489971664071902E-3</v>
      </c>
      <c r="AR1139" s="14"/>
      <c r="AS1139" s="14" t="s">
        <v>88</v>
      </c>
      <c r="AT1139" s="14">
        <v>1.02862862992889E-2</v>
      </c>
      <c r="AU1139" s="14">
        <v>0</v>
      </c>
      <c r="AV1139" s="14"/>
      <c r="AW1139" s="14">
        <v>0</v>
      </c>
      <c r="AX1139" s="14">
        <v>4.43585478090271E-2</v>
      </c>
      <c r="AY1139" s="14"/>
      <c r="AZ1139" s="14">
        <v>1.19527245921166E-2</v>
      </c>
      <c r="BA1139" s="14">
        <v>0</v>
      </c>
    </row>
    <row r="1140" spans="2:53" x14ac:dyDescent="0.35">
      <c r="B1140" t="s">
        <v>116</v>
      </c>
      <c r="C1140" s="14">
        <v>7.9639120915412105E-3</v>
      </c>
      <c r="D1140" s="14">
        <v>1.5772699505668501E-2</v>
      </c>
      <c r="E1140" s="14">
        <v>0</v>
      </c>
      <c r="F1140" s="14"/>
      <c r="G1140" s="14" t="s">
        <v>88</v>
      </c>
      <c r="H1140" s="14">
        <v>0</v>
      </c>
      <c r="I1140" s="14">
        <v>1.51422415665671E-2</v>
      </c>
      <c r="J1140" s="14">
        <v>0</v>
      </c>
      <c r="K1140" s="14">
        <v>0</v>
      </c>
      <c r="L1140" s="14">
        <v>0</v>
      </c>
      <c r="M1140" s="14"/>
      <c r="N1140" s="14">
        <v>0</v>
      </c>
      <c r="O1140" s="14">
        <v>2.5242528862288002E-2</v>
      </c>
      <c r="P1140" s="14">
        <v>0</v>
      </c>
      <c r="Q1140" s="14">
        <v>0</v>
      </c>
      <c r="R1140" s="14"/>
      <c r="S1140" s="14">
        <v>4.8404034095116698E-2</v>
      </c>
      <c r="T1140" s="14">
        <v>0</v>
      </c>
      <c r="U1140" s="14">
        <v>0</v>
      </c>
      <c r="V1140" s="14">
        <v>0</v>
      </c>
      <c r="W1140" s="14">
        <v>0</v>
      </c>
      <c r="X1140" s="14">
        <v>0</v>
      </c>
      <c r="Y1140" s="14">
        <v>0</v>
      </c>
      <c r="Z1140" s="14">
        <v>0</v>
      </c>
      <c r="AA1140" s="14">
        <v>0</v>
      </c>
      <c r="AB1140" s="14"/>
      <c r="AC1140" s="14">
        <v>0</v>
      </c>
      <c r="AD1140" s="14">
        <v>0</v>
      </c>
      <c r="AE1140" s="14">
        <v>3.0468518993734501E-2</v>
      </c>
      <c r="AF1140" s="14">
        <v>0</v>
      </c>
      <c r="AG1140" s="14">
        <v>0</v>
      </c>
      <c r="AH1140" s="14"/>
      <c r="AI1140" s="14">
        <v>0</v>
      </c>
      <c r="AJ1140" s="14">
        <v>0</v>
      </c>
      <c r="AK1140" s="14">
        <v>0</v>
      </c>
      <c r="AL1140" s="14">
        <v>0</v>
      </c>
      <c r="AM1140" s="14">
        <v>0</v>
      </c>
      <c r="AN1140" s="14">
        <v>0</v>
      </c>
      <c r="AO1140" s="14"/>
      <c r="AP1140" s="14">
        <v>0</v>
      </c>
      <c r="AQ1140" s="14">
        <v>2.0568868881626502E-2</v>
      </c>
      <c r="AR1140" s="14"/>
      <c r="AS1140" s="14" t="s">
        <v>88</v>
      </c>
      <c r="AT1140" s="14">
        <v>7.9937307529505206E-3</v>
      </c>
      <c r="AU1140" s="14">
        <v>0</v>
      </c>
      <c r="AV1140" s="14"/>
      <c r="AW1140" s="14">
        <v>1.07914187535651E-2</v>
      </c>
      <c r="AX1140" s="14">
        <v>0</v>
      </c>
      <c r="AY1140" s="14"/>
      <c r="AZ1140" s="14">
        <v>9.2887616943109607E-3</v>
      </c>
      <c r="BA1140" s="14">
        <v>0</v>
      </c>
    </row>
    <row r="1141" spans="2:53" x14ac:dyDescent="0.35"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</row>
    <row r="1142" spans="2:53" x14ac:dyDescent="0.35">
      <c r="B1142" s="6" t="s">
        <v>317</v>
      </c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</row>
    <row r="1143" spans="2:53" x14ac:dyDescent="0.35">
      <c r="B1143" s="30" t="s">
        <v>328</v>
      </c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</row>
    <row r="1144" spans="2:53" x14ac:dyDescent="0.35">
      <c r="B1144" t="s">
        <v>220</v>
      </c>
      <c r="C1144" s="14">
        <v>0.28728404682965503</v>
      </c>
      <c r="D1144" s="14">
        <v>0.29758262900214399</v>
      </c>
      <c r="E1144" s="14">
        <v>0.276780879213538</v>
      </c>
      <c r="F1144" s="14"/>
      <c r="G1144" s="14" t="s">
        <v>88</v>
      </c>
      <c r="H1144" s="14">
        <v>0.27722278255592098</v>
      </c>
      <c r="I1144" s="14">
        <v>0.31874828232013303</v>
      </c>
      <c r="J1144" s="14">
        <v>0.29403256462930699</v>
      </c>
      <c r="K1144" s="14">
        <v>8.8786914276692497E-2</v>
      </c>
      <c r="L1144" s="14">
        <v>0</v>
      </c>
      <c r="M1144" s="14"/>
      <c r="N1144" s="14">
        <v>0.29154741726587702</v>
      </c>
      <c r="O1144" s="14">
        <v>0.27038812368529802</v>
      </c>
      <c r="P1144" s="14">
        <v>0.23570211479504299</v>
      </c>
      <c r="Q1144" s="14">
        <v>0.34513336820231899</v>
      </c>
      <c r="R1144" s="14"/>
      <c r="S1144" s="14">
        <v>0.28819943718979901</v>
      </c>
      <c r="T1144" s="14">
        <v>0.37288910683077697</v>
      </c>
      <c r="U1144" s="14">
        <v>0.19466664588927299</v>
      </c>
      <c r="V1144" s="14">
        <v>0.34449186738931298</v>
      </c>
      <c r="W1144" s="14">
        <v>9.9236078743591499E-2</v>
      </c>
      <c r="X1144" s="14">
        <v>0.32202370136304198</v>
      </c>
      <c r="Y1144" s="14">
        <v>0.19291835933426801</v>
      </c>
      <c r="Z1144" s="14">
        <v>0.36232865525997598</v>
      </c>
      <c r="AA1144" s="14">
        <v>0.36403056969088399</v>
      </c>
      <c r="AB1144" s="14"/>
      <c r="AC1144" s="14">
        <v>0.129678504400524</v>
      </c>
      <c r="AD1144" s="14">
        <v>0.182205910491232</v>
      </c>
      <c r="AE1144" s="14">
        <v>0.31642921749851899</v>
      </c>
      <c r="AF1144" s="14">
        <v>0.32512421172804601</v>
      </c>
      <c r="AG1144" s="14">
        <v>0.60007052504692804</v>
      </c>
      <c r="AH1144" s="14"/>
      <c r="AI1144" s="14">
        <v>0.347371709770599</v>
      </c>
      <c r="AJ1144" s="14">
        <v>0.15423105112143101</v>
      </c>
      <c r="AK1144" s="14">
        <v>0.61663365825577199</v>
      </c>
      <c r="AL1144" s="14">
        <v>0.31488841256040001</v>
      </c>
      <c r="AM1144" s="14">
        <v>0.39403571457117897</v>
      </c>
      <c r="AN1144" s="14">
        <v>0.21304053340552001</v>
      </c>
      <c r="AO1144" s="14"/>
      <c r="AP1144" s="14">
        <v>0.30549787028575198</v>
      </c>
      <c r="AQ1144" s="14">
        <v>0.25845594639266101</v>
      </c>
      <c r="AR1144" s="14"/>
      <c r="AS1144" s="14" t="s">
        <v>88</v>
      </c>
      <c r="AT1144" s="14">
        <v>0.288359702314327</v>
      </c>
      <c r="AU1144" s="14">
        <v>0</v>
      </c>
      <c r="AV1144" s="14"/>
      <c r="AW1144" s="14">
        <v>0.219935656102033</v>
      </c>
      <c r="AX1144" s="14">
        <v>0.419170776684409</v>
      </c>
      <c r="AY1144" s="14"/>
      <c r="AZ1144" s="14">
        <v>0.32299705850257598</v>
      </c>
      <c r="BA1144" s="14">
        <v>7.2606633715955701E-2</v>
      </c>
    </row>
    <row r="1145" spans="2:53" x14ac:dyDescent="0.35">
      <c r="B1145" t="s">
        <v>221</v>
      </c>
      <c r="C1145" s="14">
        <v>0.57544239369363404</v>
      </c>
      <c r="D1145" s="14">
        <v>0.59600615356412401</v>
      </c>
      <c r="E1145" s="14">
        <v>0.554470126529097</v>
      </c>
      <c r="F1145" s="14"/>
      <c r="G1145" s="14" t="s">
        <v>88</v>
      </c>
      <c r="H1145" s="14">
        <v>0.57953572212225901</v>
      </c>
      <c r="I1145" s="14">
        <v>0.52493820422018</v>
      </c>
      <c r="J1145" s="14">
        <v>0.57664229162660496</v>
      </c>
      <c r="K1145" s="14">
        <v>0.91121308572330795</v>
      </c>
      <c r="L1145" s="14">
        <v>1</v>
      </c>
      <c r="M1145" s="14"/>
      <c r="N1145" s="14">
        <v>0.56270379432528195</v>
      </c>
      <c r="O1145" s="14">
        <v>0.54958940831659697</v>
      </c>
      <c r="P1145" s="14">
        <v>0.59051556686740903</v>
      </c>
      <c r="Q1145" s="14">
        <v>0.61422223357291394</v>
      </c>
      <c r="R1145" s="14"/>
      <c r="S1145" s="14">
        <v>0.593824711187532</v>
      </c>
      <c r="T1145" s="14">
        <v>0.56622647975947304</v>
      </c>
      <c r="U1145" s="14">
        <v>0.681914962084887</v>
      </c>
      <c r="V1145" s="14">
        <v>0.44101340190147198</v>
      </c>
      <c r="W1145" s="14">
        <v>0.60116460198530897</v>
      </c>
      <c r="X1145" s="14">
        <v>0.47888552923968503</v>
      </c>
      <c r="Y1145" s="14">
        <v>0.61897252480193099</v>
      </c>
      <c r="Z1145" s="14">
        <v>0.63767134474002396</v>
      </c>
      <c r="AA1145" s="14">
        <v>0.54991681032776596</v>
      </c>
      <c r="AB1145" s="14"/>
      <c r="AC1145" s="14">
        <v>0.59561508298548904</v>
      </c>
      <c r="AD1145" s="14">
        <v>0.64751779611501703</v>
      </c>
      <c r="AE1145" s="14">
        <v>0.58498883227148102</v>
      </c>
      <c r="AF1145" s="14">
        <v>0.56738776608587504</v>
      </c>
      <c r="AG1145" s="14">
        <v>0.32862841439120299</v>
      </c>
      <c r="AH1145" s="14"/>
      <c r="AI1145" s="14">
        <v>0.594894865334199</v>
      </c>
      <c r="AJ1145" s="14">
        <v>0.71781111354566496</v>
      </c>
      <c r="AK1145" s="14">
        <v>0.172248978867583</v>
      </c>
      <c r="AL1145" s="14">
        <v>0.59406127885651006</v>
      </c>
      <c r="AM1145" s="14">
        <v>0.42567631523764599</v>
      </c>
      <c r="AN1145" s="14">
        <v>0.61523836746876004</v>
      </c>
      <c r="AO1145" s="14"/>
      <c r="AP1145" s="14">
        <v>0.55754671543579104</v>
      </c>
      <c r="AQ1145" s="14">
        <v>0.60376694682487198</v>
      </c>
      <c r="AR1145" s="14"/>
      <c r="AS1145" s="14" t="s">
        <v>88</v>
      </c>
      <c r="AT1145" s="14">
        <v>0.57759697823711897</v>
      </c>
      <c r="AU1145" s="14">
        <v>0</v>
      </c>
      <c r="AV1145" s="14"/>
      <c r="AW1145" s="14">
        <v>0.63265146677995399</v>
      </c>
      <c r="AX1145" s="14">
        <v>0.46580380624782503</v>
      </c>
      <c r="AY1145" s="14"/>
      <c r="AZ1145" s="14">
        <v>0.56676861095464304</v>
      </c>
      <c r="BA1145" s="14">
        <v>0.62758208040979602</v>
      </c>
    </row>
    <row r="1146" spans="2:53" x14ac:dyDescent="0.35">
      <c r="B1146" t="s">
        <v>222</v>
      </c>
      <c r="C1146" s="14">
        <v>7.4185275966362499E-2</v>
      </c>
      <c r="D1146" s="14">
        <v>4.74124409763126E-2</v>
      </c>
      <c r="E1146" s="14">
        <v>0.101489964004912</v>
      </c>
      <c r="F1146" s="14"/>
      <c r="G1146" s="14" t="s">
        <v>88</v>
      </c>
      <c r="H1146" s="14">
        <v>8.2220042156910894E-2</v>
      </c>
      <c r="I1146" s="14">
        <v>8.21254620708817E-2</v>
      </c>
      <c r="J1146" s="14">
        <v>7.0466229920757406E-2</v>
      </c>
      <c r="K1146" s="14">
        <v>0</v>
      </c>
      <c r="L1146" s="14">
        <v>0</v>
      </c>
      <c r="M1146" s="14"/>
      <c r="N1146" s="14">
        <v>3.70656467424514E-2</v>
      </c>
      <c r="O1146" s="14">
        <v>0.12359983194421401</v>
      </c>
      <c r="P1146" s="14">
        <v>8.7406352265654602E-2</v>
      </c>
      <c r="Q1146" s="14">
        <v>4.0644398224766599E-2</v>
      </c>
      <c r="R1146" s="14"/>
      <c r="S1146" s="14">
        <v>0</v>
      </c>
      <c r="T1146" s="14">
        <v>3.0442206541204799E-2</v>
      </c>
      <c r="U1146" s="14">
        <v>0.123418392025841</v>
      </c>
      <c r="V1146" s="14">
        <v>0.21449473070921499</v>
      </c>
      <c r="W1146" s="14">
        <v>0.24625695180891199</v>
      </c>
      <c r="X1146" s="14">
        <v>0.134068529797611</v>
      </c>
      <c r="Y1146" s="14">
        <v>0</v>
      </c>
      <c r="Z1146" s="14">
        <v>0</v>
      </c>
      <c r="AA1146" s="14">
        <v>4.61693072997603E-2</v>
      </c>
      <c r="AB1146" s="14"/>
      <c r="AC1146" s="14">
        <v>0.19101967119815999</v>
      </c>
      <c r="AD1146" s="14">
        <v>7.3133517085611E-2</v>
      </c>
      <c r="AE1146" s="14">
        <v>4.2350538691999298E-2</v>
      </c>
      <c r="AF1146" s="14">
        <v>5.7204479021599697E-2</v>
      </c>
      <c r="AG1146" s="14">
        <v>7.1301060561869106E-2</v>
      </c>
      <c r="AH1146" s="14"/>
      <c r="AI1146" s="14">
        <v>1.6604104829176999E-2</v>
      </c>
      <c r="AJ1146" s="14">
        <v>7.4997834398647906E-2</v>
      </c>
      <c r="AK1146" s="14">
        <v>0.14044631045147599</v>
      </c>
      <c r="AL1146" s="14">
        <v>5.2349197497269399E-2</v>
      </c>
      <c r="AM1146" s="14">
        <v>0.114173126486406</v>
      </c>
      <c r="AN1146" s="14">
        <v>0.17172109912571901</v>
      </c>
      <c r="AO1146" s="14"/>
      <c r="AP1146" s="14">
        <v>8.1863051785984506E-2</v>
      </c>
      <c r="AQ1146" s="14">
        <v>6.2033204052724902E-2</v>
      </c>
      <c r="AR1146" s="14"/>
      <c r="AS1146" s="14" t="s">
        <v>88</v>
      </c>
      <c r="AT1146" s="14">
        <v>7.4463042169727101E-2</v>
      </c>
      <c r="AU1146" s="14">
        <v>0</v>
      </c>
      <c r="AV1146" s="14"/>
      <c r="AW1146" s="14">
        <v>7.9877617381205801E-2</v>
      </c>
      <c r="AX1146" s="14">
        <v>6.8660575105171401E-2</v>
      </c>
      <c r="AY1146" s="14"/>
      <c r="AZ1146" s="14">
        <v>6.3929260599889196E-2</v>
      </c>
      <c r="BA1146" s="14">
        <v>0.13583605098062199</v>
      </c>
    </row>
    <row r="1147" spans="2:53" x14ac:dyDescent="0.35">
      <c r="B1147" t="s">
        <v>223</v>
      </c>
      <c r="C1147" s="14">
        <v>1.5427364487964199E-2</v>
      </c>
      <c r="D1147" s="14">
        <v>1.8961572277177399E-2</v>
      </c>
      <c r="E1147" s="14">
        <v>1.1822948250993399E-2</v>
      </c>
      <c r="F1147" s="14"/>
      <c r="G1147" s="14" t="s">
        <v>88</v>
      </c>
      <c r="H1147" s="14">
        <v>0</v>
      </c>
      <c r="I1147" s="14">
        <v>1.8203650415057698E-2</v>
      </c>
      <c r="J1147" s="14">
        <v>3.59490442404947E-2</v>
      </c>
      <c r="K1147" s="14">
        <v>0</v>
      </c>
      <c r="L1147" s="14">
        <v>0</v>
      </c>
      <c r="M1147" s="14"/>
      <c r="N1147" s="14">
        <v>0</v>
      </c>
      <c r="O1147" s="14">
        <v>0</v>
      </c>
      <c r="P1147" s="14">
        <v>8.6375966071893295E-2</v>
      </c>
      <c r="Q1147" s="14">
        <v>0</v>
      </c>
      <c r="R1147" s="14"/>
      <c r="S1147" s="14">
        <v>0</v>
      </c>
      <c r="T1147" s="14">
        <v>0</v>
      </c>
      <c r="U1147" s="14">
        <v>0</v>
      </c>
      <c r="V1147" s="14">
        <v>0</v>
      </c>
      <c r="W1147" s="14">
        <v>0</v>
      </c>
      <c r="X1147" s="14">
        <v>0</v>
      </c>
      <c r="Y1147" s="14">
        <v>0.13429042649013501</v>
      </c>
      <c r="Z1147" s="14">
        <v>0</v>
      </c>
      <c r="AA1147" s="14">
        <v>0</v>
      </c>
      <c r="AB1147" s="14"/>
      <c r="AC1147" s="14">
        <v>6.4024269789094201E-2</v>
      </c>
      <c r="AD1147" s="14">
        <v>3.0370824200172598E-2</v>
      </c>
      <c r="AE1147" s="14">
        <v>0</v>
      </c>
      <c r="AF1147" s="14">
        <v>0</v>
      </c>
      <c r="AG1147" s="14">
        <v>0</v>
      </c>
      <c r="AH1147" s="14"/>
      <c r="AI1147" s="14">
        <v>1.5929008207188899E-2</v>
      </c>
      <c r="AJ1147" s="14">
        <v>0</v>
      </c>
      <c r="AK1147" s="14">
        <v>0</v>
      </c>
      <c r="AL1147" s="14">
        <v>0</v>
      </c>
      <c r="AM1147" s="14">
        <v>0</v>
      </c>
      <c r="AN1147" s="14">
        <v>0</v>
      </c>
      <c r="AO1147" s="14"/>
      <c r="AP1147" s="14">
        <v>2.5174496241954201E-2</v>
      </c>
      <c r="AQ1147" s="14">
        <v>0</v>
      </c>
      <c r="AR1147" s="14"/>
      <c r="AS1147" s="14" t="s">
        <v>88</v>
      </c>
      <c r="AT1147" s="14">
        <v>1.54851279781706E-2</v>
      </c>
      <c r="AU1147" s="14">
        <v>0</v>
      </c>
      <c r="AV1147" s="14"/>
      <c r="AW1147" s="14">
        <v>2.0904694645026301E-2</v>
      </c>
      <c r="AX1147" s="14">
        <v>0</v>
      </c>
      <c r="AY1147" s="14"/>
      <c r="AZ1147" s="14">
        <v>0</v>
      </c>
      <c r="BA1147" s="14">
        <v>0.10816406028306</v>
      </c>
    </row>
    <row r="1148" spans="2:53" x14ac:dyDescent="0.35">
      <c r="B1148" t="s">
        <v>116</v>
      </c>
      <c r="C1148" s="14">
        <v>1.10552736983683E-2</v>
      </c>
      <c r="D1148" s="14">
        <v>1.5772699505668501E-2</v>
      </c>
      <c r="E1148" s="14">
        <v>6.2441343453187104E-3</v>
      </c>
      <c r="F1148" s="14"/>
      <c r="G1148" s="14" t="s">
        <v>88</v>
      </c>
      <c r="H1148" s="14">
        <v>0</v>
      </c>
      <c r="I1148" s="14">
        <v>2.1020024204312E-2</v>
      </c>
      <c r="J1148" s="14">
        <v>0</v>
      </c>
      <c r="K1148" s="14">
        <v>0</v>
      </c>
      <c r="L1148" s="14">
        <v>0</v>
      </c>
      <c r="M1148" s="14"/>
      <c r="N1148" s="14">
        <v>1.1251874985544801E-2</v>
      </c>
      <c r="O1148" s="14">
        <v>2.5242528862288002E-2</v>
      </c>
      <c r="P1148" s="14">
        <v>0</v>
      </c>
      <c r="Q1148" s="14">
        <v>0</v>
      </c>
      <c r="R1148" s="14"/>
      <c r="S1148" s="14">
        <v>4.8404034095116698E-2</v>
      </c>
      <c r="T1148" s="14">
        <v>0</v>
      </c>
      <c r="U1148" s="14">
        <v>0</v>
      </c>
      <c r="V1148" s="14">
        <v>0</v>
      </c>
      <c r="W1148" s="14">
        <v>0</v>
      </c>
      <c r="X1148" s="14">
        <v>0</v>
      </c>
      <c r="Y1148" s="14">
        <v>2.6909344686833401E-2</v>
      </c>
      <c r="Z1148" s="14">
        <v>0</v>
      </c>
      <c r="AA1148" s="14">
        <v>0</v>
      </c>
      <c r="AB1148" s="14"/>
      <c r="AC1148" s="14">
        <v>0</v>
      </c>
      <c r="AD1148" s="14">
        <v>1.6039950650042E-2</v>
      </c>
      <c r="AE1148" s="14">
        <v>3.0468518993734501E-2</v>
      </c>
      <c r="AF1148" s="14">
        <v>0</v>
      </c>
      <c r="AG1148" s="14">
        <v>0</v>
      </c>
      <c r="AH1148" s="14"/>
      <c r="AI1148" s="14">
        <v>0</v>
      </c>
      <c r="AJ1148" s="14">
        <v>1.36262332974944E-2</v>
      </c>
      <c r="AK1148" s="14">
        <v>0</v>
      </c>
      <c r="AL1148" s="14">
        <v>0</v>
      </c>
      <c r="AM1148" s="14">
        <v>0</v>
      </c>
      <c r="AN1148" s="14">
        <v>0</v>
      </c>
      <c r="AO1148" s="14"/>
      <c r="AP1148" s="14">
        <v>0</v>
      </c>
      <c r="AQ1148" s="14">
        <v>2.85531121562425E-2</v>
      </c>
      <c r="AR1148" s="14"/>
      <c r="AS1148" s="14" t="s">
        <v>88</v>
      </c>
      <c r="AT1148" s="14">
        <v>1.10966671064584E-2</v>
      </c>
      <c r="AU1148" s="14">
        <v>0</v>
      </c>
      <c r="AV1148" s="14"/>
      <c r="AW1148" s="14">
        <v>1.49803371186233E-2</v>
      </c>
      <c r="AX1148" s="14">
        <v>0</v>
      </c>
      <c r="AY1148" s="14"/>
      <c r="AZ1148" s="14">
        <v>9.2887616943109607E-3</v>
      </c>
      <c r="BA1148" s="14">
        <v>2.1674098868828099E-2</v>
      </c>
    </row>
    <row r="1149" spans="2:53" x14ac:dyDescent="0.35">
      <c r="B1149" t="s">
        <v>224</v>
      </c>
      <c r="C1149" s="14">
        <v>0.86272644052328895</v>
      </c>
      <c r="D1149" s="14">
        <v>0.89358878256626795</v>
      </c>
      <c r="E1149" s="14">
        <v>0.831251005742635</v>
      </c>
      <c r="F1149" s="14"/>
      <c r="G1149" s="14" t="s">
        <v>88</v>
      </c>
      <c r="H1149" s="14">
        <v>0.85675850467817904</v>
      </c>
      <c r="I1149" s="14">
        <v>0.84368648654031297</v>
      </c>
      <c r="J1149" s="14">
        <v>0.87067485625591201</v>
      </c>
      <c r="K1149" s="14">
        <v>1</v>
      </c>
      <c r="L1149" s="14">
        <v>1</v>
      </c>
      <c r="M1149" s="14"/>
      <c r="N1149" s="14">
        <v>0.85425121159115902</v>
      </c>
      <c r="O1149" s="14">
        <v>0.81997753200189505</v>
      </c>
      <c r="P1149" s="14">
        <v>0.82621768166245202</v>
      </c>
      <c r="Q1149" s="14">
        <v>0.95935560177523305</v>
      </c>
      <c r="R1149" s="14"/>
      <c r="S1149" s="14">
        <v>0.88202414837733101</v>
      </c>
      <c r="T1149" s="14">
        <v>0.93911558659024996</v>
      </c>
      <c r="U1149" s="14">
        <v>0.87658160797415896</v>
      </c>
      <c r="V1149" s="14">
        <v>0.78550526929078501</v>
      </c>
      <c r="W1149" s="14">
        <v>0.70040068072890005</v>
      </c>
      <c r="X1149" s="14">
        <v>0.80090923060272801</v>
      </c>
      <c r="Y1149" s="14">
        <v>0.81189088413619803</v>
      </c>
      <c r="Z1149" s="14">
        <v>1</v>
      </c>
      <c r="AA1149" s="14">
        <v>0.91394738001864995</v>
      </c>
      <c r="AB1149" s="14"/>
      <c r="AC1149" s="14">
        <v>0.72529358738601302</v>
      </c>
      <c r="AD1149" s="14">
        <v>0.82972370660624895</v>
      </c>
      <c r="AE1149" s="14">
        <v>0.90141804977000095</v>
      </c>
      <c r="AF1149" s="14">
        <v>0.892511977813921</v>
      </c>
      <c r="AG1149" s="14">
        <v>0.92869893943813098</v>
      </c>
      <c r="AH1149" s="14"/>
      <c r="AI1149" s="14">
        <v>0.94226657510479805</v>
      </c>
      <c r="AJ1149" s="14">
        <v>0.87204216466709605</v>
      </c>
      <c r="AK1149" s="14">
        <v>0.78888263712335505</v>
      </c>
      <c r="AL1149" s="14">
        <v>0.90894969141690996</v>
      </c>
      <c r="AM1149" s="14">
        <v>0.81971202980882496</v>
      </c>
      <c r="AN1149" s="14">
        <v>0.82827890087428102</v>
      </c>
      <c r="AO1149" s="14"/>
      <c r="AP1149" s="14">
        <v>0.86304458572154397</v>
      </c>
      <c r="AQ1149" s="14">
        <v>0.86222289321753298</v>
      </c>
      <c r="AR1149" s="14"/>
      <c r="AS1149" s="14" t="s">
        <v>88</v>
      </c>
      <c r="AT1149" s="14">
        <v>0.86595668055144603</v>
      </c>
      <c r="AU1149" s="14">
        <v>0</v>
      </c>
      <c r="AV1149" s="14"/>
      <c r="AW1149" s="14">
        <v>0.85258712288198701</v>
      </c>
      <c r="AX1149" s="14">
        <v>0.88497458293223397</v>
      </c>
      <c r="AY1149" s="14"/>
      <c r="AZ1149" s="14">
        <v>0.88976566945721902</v>
      </c>
      <c r="BA1149" s="14">
        <v>0.70018871412575201</v>
      </c>
    </row>
    <row r="1150" spans="2:53" x14ac:dyDescent="0.35"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</row>
    <row r="1151" spans="2:53" x14ac:dyDescent="0.35">
      <c r="B1151" s="6" t="s">
        <v>318</v>
      </c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</row>
    <row r="1152" spans="2:53" x14ac:dyDescent="0.35">
      <c r="B1152" s="30" t="s">
        <v>320</v>
      </c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</row>
    <row r="1153" spans="2:53" x14ac:dyDescent="0.35">
      <c r="B1153" t="s">
        <v>154</v>
      </c>
      <c r="C1153" s="14">
        <v>0.55073770165291303</v>
      </c>
      <c r="D1153" s="14">
        <v>0.55462115767720799</v>
      </c>
      <c r="E1153" s="14">
        <v>0.54751601704926101</v>
      </c>
      <c r="F1153" s="14"/>
      <c r="G1153" s="14">
        <v>0</v>
      </c>
      <c r="H1153" s="14">
        <v>0.47881559061413198</v>
      </c>
      <c r="I1153" s="14">
        <v>0.58053655738790999</v>
      </c>
      <c r="J1153" s="14">
        <v>0.58479081562242297</v>
      </c>
      <c r="K1153" s="14">
        <v>0.70432496279697399</v>
      </c>
      <c r="L1153" s="14">
        <v>0</v>
      </c>
      <c r="M1153" s="14"/>
      <c r="N1153" s="14">
        <v>0.630254441689169</v>
      </c>
      <c r="O1153" s="14">
        <v>0.54403222986765598</v>
      </c>
      <c r="P1153" s="14">
        <v>0.48148074705597799</v>
      </c>
      <c r="Q1153" s="14">
        <v>0.54601411714599501</v>
      </c>
      <c r="R1153" s="14"/>
      <c r="S1153" s="14">
        <v>0.57656598313948104</v>
      </c>
      <c r="T1153" s="14">
        <v>0.55643425171080396</v>
      </c>
      <c r="U1153" s="14">
        <v>0.66890723968653598</v>
      </c>
      <c r="V1153" s="14">
        <v>0.44043856819406102</v>
      </c>
      <c r="W1153" s="14">
        <v>0.41950219549259798</v>
      </c>
      <c r="X1153" s="14">
        <v>0.665919463037702</v>
      </c>
      <c r="Y1153" s="14">
        <v>0.495263122316976</v>
      </c>
      <c r="Z1153" s="14">
        <v>0.58728343537431504</v>
      </c>
      <c r="AA1153" s="14">
        <v>0.52594369759258097</v>
      </c>
      <c r="AB1153" s="14"/>
      <c r="AC1153" s="14">
        <v>0.45342921086824101</v>
      </c>
      <c r="AD1153" s="14">
        <v>0.58886080011352104</v>
      </c>
      <c r="AE1153" s="14">
        <v>0.55748429670847099</v>
      </c>
      <c r="AF1153" s="14">
        <v>0.61406283251944904</v>
      </c>
      <c r="AG1153" s="14">
        <v>0.638913218940106</v>
      </c>
      <c r="AH1153" s="14"/>
      <c r="AI1153" s="14">
        <v>0.58704692608818698</v>
      </c>
      <c r="AJ1153" s="14">
        <v>0.61325476038715998</v>
      </c>
      <c r="AK1153" s="14">
        <v>0.618257533976319</v>
      </c>
      <c r="AL1153" s="14">
        <v>0.454837575097713</v>
      </c>
      <c r="AM1153" s="14">
        <v>0.60692267986953097</v>
      </c>
      <c r="AN1153" s="14">
        <v>0.56407786325842502</v>
      </c>
      <c r="AO1153" s="14"/>
      <c r="AP1153" s="14">
        <v>0.57149663397738704</v>
      </c>
      <c r="AQ1153" s="14">
        <v>0.52336586241101402</v>
      </c>
      <c r="AR1153" s="14"/>
      <c r="AS1153" s="14" t="s">
        <v>88</v>
      </c>
      <c r="AT1153" s="14">
        <v>0.549974497406999</v>
      </c>
      <c r="AU1153" s="14">
        <v>1</v>
      </c>
      <c r="AV1153" s="14"/>
      <c r="AW1153" s="14">
        <v>0.53341686087055395</v>
      </c>
      <c r="AX1153" s="14">
        <v>0.62343115064601895</v>
      </c>
      <c r="AY1153" s="14"/>
      <c r="AZ1153" s="14">
        <v>0.56353478089411702</v>
      </c>
      <c r="BA1153" s="14">
        <v>0.53624569944283795</v>
      </c>
    </row>
    <row r="1154" spans="2:53" x14ac:dyDescent="0.35">
      <c r="B1154" t="s">
        <v>155</v>
      </c>
      <c r="C1154" s="14">
        <v>0.245948899262874</v>
      </c>
      <c r="D1154" s="14">
        <v>0.272042919430527</v>
      </c>
      <c r="E1154" s="14">
        <v>0.22430150516452699</v>
      </c>
      <c r="F1154" s="14"/>
      <c r="G1154" s="14">
        <v>1</v>
      </c>
      <c r="H1154" s="14">
        <v>0.30995614626022</v>
      </c>
      <c r="I1154" s="14">
        <v>0.239718040647772</v>
      </c>
      <c r="J1154" s="14">
        <v>0.167236165515076</v>
      </c>
      <c r="K1154" s="14">
        <v>0.11928372032960501</v>
      </c>
      <c r="L1154" s="14">
        <v>0.34819201228478702</v>
      </c>
      <c r="M1154" s="14"/>
      <c r="N1154" s="14">
        <v>0.21446896806317101</v>
      </c>
      <c r="O1154" s="14">
        <v>0.265883051187494</v>
      </c>
      <c r="P1154" s="14">
        <v>0.27231447962612099</v>
      </c>
      <c r="Q1154" s="14">
        <v>0.23458439625632399</v>
      </c>
      <c r="R1154" s="14"/>
      <c r="S1154" s="14">
        <v>0.24228968192132999</v>
      </c>
      <c r="T1154" s="14">
        <v>0.28558497462111099</v>
      </c>
      <c r="U1154" s="14">
        <v>0.172415088663539</v>
      </c>
      <c r="V1154" s="14">
        <v>0.41584093553252199</v>
      </c>
      <c r="W1154" s="14">
        <v>0.31319273762411298</v>
      </c>
      <c r="X1154" s="14">
        <v>0.12743542981306399</v>
      </c>
      <c r="Y1154" s="14">
        <v>0.26388311461688202</v>
      </c>
      <c r="Z1154" s="14">
        <v>0.27146414459035401</v>
      </c>
      <c r="AA1154" s="14">
        <v>0.19164433599834699</v>
      </c>
      <c r="AB1154" s="14"/>
      <c r="AC1154" s="14">
        <v>0.25826944486449699</v>
      </c>
      <c r="AD1154" s="14">
        <v>0.208129287461949</v>
      </c>
      <c r="AE1154" s="14">
        <v>0.25233661893713699</v>
      </c>
      <c r="AF1154" s="14">
        <v>0.31166817939367802</v>
      </c>
      <c r="AG1154" s="14">
        <v>0.243776589510935</v>
      </c>
      <c r="AH1154" s="14"/>
      <c r="AI1154" s="14">
        <v>0.27539895963399402</v>
      </c>
      <c r="AJ1154" s="14">
        <v>0.23714370512737201</v>
      </c>
      <c r="AK1154" s="14">
        <v>0.28726261298973199</v>
      </c>
      <c r="AL1154" s="14">
        <v>0.20930620023023</v>
      </c>
      <c r="AM1154" s="14">
        <v>0.22707449511282701</v>
      </c>
      <c r="AN1154" s="14">
        <v>6.3766213631290897E-2</v>
      </c>
      <c r="AO1154" s="14"/>
      <c r="AP1154" s="14">
        <v>0.24561557360389499</v>
      </c>
      <c r="AQ1154" s="14">
        <v>0.24638840820341801</v>
      </c>
      <c r="AR1154" s="14"/>
      <c r="AS1154" s="14" t="s">
        <v>88</v>
      </c>
      <c r="AT1154" s="14">
        <v>0.24636671585884901</v>
      </c>
      <c r="AU1154" s="14">
        <v>0</v>
      </c>
      <c r="AV1154" s="14"/>
      <c r="AW1154" s="14">
        <v>0.24091279429965101</v>
      </c>
      <c r="AX1154" s="14">
        <v>0.29580807365202499</v>
      </c>
      <c r="AY1154" s="14"/>
      <c r="AZ1154" s="14">
        <v>0.27368012652909102</v>
      </c>
      <c r="BA1154" s="14">
        <v>0.16372357520851999</v>
      </c>
    </row>
    <row r="1155" spans="2:53" x14ac:dyDescent="0.35">
      <c r="B1155" t="s">
        <v>116</v>
      </c>
      <c r="C1155" s="14">
        <v>0.203313399084213</v>
      </c>
      <c r="D1155" s="14">
        <v>0.17333592289226499</v>
      </c>
      <c r="E1155" s="14">
        <v>0.22818247778621201</v>
      </c>
      <c r="F1155" s="14"/>
      <c r="G1155" s="14">
        <v>0</v>
      </c>
      <c r="H1155" s="14">
        <v>0.21122826312564799</v>
      </c>
      <c r="I1155" s="14">
        <v>0.17974540196431801</v>
      </c>
      <c r="J1155" s="14">
        <v>0.247973018862501</v>
      </c>
      <c r="K1155" s="14">
        <v>0.17639131687342099</v>
      </c>
      <c r="L1155" s="14">
        <v>0.65180798771521298</v>
      </c>
      <c r="M1155" s="14"/>
      <c r="N1155" s="14">
        <v>0.15527659024766</v>
      </c>
      <c r="O1155" s="14">
        <v>0.19008471894484999</v>
      </c>
      <c r="P1155" s="14">
        <v>0.246204773317901</v>
      </c>
      <c r="Q1155" s="14">
        <v>0.21940148659768099</v>
      </c>
      <c r="R1155" s="14"/>
      <c r="S1155" s="14">
        <v>0.18114433493918899</v>
      </c>
      <c r="T1155" s="14">
        <v>0.15798077366808599</v>
      </c>
      <c r="U1155" s="14">
        <v>0.158677671649924</v>
      </c>
      <c r="V1155" s="14">
        <v>0.14372049627341699</v>
      </c>
      <c r="W1155" s="14">
        <v>0.26730506688328998</v>
      </c>
      <c r="X1155" s="14">
        <v>0.20664510714923401</v>
      </c>
      <c r="Y1155" s="14">
        <v>0.24085376306614301</v>
      </c>
      <c r="Z1155" s="14">
        <v>0.14125242003533101</v>
      </c>
      <c r="AA1155" s="14">
        <v>0.28241196640907201</v>
      </c>
      <c r="AB1155" s="14"/>
      <c r="AC1155" s="14">
        <v>0.28830134426726101</v>
      </c>
      <c r="AD1155" s="14">
        <v>0.20300991242453001</v>
      </c>
      <c r="AE1155" s="14">
        <v>0.19017908435439199</v>
      </c>
      <c r="AF1155" s="14">
        <v>7.42689880868726E-2</v>
      </c>
      <c r="AG1155" s="14">
        <v>0.11731019154896</v>
      </c>
      <c r="AH1155" s="14"/>
      <c r="AI1155" s="14">
        <v>0.137554114277818</v>
      </c>
      <c r="AJ1155" s="14">
        <v>0.14960153448546801</v>
      </c>
      <c r="AK1155" s="14">
        <v>9.4479853033949096E-2</v>
      </c>
      <c r="AL1155" s="14">
        <v>0.335856224672057</v>
      </c>
      <c r="AM1155" s="14">
        <v>0.16600282501764099</v>
      </c>
      <c r="AN1155" s="14">
        <v>0.372155923110284</v>
      </c>
      <c r="AO1155" s="14"/>
      <c r="AP1155" s="14">
        <v>0.182887792418718</v>
      </c>
      <c r="AQ1155" s="14">
        <v>0.230245729385568</v>
      </c>
      <c r="AR1155" s="14"/>
      <c r="AS1155" s="14" t="s">
        <v>88</v>
      </c>
      <c r="AT1155" s="14">
        <v>0.203658786734152</v>
      </c>
      <c r="AU1155" s="14">
        <v>0</v>
      </c>
      <c r="AV1155" s="14"/>
      <c r="AW1155" s="14">
        <v>0.22567034482979501</v>
      </c>
      <c r="AX1155" s="14">
        <v>8.0760775701956E-2</v>
      </c>
      <c r="AY1155" s="14"/>
      <c r="AZ1155" s="14">
        <v>0.162785092576792</v>
      </c>
      <c r="BA1155" s="14">
        <v>0.300030725348643</v>
      </c>
    </row>
    <row r="1156" spans="2:53" x14ac:dyDescent="0.35"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</row>
    <row r="1157" spans="2:53" x14ac:dyDescent="0.35">
      <c r="B1157" s="6" t="s">
        <v>319</v>
      </c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</row>
    <row r="1158" spans="2:53" x14ac:dyDescent="0.35">
      <c r="B1158" s="30" t="s">
        <v>328</v>
      </c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</row>
    <row r="1159" spans="2:53" x14ac:dyDescent="0.35">
      <c r="B1159" t="s">
        <v>214</v>
      </c>
      <c r="C1159" s="14">
        <v>0.20731139061380599</v>
      </c>
      <c r="D1159" s="14">
        <v>0.247750394638414</v>
      </c>
      <c r="E1159" s="14">
        <v>0.17332815823558001</v>
      </c>
      <c r="F1159" s="14"/>
      <c r="G1159" s="14" t="s">
        <v>88</v>
      </c>
      <c r="H1159" s="14">
        <v>0.26483066955793699</v>
      </c>
      <c r="I1159" s="14">
        <v>0.23236886874156601</v>
      </c>
      <c r="J1159" s="14">
        <v>0.117156092933611</v>
      </c>
      <c r="K1159" s="14">
        <v>0</v>
      </c>
      <c r="L1159" s="14" t="s">
        <v>88</v>
      </c>
      <c r="M1159" s="14"/>
      <c r="N1159" s="14">
        <v>0.18735216112197001</v>
      </c>
      <c r="O1159" s="14">
        <v>0.22808852699238799</v>
      </c>
      <c r="P1159" s="14">
        <v>0.16700038702049499</v>
      </c>
      <c r="Q1159" s="14">
        <v>0.22792718792831301</v>
      </c>
      <c r="R1159" s="14"/>
      <c r="S1159" s="14">
        <v>0.32492579365482799</v>
      </c>
      <c r="T1159" s="14">
        <v>0.33417835583393402</v>
      </c>
      <c r="U1159" s="14">
        <v>0.159973269045529</v>
      </c>
      <c r="V1159" s="14">
        <v>2.4894547290093799E-2</v>
      </c>
      <c r="W1159" s="14">
        <v>0.21283173387368401</v>
      </c>
      <c r="X1159" s="14">
        <v>0.151213004391547</v>
      </c>
      <c r="Y1159" s="14">
        <v>0.149235086635786</v>
      </c>
      <c r="Z1159" s="14">
        <v>0.25612196867887299</v>
      </c>
      <c r="AA1159" s="14">
        <v>0.125896293745039</v>
      </c>
      <c r="AB1159" s="14"/>
      <c r="AC1159" s="14">
        <v>0.246605301924608</v>
      </c>
      <c r="AD1159" s="14">
        <v>0.19900064431089401</v>
      </c>
      <c r="AE1159" s="14">
        <v>0.14347984488505899</v>
      </c>
      <c r="AF1159" s="14">
        <v>0.26269898859366603</v>
      </c>
      <c r="AG1159" s="14">
        <v>0.124796923527945</v>
      </c>
      <c r="AH1159" s="14"/>
      <c r="AI1159" s="14">
        <v>0.22667208652740001</v>
      </c>
      <c r="AJ1159" s="14">
        <v>0.20619154859604699</v>
      </c>
      <c r="AK1159" s="14">
        <v>0.38520821148911999</v>
      </c>
      <c r="AL1159" s="14">
        <v>7.8524131813846904E-2</v>
      </c>
      <c r="AM1159" s="14">
        <v>6.9568230178971902E-2</v>
      </c>
      <c r="AN1159" s="14">
        <v>0.29830726205666003</v>
      </c>
      <c r="AO1159" s="14"/>
      <c r="AP1159" s="14">
        <v>0.22657478937976699</v>
      </c>
      <c r="AQ1159" s="14">
        <v>0.179575624408291</v>
      </c>
      <c r="AR1159" s="14"/>
      <c r="AS1159" s="14" t="s">
        <v>88</v>
      </c>
      <c r="AT1159" s="14">
        <v>0.207951746515667</v>
      </c>
      <c r="AU1159" s="14">
        <v>0</v>
      </c>
      <c r="AV1159" s="14"/>
      <c r="AW1159" s="14">
        <v>0.15979504079947199</v>
      </c>
      <c r="AX1159" s="14">
        <v>0.36380099073765199</v>
      </c>
      <c r="AY1159" s="14"/>
      <c r="AZ1159" s="14">
        <v>0.212335280698151</v>
      </c>
      <c r="BA1159" s="14">
        <v>0.189145557957134</v>
      </c>
    </row>
    <row r="1160" spans="2:53" x14ac:dyDescent="0.35">
      <c r="B1160" t="s">
        <v>215</v>
      </c>
      <c r="C1160" s="14">
        <v>0.57273034462863803</v>
      </c>
      <c r="D1160" s="14">
        <v>0.63109214847693795</v>
      </c>
      <c r="E1160" s="14">
        <v>0.52368554765534103</v>
      </c>
      <c r="F1160" s="14"/>
      <c r="G1160" s="14" t="s">
        <v>88</v>
      </c>
      <c r="H1160" s="14">
        <v>0.45967808540708799</v>
      </c>
      <c r="I1160" s="14">
        <v>0.57261113159800103</v>
      </c>
      <c r="J1160" s="14">
        <v>0.63369127858357699</v>
      </c>
      <c r="K1160" s="14">
        <v>0.88622350519791804</v>
      </c>
      <c r="L1160" s="14" t="s">
        <v>88</v>
      </c>
      <c r="M1160" s="14"/>
      <c r="N1160" s="14">
        <v>0.53475516777023402</v>
      </c>
      <c r="O1160" s="14">
        <v>0.56855926491279696</v>
      </c>
      <c r="P1160" s="14">
        <v>0.738291802747161</v>
      </c>
      <c r="Q1160" s="14">
        <v>0.51367096696003001</v>
      </c>
      <c r="R1160" s="14"/>
      <c r="S1160" s="14">
        <v>0.56761374650265795</v>
      </c>
      <c r="T1160" s="14">
        <v>0.44998676584104602</v>
      </c>
      <c r="U1160" s="14">
        <v>0.64750368928905699</v>
      </c>
      <c r="V1160" s="14">
        <v>0.62944987682990206</v>
      </c>
      <c r="W1160" s="14">
        <v>0.67626716327867598</v>
      </c>
      <c r="X1160" s="14">
        <v>0.58188530537778205</v>
      </c>
      <c r="Y1160" s="14">
        <v>0.53384710768797605</v>
      </c>
      <c r="Z1160" s="14">
        <v>0.53376725643131795</v>
      </c>
      <c r="AA1160" s="14">
        <v>0.61590595502947199</v>
      </c>
      <c r="AB1160" s="14"/>
      <c r="AC1160" s="14">
        <v>0.58427932095381696</v>
      </c>
      <c r="AD1160" s="14">
        <v>0.59562671494156705</v>
      </c>
      <c r="AE1160" s="14">
        <v>0.64345507938799096</v>
      </c>
      <c r="AF1160" s="14">
        <v>0.47535107388459602</v>
      </c>
      <c r="AG1160" s="14">
        <v>0.28409309730527399</v>
      </c>
      <c r="AH1160" s="14"/>
      <c r="AI1160" s="14">
        <v>0.55972007231518395</v>
      </c>
      <c r="AJ1160" s="14">
        <v>0.60508846171050801</v>
      </c>
      <c r="AK1160" s="14">
        <v>0.30505650986483301</v>
      </c>
      <c r="AL1160" s="14">
        <v>0.70219892226232905</v>
      </c>
      <c r="AM1160" s="14">
        <v>0.70600750245843003</v>
      </c>
      <c r="AN1160" s="14">
        <v>0.44186245321130602</v>
      </c>
      <c r="AO1160" s="14"/>
      <c r="AP1160" s="14">
        <v>0.55701470905851802</v>
      </c>
      <c r="AQ1160" s="14">
        <v>0.59535798159133901</v>
      </c>
      <c r="AR1160" s="14"/>
      <c r="AS1160" s="14" t="s">
        <v>88</v>
      </c>
      <c r="AT1160" s="14">
        <v>0.57449942859103897</v>
      </c>
      <c r="AU1160" s="14">
        <v>0</v>
      </c>
      <c r="AV1160" s="14"/>
      <c r="AW1160" s="14">
        <v>0.59648095336517903</v>
      </c>
      <c r="AX1160" s="14">
        <v>0.493924223428445</v>
      </c>
      <c r="AY1160" s="14"/>
      <c r="AZ1160" s="14">
        <v>0.599101672409876</v>
      </c>
      <c r="BA1160" s="14">
        <v>0.47737453083387099</v>
      </c>
    </row>
    <row r="1161" spans="2:53" x14ac:dyDescent="0.35">
      <c r="B1161" t="s">
        <v>216</v>
      </c>
      <c r="C1161" s="14">
        <v>8.7810908659390605E-2</v>
      </c>
      <c r="D1161" s="14">
        <v>9.5847147922860004E-2</v>
      </c>
      <c r="E1161" s="14">
        <v>8.1057592327185304E-2</v>
      </c>
      <c r="F1161" s="14"/>
      <c r="G1161" s="14" t="s">
        <v>88</v>
      </c>
      <c r="H1161" s="14">
        <v>5.9261558955538099E-2</v>
      </c>
      <c r="I1161" s="14">
        <v>9.0407167937795005E-2</v>
      </c>
      <c r="J1161" s="14">
        <v>0.108933537404158</v>
      </c>
      <c r="K1161" s="14">
        <v>0.113776494802082</v>
      </c>
      <c r="L1161" s="14" t="s">
        <v>88</v>
      </c>
      <c r="M1161" s="14"/>
      <c r="N1161" s="14">
        <v>0.153626938759929</v>
      </c>
      <c r="O1161" s="14">
        <v>8.2025964483933803E-2</v>
      </c>
      <c r="P1161" s="14">
        <v>0</v>
      </c>
      <c r="Q1161" s="14">
        <v>8.5586086991305294E-2</v>
      </c>
      <c r="R1161" s="14"/>
      <c r="S1161" s="14">
        <v>2.8410590014981502E-2</v>
      </c>
      <c r="T1161" s="14">
        <v>0.106207783726024</v>
      </c>
      <c r="U1161" s="14">
        <v>0.13441935170118499</v>
      </c>
      <c r="V1161" s="14">
        <v>0</v>
      </c>
      <c r="W1161" s="14">
        <v>0</v>
      </c>
      <c r="X1161" s="14">
        <v>0.18385147099382701</v>
      </c>
      <c r="Y1161" s="14">
        <v>9.7065155532353106E-2</v>
      </c>
      <c r="Z1161" s="14">
        <v>0</v>
      </c>
      <c r="AA1161" s="14">
        <v>9.9602622772148097E-2</v>
      </c>
      <c r="AB1161" s="14"/>
      <c r="AC1161" s="14">
        <v>7.3757478099610002E-2</v>
      </c>
      <c r="AD1161" s="14">
        <v>6.1532992728574099E-2</v>
      </c>
      <c r="AE1161" s="14">
        <v>8.3630899735705894E-2</v>
      </c>
      <c r="AF1161" s="14">
        <v>0.10364009142475</v>
      </c>
      <c r="AG1161" s="14">
        <v>0.23197914262908501</v>
      </c>
      <c r="AH1161" s="14"/>
      <c r="AI1161" s="14">
        <v>0.119936549421962</v>
      </c>
      <c r="AJ1161" s="14">
        <v>9.8820435791015807E-2</v>
      </c>
      <c r="AK1161" s="14">
        <v>0</v>
      </c>
      <c r="AL1161" s="14">
        <v>7.8760565386579801E-2</v>
      </c>
      <c r="AM1161" s="14">
        <v>0</v>
      </c>
      <c r="AN1161" s="14">
        <v>0.102588036278409</v>
      </c>
      <c r="AO1161" s="14"/>
      <c r="AP1161" s="14">
        <v>0.102507733089264</v>
      </c>
      <c r="AQ1161" s="14">
        <v>6.6650173147297806E-2</v>
      </c>
      <c r="AR1161" s="14"/>
      <c r="AS1161" s="14" t="s">
        <v>88</v>
      </c>
      <c r="AT1161" s="14">
        <v>8.8082144279591504E-2</v>
      </c>
      <c r="AU1161" s="14">
        <v>0</v>
      </c>
      <c r="AV1161" s="14"/>
      <c r="AW1161" s="14">
        <v>9.16360344088782E-2</v>
      </c>
      <c r="AX1161" s="14">
        <v>0.10118840624044199</v>
      </c>
      <c r="AY1161" s="14"/>
      <c r="AZ1161" s="14">
        <v>9.5579373728959596E-2</v>
      </c>
      <c r="BA1161" s="14">
        <v>5.9720995447967502E-2</v>
      </c>
    </row>
    <row r="1162" spans="2:53" x14ac:dyDescent="0.35">
      <c r="B1162" t="s">
        <v>217</v>
      </c>
      <c r="C1162" s="14">
        <v>2.21257978236661E-2</v>
      </c>
      <c r="D1162" s="14">
        <v>1.09848208749505E-2</v>
      </c>
      <c r="E1162" s="14">
        <v>3.1488204680626901E-2</v>
      </c>
      <c r="F1162" s="14"/>
      <c r="G1162" s="14" t="s">
        <v>88</v>
      </c>
      <c r="H1162" s="14">
        <v>5.9830271837664997E-2</v>
      </c>
      <c r="I1162" s="14">
        <v>9.8679316271208101E-3</v>
      </c>
      <c r="J1162" s="14">
        <v>1.6288124978652899E-2</v>
      </c>
      <c r="K1162" s="14">
        <v>0</v>
      </c>
      <c r="L1162" s="14" t="s">
        <v>88</v>
      </c>
      <c r="M1162" s="14"/>
      <c r="N1162" s="14">
        <v>3.1295607543819999E-2</v>
      </c>
      <c r="O1162" s="14">
        <v>1.3729316815986801E-2</v>
      </c>
      <c r="P1162" s="14">
        <v>0</v>
      </c>
      <c r="Q1162" s="14">
        <v>3.5567224717535303E-2</v>
      </c>
      <c r="R1162" s="14"/>
      <c r="S1162" s="14">
        <v>2.5319640889644002E-2</v>
      </c>
      <c r="T1162" s="14">
        <v>4.7750316576394398E-2</v>
      </c>
      <c r="U1162" s="14">
        <v>0</v>
      </c>
      <c r="V1162" s="14">
        <v>0</v>
      </c>
      <c r="W1162" s="14">
        <v>0</v>
      </c>
      <c r="X1162" s="14">
        <v>0</v>
      </c>
      <c r="Y1162" s="14">
        <v>5.1652011276614201E-2</v>
      </c>
      <c r="Z1162" s="14">
        <v>0</v>
      </c>
      <c r="AA1162" s="14">
        <v>3.7260227668664797E-2</v>
      </c>
      <c r="AB1162" s="14"/>
      <c r="AC1162" s="14">
        <v>0</v>
      </c>
      <c r="AD1162" s="14">
        <v>1.9820692225788299E-2</v>
      </c>
      <c r="AE1162" s="14">
        <v>4.5164188276913798E-2</v>
      </c>
      <c r="AF1162" s="14">
        <v>1.9288490973664901E-2</v>
      </c>
      <c r="AG1162" s="14">
        <v>0</v>
      </c>
      <c r="AH1162" s="14"/>
      <c r="AI1162" s="14">
        <v>1.0200957104546399E-2</v>
      </c>
      <c r="AJ1162" s="14">
        <v>0</v>
      </c>
      <c r="AK1162" s="14">
        <v>0.106381127055373</v>
      </c>
      <c r="AL1162" s="14">
        <v>4.5317522632981097E-2</v>
      </c>
      <c r="AM1162" s="14">
        <v>0</v>
      </c>
      <c r="AN1162" s="14">
        <v>6.7946696316759397E-2</v>
      </c>
      <c r="AO1162" s="14"/>
      <c r="AP1162" s="14">
        <v>3.2296358035346397E-2</v>
      </c>
      <c r="AQ1162" s="14">
        <v>7.4820538178713702E-3</v>
      </c>
      <c r="AR1162" s="14"/>
      <c r="AS1162" s="14" t="s">
        <v>88</v>
      </c>
      <c r="AT1162" s="14">
        <v>2.21941413197848E-2</v>
      </c>
      <c r="AU1162" s="14">
        <v>0</v>
      </c>
      <c r="AV1162" s="14"/>
      <c r="AW1162" s="14">
        <v>2.8667358360213099E-2</v>
      </c>
      <c r="AX1162" s="14">
        <v>0</v>
      </c>
      <c r="AY1162" s="14"/>
      <c r="AZ1162" s="14">
        <v>6.4031724029488101E-3</v>
      </c>
      <c r="BA1162" s="14">
        <v>7.8977077911634497E-2</v>
      </c>
    </row>
    <row r="1163" spans="2:53" x14ac:dyDescent="0.35">
      <c r="B1163" t="s">
        <v>116</v>
      </c>
      <c r="C1163" s="14">
        <v>6.3247055208618799E-2</v>
      </c>
      <c r="D1163" s="14">
        <v>1.1030325737319E-2</v>
      </c>
      <c r="E1163" s="14">
        <v>0.10712779100948799</v>
      </c>
      <c r="F1163" s="14"/>
      <c r="G1163" s="14" t="s">
        <v>88</v>
      </c>
      <c r="H1163" s="14">
        <v>9.9201527506354303E-2</v>
      </c>
      <c r="I1163" s="14">
        <v>4.8683375719232702E-2</v>
      </c>
      <c r="J1163" s="14">
        <v>7.6291527490181393E-2</v>
      </c>
      <c r="K1163" s="14">
        <v>0</v>
      </c>
      <c r="L1163" s="14" t="s">
        <v>88</v>
      </c>
      <c r="M1163" s="14"/>
      <c r="N1163" s="14">
        <v>2.8900214328291401E-2</v>
      </c>
      <c r="O1163" s="14">
        <v>7.9858294881215194E-2</v>
      </c>
      <c r="P1163" s="14">
        <v>5.73806247159796E-2</v>
      </c>
      <c r="Q1163" s="14">
        <v>8.0946398814788004E-2</v>
      </c>
      <c r="R1163" s="14"/>
      <c r="S1163" s="14">
        <v>0</v>
      </c>
      <c r="T1163" s="14">
        <v>0</v>
      </c>
      <c r="U1163" s="14">
        <v>4.7282146923914199E-2</v>
      </c>
      <c r="V1163" s="14">
        <v>0.251506831515386</v>
      </c>
      <c r="W1163" s="14">
        <v>6.8823842575620603E-2</v>
      </c>
      <c r="X1163" s="14">
        <v>6.7173197824694206E-2</v>
      </c>
      <c r="Y1163" s="14">
        <v>3.7132111272629803E-2</v>
      </c>
      <c r="Z1163" s="14">
        <v>0.210110774889809</v>
      </c>
      <c r="AA1163" s="14">
        <v>0.10130641842881501</v>
      </c>
      <c r="AB1163" s="14"/>
      <c r="AC1163" s="14">
        <v>4.6178510999506199E-2</v>
      </c>
      <c r="AD1163" s="14">
        <v>7.3380284912537896E-2</v>
      </c>
      <c r="AE1163" s="14">
        <v>7.4681379784429999E-2</v>
      </c>
      <c r="AF1163" s="14">
        <v>5.9773231507815501E-2</v>
      </c>
      <c r="AG1163" s="14">
        <v>0</v>
      </c>
      <c r="AH1163" s="14"/>
      <c r="AI1163" s="14">
        <v>4.6186689810234799E-2</v>
      </c>
      <c r="AJ1163" s="14">
        <v>5.7437685938240599E-2</v>
      </c>
      <c r="AK1163" s="14">
        <v>6.3648068829463403E-2</v>
      </c>
      <c r="AL1163" s="14">
        <v>9.5198857904262996E-2</v>
      </c>
      <c r="AM1163" s="14">
        <v>0.16201724765311601</v>
      </c>
      <c r="AN1163" s="14">
        <v>0</v>
      </c>
      <c r="AO1163" s="14"/>
      <c r="AP1163" s="14">
        <v>3.7885196830496001E-2</v>
      </c>
      <c r="AQ1163" s="14">
        <v>9.9763486346200206E-2</v>
      </c>
      <c r="AR1163" s="14"/>
      <c r="AS1163" s="14" t="s">
        <v>88</v>
      </c>
      <c r="AT1163" s="14">
        <v>6.3442416519727998E-2</v>
      </c>
      <c r="AU1163" s="14">
        <v>0</v>
      </c>
      <c r="AV1163" s="14"/>
      <c r="AW1163" s="14">
        <v>8.1946242632404007E-2</v>
      </c>
      <c r="AX1163" s="14">
        <v>0</v>
      </c>
      <c r="AY1163" s="14"/>
      <c r="AZ1163" s="14">
        <v>4.1682126259822497E-2</v>
      </c>
      <c r="BA1163" s="14">
        <v>0.141223460734995</v>
      </c>
    </row>
    <row r="1164" spans="2:53" x14ac:dyDescent="0.35"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</row>
    <row r="1165" spans="2:53" x14ac:dyDescent="0.35">
      <c r="B1165" s="6" t="s">
        <v>321</v>
      </c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</row>
    <row r="1166" spans="2:53" x14ac:dyDescent="0.35">
      <c r="B1166" s="30" t="s">
        <v>328</v>
      </c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</row>
    <row r="1167" spans="2:53" x14ac:dyDescent="0.35">
      <c r="B1167" t="s">
        <v>220</v>
      </c>
      <c r="C1167" s="14">
        <v>0.240267276144881</v>
      </c>
      <c r="D1167" s="14">
        <v>0.24756698851272199</v>
      </c>
      <c r="E1167" s="14">
        <v>0.23413290593290501</v>
      </c>
      <c r="F1167" s="14"/>
      <c r="G1167" s="14" t="s">
        <v>88</v>
      </c>
      <c r="H1167" s="14">
        <v>0.25517296346789498</v>
      </c>
      <c r="I1167" s="14">
        <v>0.28797246023144402</v>
      </c>
      <c r="J1167" s="14">
        <v>9.4901702998550996E-2</v>
      </c>
      <c r="K1167" s="14">
        <v>0.20656703463974199</v>
      </c>
      <c r="L1167" s="14" t="s">
        <v>88</v>
      </c>
      <c r="M1167" s="14"/>
      <c r="N1167" s="14">
        <v>0.21215263796571801</v>
      </c>
      <c r="O1167" s="14">
        <v>0.24158419895925701</v>
      </c>
      <c r="P1167" s="14">
        <v>0.28444126456962998</v>
      </c>
      <c r="Q1167" s="14">
        <v>0.23846442183351299</v>
      </c>
      <c r="R1167" s="14"/>
      <c r="S1167" s="14">
        <v>0.16531513793101599</v>
      </c>
      <c r="T1167" s="14">
        <v>0.25722141727007503</v>
      </c>
      <c r="U1167" s="14">
        <v>5.8103689964229002E-2</v>
      </c>
      <c r="V1167" s="14">
        <v>0.29266863749203198</v>
      </c>
      <c r="W1167" s="14">
        <v>0.30986576113308201</v>
      </c>
      <c r="X1167" s="14">
        <v>0.25427892531448398</v>
      </c>
      <c r="Y1167" s="14">
        <v>0.14619417382026201</v>
      </c>
      <c r="Z1167" s="14">
        <v>0.45401074066892499</v>
      </c>
      <c r="AA1167" s="14">
        <v>0.36403985943363298</v>
      </c>
      <c r="AB1167" s="14"/>
      <c r="AC1167" s="14">
        <v>0.31663020844900502</v>
      </c>
      <c r="AD1167" s="14">
        <v>0.18789857464078799</v>
      </c>
      <c r="AE1167" s="14">
        <v>0.249635784404177</v>
      </c>
      <c r="AF1167" s="14">
        <v>0.23470620386004501</v>
      </c>
      <c r="AG1167" s="14">
        <v>0.3122407490711</v>
      </c>
      <c r="AH1167" s="14"/>
      <c r="AI1167" s="14">
        <v>0.25941016609797901</v>
      </c>
      <c r="AJ1167" s="14">
        <v>0.21051918097227501</v>
      </c>
      <c r="AK1167" s="14">
        <v>0.23430541672385599</v>
      </c>
      <c r="AL1167" s="14">
        <v>0.17066407717940599</v>
      </c>
      <c r="AM1167" s="14">
        <v>0.33588362889010598</v>
      </c>
      <c r="AN1167" s="14">
        <v>0.24131625556839401</v>
      </c>
      <c r="AO1167" s="14"/>
      <c r="AP1167" s="14">
        <v>0.23408804334880001</v>
      </c>
      <c r="AQ1167" s="14">
        <v>0.24916423966849399</v>
      </c>
      <c r="AR1167" s="14"/>
      <c r="AS1167" s="14" t="s">
        <v>88</v>
      </c>
      <c r="AT1167" s="14">
        <v>0.23792056797743599</v>
      </c>
      <c r="AU1167" s="14">
        <v>1</v>
      </c>
      <c r="AV1167" s="14"/>
      <c r="AW1167" s="14">
        <v>0.215752466687952</v>
      </c>
      <c r="AX1167" s="14">
        <v>0.29012250384117599</v>
      </c>
      <c r="AY1167" s="14"/>
      <c r="AZ1167" s="14">
        <v>0.25919499422360498</v>
      </c>
      <c r="BA1167" s="14">
        <v>0.17182673436986101</v>
      </c>
    </row>
    <row r="1168" spans="2:53" x14ac:dyDescent="0.35">
      <c r="B1168" t="s">
        <v>221</v>
      </c>
      <c r="C1168" s="14">
        <v>0.48786340586071703</v>
      </c>
      <c r="D1168" s="14">
        <v>0.52599640777967605</v>
      </c>
      <c r="E1168" s="14">
        <v>0.45581804033433598</v>
      </c>
      <c r="F1168" s="14"/>
      <c r="G1168" s="14" t="s">
        <v>88</v>
      </c>
      <c r="H1168" s="14">
        <v>0.38282614339988402</v>
      </c>
      <c r="I1168" s="14">
        <v>0.45442278223902099</v>
      </c>
      <c r="J1168" s="14">
        <v>0.67196884003135304</v>
      </c>
      <c r="K1168" s="14">
        <v>0.64675617236238303</v>
      </c>
      <c r="L1168" s="14" t="s">
        <v>88</v>
      </c>
      <c r="M1168" s="14"/>
      <c r="N1168" s="14">
        <v>0.51975532847111405</v>
      </c>
      <c r="O1168" s="14">
        <v>0.47165171359288399</v>
      </c>
      <c r="P1168" s="14">
        <v>0.55962797184380997</v>
      </c>
      <c r="Q1168" s="14">
        <v>0.432915274666478</v>
      </c>
      <c r="R1168" s="14"/>
      <c r="S1168" s="14">
        <v>0.59327570630391702</v>
      </c>
      <c r="T1168" s="14">
        <v>0.37138194747565301</v>
      </c>
      <c r="U1168" s="14">
        <v>0.75018792830148295</v>
      </c>
      <c r="V1168" s="14">
        <v>0.14387218407268301</v>
      </c>
      <c r="W1168" s="14">
        <v>0.57702319145164405</v>
      </c>
      <c r="X1168" s="14">
        <v>0.49704438174967303</v>
      </c>
      <c r="Y1168" s="14">
        <v>0.67108528730848205</v>
      </c>
      <c r="Z1168" s="14">
        <v>0.54598925933107501</v>
      </c>
      <c r="AA1168" s="14">
        <v>0.28277653839566702</v>
      </c>
      <c r="AB1168" s="14"/>
      <c r="AC1168" s="14">
        <v>0.40247580732376198</v>
      </c>
      <c r="AD1168" s="14">
        <v>0.46572369941459602</v>
      </c>
      <c r="AE1168" s="14">
        <v>0.52175906420714402</v>
      </c>
      <c r="AF1168" s="14">
        <v>0.53581906812320701</v>
      </c>
      <c r="AG1168" s="14">
        <v>0.32862841439120299</v>
      </c>
      <c r="AH1168" s="14"/>
      <c r="AI1168" s="14">
        <v>0.52633259300597801</v>
      </c>
      <c r="AJ1168" s="14">
        <v>0.58613097115943402</v>
      </c>
      <c r="AK1168" s="14">
        <v>0.343275788277834</v>
      </c>
      <c r="AL1168" s="14">
        <v>0.52941495904283398</v>
      </c>
      <c r="AM1168" s="14">
        <v>0.42947215194455601</v>
      </c>
      <c r="AN1168" s="14">
        <v>0.24371219586259099</v>
      </c>
      <c r="AO1168" s="14"/>
      <c r="AP1168" s="14">
        <v>0.47113104943467099</v>
      </c>
      <c r="AQ1168" s="14">
        <v>0.51195493464743203</v>
      </c>
      <c r="AR1168" s="14"/>
      <c r="AS1168" s="14" t="s">
        <v>88</v>
      </c>
      <c r="AT1168" s="14">
        <v>0.48937034771432197</v>
      </c>
      <c r="AU1168" s="14">
        <v>0</v>
      </c>
      <c r="AV1168" s="14"/>
      <c r="AW1168" s="14">
        <v>0.50710455883972205</v>
      </c>
      <c r="AX1168" s="14">
        <v>0.44994609140432901</v>
      </c>
      <c r="AY1168" s="14"/>
      <c r="AZ1168" s="14">
        <v>0.49075667283888702</v>
      </c>
      <c r="BA1168" s="14">
        <v>0.47740167145289403</v>
      </c>
    </row>
    <row r="1169" spans="2:53" x14ac:dyDescent="0.35">
      <c r="B1169" t="s">
        <v>222</v>
      </c>
      <c r="C1169" s="14">
        <v>0.206538896310033</v>
      </c>
      <c r="D1169" s="14">
        <v>0.20199735355096099</v>
      </c>
      <c r="E1169" s="14">
        <v>0.210355417182883</v>
      </c>
      <c r="F1169" s="14"/>
      <c r="G1169" s="14" t="s">
        <v>88</v>
      </c>
      <c r="H1169" s="14">
        <v>0.22729810750371501</v>
      </c>
      <c r="I1169" s="14">
        <v>0.207639940294606</v>
      </c>
      <c r="J1169" s="14">
        <v>0.192849533041305</v>
      </c>
      <c r="K1169" s="14">
        <v>0.14667679299787501</v>
      </c>
      <c r="L1169" s="14" t="s">
        <v>88</v>
      </c>
      <c r="M1169" s="14"/>
      <c r="N1169" s="14">
        <v>0.18188447075422701</v>
      </c>
      <c r="O1169" s="14">
        <v>0.23101580901847901</v>
      </c>
      <c r="P1169" s="14">
        <v>0.15593076358656</v>
      </c>
      <c r="Q1169" s="14">
        <v>0.23372123266772399</v>
      </c>
      <c r="R1169" s="14"/>
      <c r="S1169" s="14">
        <v>0.18767892682717799</v>
      </c>
      <c r="T1169" s="14">
        <v>0.27988660871321602</v>
      </c>
      <c r="U1169" s="14">
        <v>0.191708381734288</v>
      </c>
      <c r="V1169" s="14">
        <v>0.40445583753463299</v>
      </c>
      <c r="W1169" s="14">
        <v>0.113111047415274</v>
      </c>
      <c r="X1169" s="14">
        <v>0.23279967152369399</v>
      </c>
      <c r="Y1169" s="14">
        <v>2.7764505041413201E-2</v>
      </c>
      <c r="Z1169" s="14">
        <v>0</v>
      </c>
      <c r="AA1169" s="14">
        <v>0.25358098144096902</v>
      </c>
      <c r="AB1169" s="14"/>
      <c r="AC1169" s="14">
        <v>0.18553608520526799</v>
      </c>
      <c r="AD1169" s="14">
        <v>0.27250172258154398</v>
      </c>
      <c r="AE1169" s="14">
        <v>0.18637478414943101</v>
      </c>
      <c r="AF1169" s="14">
        <v>0.17725066016479701</v>
      </c>
      <c r="AG1169" s="14">
        <v>0</v>
      </c>
      <c r="AH1169" s="14"/>
      <c r="AI1169" s="14">
        <v>0.148375149518396</v>
      </c>
      <c r="AJ1169" s="14">
        <v>0.14001931904008599</v>
      </c>
      <c r="AK1169" s="14">
        <v>0.32197751697800903</v>
      </c>
      <c r="AL1169" s="14">
        <v>0.214788492841402</v>
      </c>
      <c r="AM1169" s="14">
        <v>0.23464421916533901</v>
      </c>
      <c r="AN1169" s="14">
        <v>0.44702485225225602</v>
      </c>
      <c r="AO1169" s="14"/>
      <c r="AP1169" s="14">
        <v>0.232420728845874</v>
      </c>
      <c r="AQ1169" s="14">
        <v>0.16927379761660699</v>
      </c>
      <c r="AR1169" s="14"/>
      <c r="AS1169" s="14" t="s">
        <v>88</v>
      </c>
      <c r="AT1169" s="14">
        <v>0.20717686608499</v>
      </c>
      <c r="AU1169" s="14">
        <v>0</v>
      </c>
      <c r="AV1169" s="14"/>
      <c r="AW1169" s="14">
        <v>0.207636803283414</v>
      </c>
      <c r="AX1169" s="14">
        <v>0.21884502516103399</v>
      </c>
      <c r="AY1169" s="14"/>
      <c r="AZ1169" s="14">
        <v>0.18752275639219201</v>
      </c>
      <c r="BA1169" s="14">
        <v>0.27529916170671498</v>
      </c>
    </row>
    <row r="1170" spans="2:53" x14ac:dyDescent="0.35">
      <c r="B1170" t="s">
        <v>223</v>
      </c>
      <c r="C1170" s="14">
        <v>9.0353152609863492E-3</v>
      </c>
      <c r="D1170" s="14">
        <v>1.09848208749505E-2</v>
      </c>
      <c r="E1170" s="14">
        <v>7.39703301591215E-3</v>
      </c>
      <c r="F1170" s="14"/>
      <c r="G1170" s="14" t="s">
        <v>88</v>
      </c>
      <c r="H1170" s="14">
        <v>2.1773947631939499E-2</v>
      </c>
      <c r="I1170" s="14">
        <v>7.5171122551379596E-3</v>
      </c>
      <c r="J1170" s="14">
        <v>0</v>
      </c>
      <c r="K1170" s="14">
        <v>0</v>
      </c>
      <c r="L1170" s="14" t="s">
        <v>88</v>
      </c>
      <c r="M1170" s="14"/>
      <c r="N1170" s="14">
        <v>1.9421662145386698E-2</v>
      </c>
      <c r="O1170" s="14">
        <v>1.3729316353984699E-2</v>
      </c>
      <c r="P1170" s="14">
        <v>0</v>
      </c>
      <c r="Q1170" s="14">
        <v>0</v>
      </c>
      <c r="R1170" s="14"/>
      <c r="S1170" s="14">
        <v>2.5319640037618499E-2</v>
      </c>
      <c r="T1170" s="14">
        <v>2.9633248518453E-2</v>
      </c>
      <c r="U1170" s="14">
        <v>0</v>
      </c>
      <c r="V1170" s="14">
        <v>0</v>
      </c>
      <c r="W1170" s="14">
        <v>0</v>
      </c>
      <c r="X1170" s="14">
        <v>0</v>
      </c>
      <c r="Y1170" s="14">
        <v>0</v>
      </c>
      <c r="Z1170" s="14">
        <v>0</v>
      </c>
      <c r="AA1170" s="14">
        <v>0</v>
      </c>
      <c r="AB1170" s="14"/>
      <c r="AC1170" s="14">
        <v>0</v>
      </c>
      <c r="AD1170" s="14">
        <v>0</v>
      </c>
      <c r="AE1170" s="14">
        <v>1.6958115305199199E-2</v>
      </c>
      <c r="AF1170" s="14">
        <v>0</v>
      </c>
      <c r="AG1170" s="14">
        <v>0</v>
      </c>
      <c r="AH1170" s="14"/>
      <c r="AI1170" s="14">
        <v>0</v>
      </c>
      <c r="AJ1170" s="14">
        <v>2.0239542122455899E-2</v>
      </c>
      <c r="AK1170" s="14">
        <v>0</v>
      </c>
      <c r="AL1170" s="14">
        <v>4.5317522632981097E-2</v>
      </c>
      <c r="AM1170" s="14">
        <v>0</v>
      </c>
      <c r="AN1170" s="14">
        <v>0</v>
      </c>
      <c r="AO1170" s="14"/>
      <c r="AP1170" s="14">
        <v>8.4997259291699195E-3</v>
      </c>
      <c r="AQ1170" s="14">
        <v>9.8064658076737407E-3</v>
      </c>
      <c r="AR1170" s="14"/>
      <c r="AS1170" s="14" t="s">
        <v>88</v>
      </c>
      <c r="AT1170" s="14">
        <v>9.0632240866201797E-3</v>
      </c>
      <c r="AU1170" s="14">
        <v>0</v>
      </c>
      <c r="AV1170" s="14"/>
      <c r="AW1170" s="14">
        <v>1.17066341538721E-2</v>
      </c>
      <c r="AX1170" s="14">
        <v>0</v>
      </c>
      <c r="AY1170" s="14"/>
      <c r="AZ1170" s="14">
        <v>6.4031724029488101E-3</v>
      </c>
      <c r="BA1170" s="14">
        <v>1.85528536395742E-2</v>
      </c>
    </row>
    <row r="1171" spans="2:53" x14ac:dyDescent="0.35">
      <c r="B1171" t="s">
        <v>116</v>
      </c>
      <c r="C1171" s="14">
        <v>2.1913871300239501E-2</v>
      </c>
      <c r="D1171" s="14">
        <v>0</v>
      </c>
      <c r="E1171" s="14">
        <v>4.0329363933277698E-2</v>
      </c>
      <c r="F1171" s="14"/>
      <c r="G1171" s="14" t="s">
        <v>88</v>
      </c>
      <c r="H1171" s="14">
        <v>8.2814840851128793E-2</v>
      </c>
      <c r="I1171" s="14">
        <v>0</v>
      </c>
      <c r="J1171" s="14">
        <v>1.50640038368913E-2</v>
      </c>
      <c r="K1171" s="14">
        <v>0</v>
      </c>
      <c r="L1171" s="14" t="s">
        <v>88</v>
      </c>
      <c r="M1171" s="14"/>
      <c r="N1171" s="14">
        <v>1.0981568429482299E-2</v>
      </c>
      <c r="O1171" s="14">
        <v>2.8009646515702102E-2</v>
      </c>
      <c r="P1171" s="14">
        <v>0</v>
      </c>
      <c r="Q1171" s="14">
        <v>3.85969362442573E-2</v>
      </c>
      <c r="R1171" s="14"/>
      <c r="S1171" s="14">
        <v>0</v>
      </c>
      <c r="T1171" s="14">
        <v>0</v>
      </c>
      <c r="U1171" s="14">
        <v>0</v>
      </c>
      <c r="V1171" s="14">
        <v>0.15900334090065099</v>
      </c>
      <c r="W1171" s="14">
        <v>0</v>
      </c>
      <c r="X1171" s="14">
        <v>0</v>
      </c>
      <c r="Y1171" s="14">
        <v>5.1652011276614201E-2</v>
      </c>
      <c r="Z1171" s="14">
        <v>0</v>
      </c>
      <c r="AA1171" s="14">
        <v>4.68144729970838E-2</v>
      </c>
      <c r="AB1171" s="14"/>
      <c r="AC1171" s="14">
        <v>4.6178510999506199E-2</v>
      </c>
      <c r="AD1171" s="14">
        <v>5.4055311137283998E-2</v>
      </c>
      <c r="AE1171" s="14">
        <v>0</v>
      </c>
      <c r="AF1171" s="14">
        <v>0</v>
      </c>
      <c r="AG1171" s="14">
        <v>0</v>
      </c>
      <c r="AH1171" s="14"/>
      <c r="AI1171" s="14">
        <v>1.6824828159743101E-2</v>
      </c>
      <c r="AJ1171" s="14">
        <v>3.08686608640159E-2</v>
      </c>
      <c r="AK1171" s="14">
        <v>0</v>
      </c>
      <c r="AL1171" s="14">
        <v>3.9814948303377298E-2</v>
      </c>
      <c r="AM1171" s="14">
        <v>0</v>
      </c>
      <c r="AN1171" s="14">
        <v>6.7946696316759397E-2</v>
      </c>
      <c r="AO1171" s="14"/>
      <c r="AP1171" s="14">
        <v>1.2850828373286501E-2</v>
      </c>
      <c r="AQ1171" s="14">
        <v>3.4962993253562197E-2</v>
      </c>
      <c r="AR1171" s="14"/>
      <c r="AS1171" s="14" t="s">
        <v>88</v>
      </c>
      <c r="AT1171" s="14">
        <v>2.1981560184956301E-2</v>
      </c>
      <c r="AU1171" s="14">
        <v>0</v>
      </c>
      <c r="AV1171" s="14"/>
      <c r="AW1171" s="14">
        <v>2.8392775104887202E-2</v>
      </c>
      <c r="AX1171" s="14">
        <v>0</v>
      </c>
      <c r="AY1171" s="14"/>
      <c r="AZ1171" s="14">
        <v>2.1913820398275E-2</v>
      </c>
      <c r="BA1171" s="14">
        <v>2.19140553561313E-2</v>
      </c>
    </row>
    <row r="1172" spans="2:53" x14ac:dyDescent="0.35">
      <c r="B1172" t="s">
        <v>224</v>
      </c>
      <c r="C1172" s="14">
        <v>0.72813068200559805</v>
      </c>
      <c r="D1172" s="14">
        <v>0.77356339629239801</v>
      </c>
      <c r="E1172" s="14">
        <v>0.68995094626724096</v>
      </c>
      <c r="F1172" s="14"/>
      <c r="G1172" s="14" t="s">
        <v>88</v>
      </c>
      <c r="H1172" s="14">
        <v>0.63799910686777905</v>
      </c>
      <c r="I1172" s="14">
        <v>0.74239524247046396</v>
      </c>
      <c r="J1172" s="14">
        <v>0.76687054302990498</v>
      </c>
      <c r="K1172" s="14">
        <v>0.85332320700212505</v>
      </c>
      <c r="L1172" s="14" t="s">
        <v>88</v>
      </c>
      <c r="M1172" s="14"/>
      <c r="N1172" s="14">
        <v>0.73190796643683198</v>
      </c>
      <c r="O1172" s="14">
        <v>0.71323591255214003</v>
      </c>
      <c r="P1172" s="14">
        <v>0.84406923641344</v>
      </c>
      <c r="Q1172" s="14">
        <v>0.67137969649999096</v>
      </c>
      <c r="R1172" s="14"/>
      <c r="S1172" s="14">
        <v>0.75859084423493295</v>
      </c>
      <c r="T1172" s="14">
        <v>0.62860336474572798</v>
      </c>
      <c r="U1172" s="14">
        <v>0.80829161826571205</v>
      </c>
      <c r="V1172" s="14">
        <v>0.43654082156471602</v>
      </c>
      <c r="W1172" s="14">
        <v>0.886888952584725</v>
      </c>
      <c r="X1172" s="14">
        <v>0.75132330706415595</v>
      </c>
      <c r="Y1172" s="14">
        <v>0.81727946112874394</v>
      </c>
      <c r="Z1172" s="14">
        <v>1</v>
      </c>
      <c r="AA1172" s="14">
        <v>0.646816397829301</v>
      </c>
      <c r="AB1172" s="14"/>
      <c r="AC1172" s="14">
        <v>0.719106015772767</v>
      </c>
      <c r="AD1172" s="14">
        <v>0.65362227405538298</v>
      </c>
      <c r="AE1172" s="14">
        <v>0.77139484861132102</v>
      </c>
      <c r="AF1172" s="14">
        <v>0.77052527198325205</v>
      </c>
      <c r="AG1172" s="14">
        <v>0.64086916346230305</v>
      </c>
      <c r="AH1172" s="14"/>
      <c r="AI1172" s="14">
        <v>0.78574275910395697</v>
      </c>
      <c r="AJ1172" s="14">
        <v>0.79665015213170898</v>
      </c>
      <c r="AK1172" s="14">
        <v>0.57758120500168997</v>
      </c>
      <c r="AL1172" s="14">
        <v>0.70007903622223999</v>
      </c>
      <c r="AM1172" s="14">
        <v>0.76535578083466105</v>
      </c>
      <c r="AN1172" s="14">
        <v>0.485028451430984</v>
      </c>
      <c r="AO1172" s="14"/>
      <c r="AP1172" s="14">
        <v>0.70521909278347195</v>
      </c>
      <c r="AQ1172" s="14">
        <v>0.76111917431592602</v>
      </c>
      <c r="AR1172" s="14"/>
      <c r="AS1172" s="14" t="s">
        <v>88</v>
      </c>
      <c r="AT1172" s="14">
        <v>0.72729091569175797</v>
      </c>
      <c r="AU1172" s="14">
        <v>1</v>
      </c>
      <c r="AV1172" s="14"/>
      <c r="AW1172" s="14">
        <v>0.72285702552767395</v>
      </c>
      <c r="AX1172" s="14">
        <v>0.74006859524550594</v>
      </c>
      <c r="AY1172" s="14"/>
      <c r="AZ1172" s="14">
        <v>0.74995166706249194</v>
      </c>
      <c r="BA1172" s="14">
        <v>0.64922840582275498</v>
      </c>
    </row>
    <row r="1173" spans="2:53" x14ac:dyDescent="0.35"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</row>
    <row r="1174" spans="2:53" x14ac:dyDescent="0.35">
      <c r="B1174" s="6" t="s">
        <v>322</v>
      </c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</row>
    <row r="1175" spans="2:53" x14ac:dyDescent="0.35">
      <c r="B1175" s="30" t="s">
        <v>328</v>
      </c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</row>
    <row r="1176" spans="2:53" x14ac:dyDescent="0.35">
      <c r="B1176" t="s">
        <v>226</v>
      </c>
      <c r="C1176" s="14">
        <v>0.23427251060436399</v>
      </c>
      <c r="D1176" s="14">
        <v>0.216457492610587</v>
      </c>
      <c r="E1176" s="14">
        <v>0.24924349989817501</v>
      </c>
      <c r="F1176" s="14"/>
      <c r="G1176" s="14" t="s">
        <v>88</v>
      </c>
      <c r="H1176" s="14">
        <v>0.177623275170568</v>
      </c>
      <c r="I1176" s="14">
        <v>0.31440814503001502</v>
      </c>
      <c r="J1176" s="14">
        <v>5.6762451696238198E-2</v>
      </c>
      <c r="K1176" s="14">
        <v>0.311903813667882</v>
      </c>
      <c r="L1176" s="14" t="s">
        <v>88</v>
      </c>
      <c r="M1176" s="14"/>
      <c r="N1176" s="14">
        <v>0.22372599559379899</v>
      </c>
      <c r="O1176" s="14">
        <v>0.20290910999585501</v>
      </c>
      <c r="P1176" s="14">
        <v>0.14194547155870299</v>
      </c>
      <c r="Q1176" s="14">
        <v>0.33127501983951102</v>
      </c>
      <c r="R1176" s="14"/>
      <c r="S1176" s="14">
        <v>0.29313548356519498</v>
      </c>
      <c r="T1176" s="14">
        <v>0.365398760426417</v>
      </c>
      <c r="U1176" s="14">
        <v>5.8103689964229002E-2</v>
      </c>
      <c r="V1176" s="14">
        <v>0.33520164046010897</v>
      </c>
      <c r="W1176" s="14">
        <v>0.34606740836607902</v>
      </c>
      <c r="X1176" s="14">
        <v>0.11584775680979</v>
      </c>
      <c r="Y1176" s="14">
        <v>6.0735281237417199E-2</v>
      </c>
      <c r="Z1176" s="14">
        <v>0.45401074066892499</v>
      </c>
      <c r="AA1176" s="14">
        <v>0.21541135860753</v>
      </c>
      <c r="AB1176" s="14"/>
      <c r="AC1176" s="14">
        <v>0.31135751885637603</v>
      </c>
      <c r="AD1176" s="14">
        <v>0.15600463664519901</v>
      </c>
      <c r="AE1176" s="14">
        <v>0.24689038236648</v>
      </c>
      <c r="AF1176" s="14">
        <v>0.20196587576900699</v>
      </c>
      <c r="AG1176" s="14">
        <v>0.3122407490711</v>
      </c>
      <c r="AH1176" s="14"/>
      <c r="AI1176" s="14">
        <v>0.202270204660425</v>
      </c>
      <c r="AJ1176" s="14">
        <v>0.27684198342767402</v>
      </c>
      <c r="AK1176" s="14">
        <v>0.35696094474509099</v>
      </c>
      <c r="AL1176" s="14">
        <v>0.110107076252484</v>
      </c>
      <c r="AM1176" s="14">
        <v>0.214411147065973</v>
      </c>
      <c r="AN1176" s="14">
        <v>0.30171730079591103</v>
      </c>
      <c r="AO1176" s="14"/>
      <c r="AP1176" s="14">
        <v>0.22513833733455599</v>
      </c>
      <c r="AQ1176" s="14">
        <v>0.24742404722414801</v>
      </c>
      <c r="AR1176" s="14"/>
      <c r="AS1176" s="14" t="s">
        <v>88</v>
      </c>
      <c r="AT1176" s="14">
        <v>0.23499614563650201</v>
      </c>
      <c r="AU1176" s="14">
        <v>0</v>
      </c>
      <c r="AV1176" s="14"/>
      <c r="AW1176" s="14">
        <v>0.217914139658165</v>
      </c>
      <c r="AX1176" s="14">
        <v>0.25222866114409997</v>
      </c>
      <c r="AY1176" s="14"/>
      <c r="AZ1176" s="14">
        <v>0.24469270423189499</v>
      </c>
      <c r="BA1176" s="14">
        <v>0.19659423928276601</v>
      </c>
    </row>
    <row r="1177" spans="2:53" x14ac:dyDescent="0.35">
      <c r="B1177" t="s">
        <v>227</v>
      </c>
      <c r="C1177" s="14">
        <v>0.41155550492965398</v>
      </c>
      <c r="D1177" s="14">
        <v>0.49340004460798098</v>
      </c>
      <c r="E1177" s="14">
        <v>0.34277680778159902</v>
      </c>
      <c r="F1177" s="14"/>
      <c r="G1177" s="14" t="s">
        <v>88</v>
      </c>
      <c r="H1177" s="14">
        <v>0.38521059772374699</v>
      </c>
      <c r="I1177" s="14">
        <v>0.374260213988443</v>
      </c>
      <c r="J1177" s="14">
        <v>0.50287159209101095</v>
      </c>
      <c r="K1177" s="14">
        <v>0.600511538961777</v>
      </c>
      <c r="L1177" s="14" t="s">
        <v>88</v>
      </c>
      <c r="M1177" s="14"/>
      <c r="N1177" s="14">
        <v>0.39333165367818201</v>
      </c>
      <c r="O1177" s="14">
        <v>0.35722903049330801</v>
      </c>
      <c r="P1177" s="14">
        <v>0.472475038270534</v>
      </c>
      <c r="Q1177" s="14">
        <v>0.44855824089711799</v>
      </c>
      <c r="R1177" s="14"/>
      <c r="S1177" s="14">
        <v>0.422688379319406</v>
      </c>
      <c r="T1177" s="14">
        <v>0.16938697426263699</v>
      </c>
      <c r="U1177" s="14">
        <v>0.71174289512047495</v>
      </c>
      <c r="V1177" s="14">
        <v>0.20291951375699699</v>
      </c>
      <c r="W1177" s="14">
        <v>0.40039310602945299</v>
      </c>
      <c r="X1177" s="14">
        <v>0.56064931521236705</v>
      </c>
      <c r="Y1177" s="14">
        <v>0.44422690050546698</v>
      </c>
      <c r="Z1177" s="14">
        <v>0.35264359914621801</v>
      </c>
      <c r="AA1177" s="14">
        <v>0.40287219198985302</v>
      </c>
      <c r="AB1177" s="14"/>
      <c r="AC1177" s="14">
        <v>0.31300049511213801</v>
      </c>
      <c r="AD1177" s="14">
        <v>0.359158165067746</v>
      </c>
      <c r="AE1177" s="14">
        <v>0.47124511525031298</v>
      </c>
      <c r="AF1177" s="14">
        <v>0.53811383668304302</v>
      </c>
      <c r="AG1177" s="14">
        <v>9.6649271762117905E-2</v>
      </c>
      <c r="AH1177" s="14"/>
      <c r="AI1177" s="14">
        <v>0.45756720488855801</v>
      </c>
      <c r="AJ1177" s="14">
        <v>0.55987215968809201</v>
      </c>
      <c r="AK1177" s="14">
        <v>0.27933800968175998</v>
      </c>
      <c r="AL1177" s="14">
        <v>0.25301313446870699</v>
      </c>
      <c r="AM1177" s="14">
        <v>0.45217304339326397</v>
      </c>
      <c r="AN1177" s="14">
        <v>4.3012693447232998E-2</v>
      </c>
      <c r="AO1177" s="14"/>
      <c r="AP1177" s="14">
        <v>0.42739727965695701</v>
      </c>
      <c r="AQ1177" s="14">
        <v>0.38874625068251101</v>
      </c>
      <c r="AR1177" s="14"/>
      <c r="AS1177" s="14" t="s">
        <v>88</v>
      </c>
      <c r="AT1177" s="14">
        <v>0.41282674234572098</v>
      </c>
      <c r="AU1177" s="14">
        <v>0</v>
      </c>
      <c r="AV1177" s="14"/>
      <c r="AW1177" s="14">
        <v>0.38993933646658502</v>
      </c>
      <c r="AX1177" s="14">
        <v>0.48906133800075302</v>
      </c>
      <c r="AY1177" s="14"/>
      <c r="AZ1177" s="14">
        <v>0.41451335298935299</v>
      </c>
      <c r="BA1177" s="14">
        <v>0.40086025245114398</v>
      </c>
    </row>
    <row r="1178" spans="2:53" x14ac:dyDescent="0.35">
      <c r="B1178" t="s">
        <v>228</v>
      </c>
      <c r="C1178" s="14">
        <v>0.23530330984588199</v>
      </c>
      <c r="D1178" s="14">
        <v>0.23771883768643301</v>
      </c>
      <c r="E1178" s="14">
        <v>0.233273402188622</v>
      </c>
      <c r="F1178" s="14"/>
      <c r="G1178" s="14" t="s">
        <v>88</v>
      </c>
      <c r="H1178" s="14">
        <v>0.28232243875755503</v>
      </c>
      <c r="I1178" s="14">
        <v>0.20057414123312201</v>
      </c>
      <c r="J1178" s="14">
        <v>0.31301614928235399</v>
      </c>
      <c r="K1178" s="14">
        <v>8.7584647370340302E-2</v>
      </c>
      <c r="L1178" s="14" t="s">
        <v>88</v>
      </c>
      <c r="M1178" s="14"/>
      <c r="N1178" s="14">
        <v>0.27444772827312203</v>
      </c>
      <c r="O1178" s="14">
        <v>0.29942446356671798</v>
      </c>
      <c r="P1178" s="14">
        <v>0.34329989236570702</v>
      </c>
      <c r="Q1178" s="14">
        <v>6.8772282643432894E-2</v>
      </c>
      <c r="R1178" s="14"/>
      <c r="S1178" s="14">
        <v>0.214351380114156</v>
      </c>
      <c r="T1178" s="14">
        <v>0.34947456164622698</v>
      </c>
      <c r="U1178" s="14">
        <v>0.115930457590517</v>
      </c>
      <c r="V1178" s="14">
        <v>0.21037201426750701</v>
      </c>
      <c r="W1178" s="14">
        <v>0.21146222533244899</v>
      </c>
      <c r="X1178" s="14">
        <v>0.29396593112581199</v>
      </c>
      <c r="Y1178" s="14">
        <v>0.24742066307181701</v>
      </c>
      <c r="Z1178" s="14">
        <v>0.10637113513662499</v>
      </c>
      <c r="AA1178" s="14">
        <v>0.201041001990658</v>
      </c>
      <c r="AB1178" s="14"/>
      <c r="AC1178" s="14">
        <v>0.21654936080978801</v>
      </c>
      <c r="AD1178" s="14">
        <v>0.355863696485264</v>
      </c>
      <c r="AE1178" s="14">
        <v>0.155127018067102</v>
      </c>
      <c r="AF1178" s="14">
        <v>0.17505222498643799</v>
      </c>
      <c r="AG1178" s="14">
        <v>0.23197914262908501</v>
      </c>
      <c r="AH1178" s="14"/>
      <c r="AI1178" s="14">
        <v>0.22298206031415099</v>
      </c>
      <c r="AJ1178" s="14">
        <v>0.105848170945993</v>
      </c>
      <c r="AK1178" s="14">
        <v>0.241602218696155</v>
      </c>
      <c r="AL1178" s="14">
        <v>0.43879046256600601</v>
      </c>
      <c r="AM1178" s="14">
        <v>0.29030735632464999</v>
      </c>
      <c r="AN1178" s="14">
        <v>0.52862517275371601</v>
      </c>
      <c r="AO1178" s="14"/>
      <c r="AP1178" s="14">
        <v>0.24660829891836999</v>
      </c>
      <c r="AQ1178" s="14">
        <v>0.21902619604681101</v>
      </c>
      <c r="AR1178" s="14"/>
      <c r="AS1178" s="14" t="s">
        <v>88</v>
      </c>
      <c r="AT1178" s="14">
        <v>0.23603012887276301</v>
      </c>
      <c r="AU1178" s="14">
        <v>0</v>
      </c>
      <c r="AV1178" s="14"/>
      <c r="AW1178" s="14">
        <v>0.254118286960827</v>
      </c>
      <c r="AX1178" s="14">
        <v>0.231999028646871</v>
      </c>
      <c r="AY1178" s="14"/>
      <c r="AZ1178" s="14">
        <v>0.246858069623445</v>
      </c>
      <c r="BA1178" s="14">
        <v>0.193522572412689</v>
      </c>
    </row>
    <row r="1179" spans="2:53" x14ac:dyDescent="0.35">
      <c r="B1179" t="s">
        <v>229</v>
      </c>
      <c r="C1179" s="14">
        <v>3.9849804653067297E-2</v>
      </c>
      <c r="D1179" s="14">
        <v>2.53822429798722E-2</v>
      </c>
      <c r="E1179" s="14">
        <v>5.2007732924182003E-2</v>
      </c>
      <c r="F1179" s="14"/>
      <c r="G1179" s="14" t="s">
        <v>88</v>
      </c>
      <c r="H1179" s="14">
        <v>7.3059863007042397E-2</v>
      </c>
      <c r="I1179" s="14">
        <v>4.3051494335296599E-2</v>
      </c>
      <c r="J1179" s="14">
        <v>0</v>
      </c>
      <c r="K1179" s="14">
        <v>0</v>
      </c>
      <c r="L1179" s="14" t="s">
        <v>88</v>
      </c>
      <c r="M1179" s="14"/>
      <c r="N1179" s="14">
        <v>2.93026751890028E-2</v>
      </c>
      <c r="O1179" s="14">
        <v>3.6465725467203697E-2</v>
      </c>
      <c r="P1179" s="14">
        <v>4.2279597805056399E-2</v>
      </c>
      <c r="Q1179" s="14">
        <v>5.1589403680106102E-2</v>
      </c>
      <c r="R1179" s="14"/>
      <c r="S1179" s="14">
        <v>4.1414168100972502E-2</v>
      </c>
      <c r="T1179" s="14">
        <v>5.3862924815658499E-2</v>
      </c>
      <c r="U1179" s="14">
        <v>6.69408104008654E-2</v>
      </c>
      <c r="V1179" s="14">
        <v>0</v>
      </c>
      <c r="W1179" s="14">
        <v>0</v>
      </c>
      <c r="X1179" s="14">
        <v>2.9536996852031702E-2</v>
      </c>
      <c r="Y1179" s="14">
        <v>7.9416516318027403E-2</v>
      </c>
      <c r="Z1179" s="14">
        <v>0</v>
      </c>
      <c r="AA1179" s="14">
        <v>3.7260213893796301E-2</v>
      </c>
      <c r="AB1179" s="14"/>
      <c r="AC1179" s="14">
        <v>3.4015221210393097E-2</v>
      </c>
      <c r="AD1179" s="14">
        <v>4.9325032051858397E-2</v>
      </c>
      <c r="AE1179" s="14">
        <v>5.7022801677399801E-2</v>
      </c>
      <c r="AF1179" s="14">
        <v>1.22465277778466E-2</v>
      </c>
      <c r="AG1179" s="14">
        <v>0</v>
      </c>
      <c r="AH1179" s="14"/>
      <c r="AI1179" s="14">
        <v>1.7935770005481601E-2</v>
      </c>
      <c r="AJ1179" s="14">
        <v>2.6569025074224598E-2</v>
      </c>
      <c r="AK1179" s="14">
        <v>0</v>
      </c>
      <c r="AL1179" s="14">
        <v>4.5317522632981097E-2</v>
      </c>
      <c r="AM1179" s="14">
        <v>0</v>
      </c>
      <c r="AN1179" s="14">
        <v>0.12664483300314</v>
      </c>
      <c r="AO1179" s="14"/>
      <c r="AP1179" s="14">
        <v>3.8959015711428603E-2</v>
      </c>
      <c r="AQ1179" s="14">
        <v>4.1132377584455003E-2</v>
      </c>
      <c r="AR1179" s="14"/>
      <c r="AS1179" s="14" t="s">
        <v>88</v>
      </c>
      <c r="AT1179" s="14">
        <v>3.9972895128328002E-2</v>
      </c>
      <c r="AU1179" s="14">
        <v>0</v>
      </c>
      <c r="AV1179" s="14"/>
      <c r="AW1179" s="14">
        <v>5.16315226089634E-2</v>
      </c>
      <c r="AX1179" s="14">
        <v>0</v>
      </c>
      <c r="AY1179" s="14"/>
      <c r="AZ1179" s="14">
        <v>2.9581294981469799E-2</v>
      </c>
      <c r="BA1179" s="14">
        <v>7.69796035132993E-2</v>
      </c>
    </row>
    <row r="1180" spans="2:53" x14ac:dyDescent="0.35">
      <c r="B1180" t="s">
        <v>116</v>
      </c>
      <c r="C1180" s="14">
        <v>5.2553552505604499E-2</v>
      </c>
      <c r="D1180" s="14">
        <v>1.35869528334374E-2</v>
      </c>
      <c r="E1180" s="14">
        <v>8.5299438404345604E-2</v>
      </c>
      <c r="F1180" s="14"/>
      <c r="G1180" s="14" t="s">
        <v>88</v>
      </c>
      <c r="H1180" s="14">
        <v>6.2206190397561797E-2</v>
      </c>
      <c r="I1180" s="14">
        <v>3.2403571386018598E-2</v>
      </c>
      <c r="J1180" s="14">
        <v>0.110994212355285</v>
      </c>
      <c r="K1180" s="14">
        <v>0</v>
      </c>
      <c r="L1180" s="14" t="s">
        <v>88</v>
      </c>
      <c r="M1180" s="14"/>
      <c r="N1180" s="14">
        <v>1.0981568429482299E-2</v>
      </c>
      <c r="O1180" s="14">
        <v>8.9962354917220405E-2</v>
      </c>
      <c r="P1180" s="14">
        <v>0</v>
      </c>
      <c r="Q1180" s="14">
        <v>8.2959575623288803E-2</v>
      </c>
      <c r="R1180" s="14"/>
      <c r="S1180" s="14">
        <v>0</v>
      </c>
      <c r="T1180" s="14">
        <v>3.7647102551855202E-2</v>
      </c>
      <c r="U1180" s="14">
        <v>4.7282146923914199E-2</v>
      </c>
      <c r="V1180" s="14">
        <v>0.251506831515386</v>
      </c>
      <c r="W1180" s="14">
        <v>0</v>
      </c>
      <c r="X1180" s="14">
        <v>0</v>
      </c>
      <c r="Y1180" s="14">
        <v>8.8784122549244004E-2</v>
      </c>
      <c r="Z1180" s="14">
        <v>8.6974525048232304E-2</v>
      </c>
      <c r="AA1180" s="14">
        <v>9.0627085785515898E-2</v>
      </c>
      <c r="AB1180" s="14"/>
      <c r="AC1180" s="14">
        <v>9.4182217263671902E-2</v>
      </c>
      <c r="AD1180" s="14">
        <v>5.9827777524144102E-2</v>
      </c>
      <c r="AE1180" s="14">
        <v>4.4442430704656401E-2</v>
      </c>
      <c r="AF1180" s="14">
        <v>2.3954305250471201E-2</v>
      </c>
      <c r="AG1180" s="14">
        <v>0.35913083653769701</v>
      </c>
      <c r="AH1180" s="14"/>
      <c r="AI1180" s="14">
        <v>6.2236550686819103E-2</v>
      </c>
      <c r="AJ1180" s="14">
        <v>3.08686608640159E-2</v>
      </c>
      <c r="AK1180" s="14">
        <v>6.3648068829463403E-2</v>
      </c>
      <c r="AL1180" s="14">
        <v>0.15277180407982199</v>
      </c>
      <c r="AM1180" s="14">
        <v>0</v>
      </c>
      <c r="AN1180" s="14">
        <v>0</v>
      </c>
      <c r="AO1180" s="14"/>
      <c r="AP1180" s="14">
        <v>3.9730627471655899E-2</v>
      </c>
      <c r="AQ1180" s="14">
        <v>7.1016216085039399E-2</v>
      </c>
      <c r="AR1180" s="14"/>
      <c r="AS1180" s="14" t="s">
        <v>88</v>
      </c>
      <c r="AT1180" s="14">
        <v>5.2715883081898902E-2</v>
      </c>
      <c r="AU1180" s="14">
        <v>0</v>
      </c>
      <c r="AV1180" s="14"/>
      <c r="AW1180" s="14">
        <v>6.1940026400089401E-2</v>
      </c>
      <c r="AX1180" s="14">
        <v>0</v>
      </c>
      <c r="AY1180" s="14"/>
      <c r="AZ1180" s="14">
        <v>4.0251115361180097E-2</v>
      </c>
      <c r="BA1180" s="14">
        <v>9.7037808865277395E-2</v>
      </c>
    </row>
    <row r="1181" spans="2:53" x14ac:dyDescent="0.35"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</row>
    <row r="1182" spans="2:53" x14ac:dyDescent="0.35">
      <c r="B1182" s="6" t="s">
        <v>323</v>
      </c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</row>
    <row r="1183" spans="2:53" x14ac:dyDescent="0.35">
      <c r="B1183" s="30" t="s">
        <v>328</v>
      </c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</row>
    <row r="1184" spans="2:53" x14ac:dyDescent="0.35">
      <c r="B1184" t="s">
        <v>231</v>
      </c>
      <c r="C1184" s="14">
        <v>0.131042963331823</v>
      </c>
      <c r="D1184" s="14">
        <v>0.12908891216846999</v>
      </c>
      <c r="E1184" s="14">
        <v>0.13268506546477299</v>
      </c>
      <c r="F1184" s="14"/>
      <c r="G1184" s="14" t="s">
        <v>88</v>
      </c>
      <c r="H1184" s="14">
        <v>0.17293459040624201</v>
      </c>
      <c r="I1184" s="14">
        <v>0.133404406444183</v>
      </c>
      <c r="J1184" s="14">
        <v>5.4359906684505598E-2</v>
      </c>
      <c r="K1184" s="14">
        <v>0.20656703463974199</v>
      </c>
      <c r="L1184" s="14" t="s">
        <v>88</v>
      </c>
      <c r="M1184" s="14"/>
      <c r="N1184" s="14">
        <v>0.11403539718816701</v>
      </c>
      <c r="O1184" s="14">
        <v>0.11920165583459701</v>
      </c>
      <c r="P1184" s="14">
        <v>0.174504764335491</v>
      </c>
      <c r="Q1184" s="14">
        <v>0.13315245944722401</v>
      </c>
      <c r="R1184" s="14"/>
      <c r="S1184" s="14">
        <v>0.13770058857165199</v>
      </c>
      <c r="T1184" s="14">
        <v>0.147845492063154</v>
      </c>
      <c r="U1184" s="14">
        <v>0.19965264699430901</v>
      </c>
      <c r="V1184" s="14">
        <v>0</v>
      </c>
      <c r="W1184" s="14">
        <v>5.6273917645155803E-2</v>
      </c>
      <c r="X1184" s="14">
        <v>0.124312423868151</v>
      </c>
      <c r="Y1184" s="14">
        <v>6.0735281237417199E-2</v>
      </c>
      <c r="Z1184" s="14">
        <v>0.25612196867887299</v>
      </c>
      <c r="AA1184" s="14">
        <v>0.16938071723619699</v>
      </c>
      <c r="AB1184" s="14"/>
      <c r="AC1184" s="14">
        <v>0.19711406298641099</v>
      </c>
      <c r="AD1184" s="14">
        <v>0.19067264028070399</v>
      </c>
      <c r="AE1184" s="14">
        <v>8.0946150691247803E-2</v>
      </c>
      <c r="AF1184" s="14">
        <v>0.13703067156222501</v>
      </c>
      <c r="AG1184" s="14">
        <v>0</v>
      </c>
      <c r="AH1184" s="14"/>
      <c r="AI1184" s="14">
        <v>0.15859379048585201</v>
      </c>
      <c r="AJ1184" s="14">
        <v>0.17485894496628299</v>
      </c>
      <c r="AK1184" s="14">
        <v>0.14938693193390301</v>
      </c>
      <c r="AL1184" s="14">
        <v>0.118239796782398</v>
      </c>
      <c r="AM1184" s="14">
        <v>6.9568230178971902E-2</v>
      </c>
      <c r="AN1184" s="14">
        <v>0</v>
      </c>
      <c r="AO1184" s="14"/>
      <c r="AP1184" s="14">
        <v>0.14041387265000699</v>
      </c>
      <c r="AQ1184" s="14">
        <v>0.117550570159675</v>
      </c>
      <c r="AR1184" s="14"/>
      <c r="AS1184" s="14" t="s">
        <v>88</v>
      </c>
      <c r="AT1184" s="14">
        <v>0.13144773672473001</v>
      </c>
      <c r="AU1184" s="14">
        <v>0</v>
      </c>
      <c r="AV1184" s="14"/>
      <c r="AW1184" s="14">
        <v>0.12290909370415801</v>
      </c>
      <c r="AX1184" s="14">
        <v>0.169760116560942</v>
      </c>
      <c r="AY1184" s="14"/>
      <c r="AZ1184" s="14">
        <v>0.11441948422425099</v>
      </c>
      <c r="BA1184" s="14">
        <v>0.19115163103154401</v>
      </c>
    </row>
    <row r="1185" spans="2:53" x14ac:dyDescent="0.35">
      <c r="B1185" t="s">
        <v>232</v>
      </c>
      <c r="C1185" s="14">
        <v>0.69539200625673703</v>
      </c>
      <c r="D1185" s="14">
        <v>0.71517744793584304</v>
      </c>
      <c r="E1185" s="14">
        <v>0.67876515605345999</v>
      </c>
      <c r="F1185" s="14"/>
      <c r="G1185" s="14" t="s">
        <v>88</v>
      </c>
      <c r="H1185" s="14">
        <v>0.60995810672424899</v>
      </c>
      <c r="I1185" s="14">
        <v>0.69622791826322294</v>
      </c>
      <c r="J1185" s="14">
        <v>0.80960665319326797</v>
      </c>
      <c r="K1185" s="14">
        <v>0.64675617236238303</v>
      </c>
      <c r="L1185" s="14" t="s">
        <v>88</v>
      </c>
      <c r="M1185" s="14"/>
      <c r="N1185" s="14">
        <v>0.79267058665950296</v>
      </c>
      <c r="O1185" s="14">
        <v>0.65643390956904701</v>
      </c>
      <c r="P1185" s="14">
        <v>0.59280260489163095</v>
      </c>
      <c r="Q1185" s="14">
        <v>0.70755940572204801</v>
      </c>
      <c r="R1185" s="14"/>
      <c r="S1185" s="14">
        <v>0.70543097125341403</v>
      </c>
      <c r="T1185" s="14">
        <v>0.80937971780926898</v>
      </c>
      <c r="U1185" s="14">
        <v>0.62844584449048801</v>
      </c>
      <c r="V1185" s="14">
        <v>0.35892141974826403</v>
      </c>
      <c r="W1185" s="14">
        <v>0.86544717363133195</v>
      </c>
      <c r="X1185" s="14">
        <v>0.63141577402288196</v>
      </c>
      <c r="Y1185" s="14">
        <v>0.76198076765088196</v>
      </c>
      <c r="Z1185" s="14">
        <v>0.53376725643131795</v>
      </c>
      <c r="AA1185" s="14">
        <v>0.73951899778585395</v>
      </c>
      <c r="AB1185" s="14"/>
      <c r="AC1185" s="14">
        <v>0.62151148600169004</v>
      </c>
      <c r="AD1185" s="14">
        <v>0.66536866388668203</v>
      </c>
      <c r="AE1185" s="14">
        <v>0.65237142448750796</v>
      </c>
      <c r="AF1185" s="14">
        <v>0.74452271598837605</v>
      </c>
      <c r="AG1185" s="14">
        <v>1</v>
      </c>
      <c r="AH1185" s="14"/>
      <c r="AI1185" s="14">
        <v>0.67659027625728296</v>
      </c>
      <c r="AJ1185" s="14">
        <v>0.67733668180881601</v>
      </c>
      <c r="AK1185" s="14">
        <v>0.67746240777892497</v>
      </c>
      <c r="AL1185" s="14">
        <v>0.72412796520050804</v>
      </c>
      <c r="AM1185" s="14">
        <v>0.76841452216791195</v>
      </c>
      <c r="AN1185" s="14">
        <v>0.80707943666439597</v>
      </c>
      <c r="AO1185" s="14"/>
      <c r="AP1185" s="14">
        <v>0.679358160223545</v>
      </c>
      <c r="AQ1185" s="14">
        <v>0.71847780800723904</v>
      </c>
      <c r="AR1185" s="14"/>
      <c r="AS1185" s="14" t="s">
        <v>88</v>
      </c>
      <c r="AT1185" s="14">
        <v>0.69445111475063104</v>
      </c>
      <c r="AU1185" s="14">
        <v>1</v>
      </c>
      <c r="AV1185" s="14"/>
      <c r="AW1185" s="14">
        <v>0.69920097296494299</v>
      </c>
      <c r="AX1185" s="14">
        <v>0.64923095771720296</v>
      </c>
      <c r="AY1185" s="14"/>
      <c r="AZ1185" s="14">
        <v>0.73638930066265995</v>
      </c>
      <c r="BA1185" s="14">
        <v>0.54715030967285505</v>
      </c>
    </row>
    <row r="1186" spans="2:53" x14ac:dyDescent="0.35">
      <c r="B1186" t="s">
        <v>233</v>
      </c>
      <c r="C1186" s="14">
        <v>9.7148984850599807E-2</v>
      </c>
      <c r="D1186" s="14">
        <v>0.110870060639504</v>
      </c>
      <c r="E1186" s="14">
        <v>8.5618371813497796E-2</v>
      </c>
      <c r="F1186" s="14"/>
      <c r="G1186" s="14" t="s">
        <v>88</v>
      </c>
      <c r="H1186" s="14">
        <v>0.14846254968022099</v>
      </c>
      <c r="I1186" s="14">
        <v>9.33231654504314E-2</v>
      </c>
      <c r="J1186" s="14">
        <v>3.2952733515111701E-2</v>
      </c>
      <c r="K1186" s="14">
        <v>0.14667679299787501</v>
      </c>
      <c r="L1186" s="14" t="s">
        <v>88</v>
      </c>
      <c r="M1186" s="14"/>
      <c r="N1186" s="14">
        <v>6.8523884949747496E-2</v>
      </c>
      <c r="O1186" s="14">
        <v>0.12687861427153199</v>
      </c>
      <c r="P1186" s="14">
        <v>0.119627163446446</v>
      </c>
      <c r="Q1186" s="14">
        <v>7.9166984616742098E-2</v>
      </c>
      <c r="R1186" s="14"/>
      <c r="S1186" s="14">
        <v>9.82353483605415E-2</v>
      </c>
      <c r="T1186" s="14">
        <v>4.2774790127576602E-2</v>
      </c>
      <c r="U1186" s="14">
        <v>7.7337214667374393E-2</v>
      </c>
      <c r="V1186" s="14">
        <v>0.28080099943506298</v>
      </c>
      <c r="W1186" s="14">
        <v>7.82789087235123E-2</v>
      </c>
      <c r="X1186" s="14">
        <v>0.13937084999573601</v>
      </c>
      <c r="Y1186" s="14">
        <v>0.14015183983907101</v>
      </c>
      <c r="Z1186" s="14">
        <v>0</v>
      </c>
      <c r="AA1186" s="14">
        <v>5.3840071084152501E-2</v>
      </c>
      <c r="AB1186" s="14"/>
      <c r="AC1186" s="14">
        <v>9.7201553069067095E-2</v>
      </c>
      <c r="AD1186" s="14">
        <v>3.24583585646828E-2</v>
      </c>
      <c r="AE1186" s="14">
        <v>0.178371751161188</v>
      </c>
      <c r="AF1186" s="14">
        <v>8.2844304931655399E-2</v>
      </c>
      <c r="AG1186" s="14">
        <v>0</v>
      </c>
      <c r="AH1186" s="14"/>
      <c r="AI1186" s="14">
        <v>0.110076381506845</v>
      </c>
      <c r="AJ1186" s="14">
        <v>5.0075188829492398E-2</v>
      </c>
      <c r="AK1186" s="14">
        <v>0.10950259145770901</v>
      </c>
      <c r="AL1186" s="14">
        <v>6.2433380112830901E-2</v>
      </c>
      <c r="AM1186" s="14">
        <v>0</v>
      </c>
      <c r="AN1186" s="14">
        <v>0.19292056333560401</v>
      </c>
      <c r="AO1186" s="14"/>
      <c r="AP1186" s="14">
        <v>0.119843193201874</v>
      </c>
      <c r="AQ1186" s="14">
        <v>6.4473481181827802E-2</v>
      </c>
      <c r="AR1186" s="14"/>
      <c r="AS1186" s="14" t="s">
        <v>88</v>
      </c>
      <c r="AT1186" s="14">
        <v>9.7449064482619696E-2</v>
      </c>
      <c r="AU1186" s="14">
        <v>0</v>
      </c>
      <c r="AV1186" s="14"/>
      <c r="AW1186" s="14">
        <v>9.6084601262959202E-2</v>
      </c>
      <c r="AX1186" s="14">
        <v>0.102370270837633</v>
      </c>
      <c r="AY1186" s="14"/>
      <c r="AZ1186" s="14">
        <v>0.101831074427709</v>
      </c>
      <c r="BA1186" s="14">
        <v>8.0219065144287297E-2</v>
      </c>
    </row>
    <row r="1187" spans="2:53" x14ac:dyDescent="0.35">
      <c r="B1187" t="s">
        <v>116</v>
      </c>
      <c r="C1187" s="14">
        <v>7.6416045560839793E-2</v>
      </c>
      <c r="D1187" s="14">
        <v>4.4863579256183499E-2</v>
      </c>
      <c r="E1187" s="14">
        <v>0.102931406668269</v>
      </c>
      <c r="F1187" s="14"/>
      <c r="G1187" s="14" t="s">
        <v>88</v>
      </c>
      <c r="H1187" s="14">
        <v>6.8644753189287894E-2</v>
      </c>
      <c r="I1187" s="14">
        <v>7.7044509842162601E-2</v>
      </c>
      <c r="J1187" s="14">
        <v>0.10308070660711501</v>
      </c>
      <c r="K1187" s="14">
        <v>0</v>
      </c>
      <c r="L1187" s="14" t="s">
        <v>88</v>
      </c>
      <c r="M1187" s="14"/>
      <c r="N1187" s="14">
        <v>2.4770131202581799E-2</v>
      </c>
      <c r="O1187" s="14">
        <v>9.7485820324824002E-2</v>
      </c>
      <c r="P1187" s="14">
        <v>0.113065467326432</v>
      </c>
      <c r="Q1187" s="14">
        <v>8.0121150213986497E-2</v>
      </c>
      <c r="R1187" s="14"/>
      <c r="S1187" s="14">
        <v>5.8633091814392899E-2</v>
      </c>
      <c r="T1187" s="14">
        <v>0</v>
      </c>
      <c r="U1187" s="14">
        <v>9.4564293847828496E-2</v>
      </c>
      <c r="V1187" s="14">
        <v>0.36027758081667299</v>
      </c>
      <c r="W1187" s="14">
        <v>0</v>
      </c>
      <c r="X1187" s="14">
        <v>0.104900952113231</v>
      </c>
      <c r="Y1187" s="14">
        <v>3.7132111272629803E-2</v>
      </c>
      <c r="Z1187" s="14">
        <v>0.210110774889809</v>
      </c>
      <c r="AA1187" s="14">
        <v>3.7260213893796301E-2</v>
      </c>
      <c r="AB1187" s="14"/>
      <c r="AC1187" s="14">
        <v>8.4172897942831698E-2</v>
      </c>
      <c r="AD1187" s="14">
        <v>0.111500337267931</v>
      </c>
      <c r="AE1187" s="14">
        <v>8.8310673660056099E-2</v>
      </c>
      <c r="AF1187" s="14">
        <v>3.5602307517744097E-2</v>
      </c>
      <c r="AG1187" s="14">
        <v>0</v>
      </c>
      <c r="AH1187" s="14"/>
      <c r="AI1187" s="14">
        <v>5.4739551750019898E-2</v>
      </c>
      <c r="AJ1187" s="14">
        <v>9.7729184395409202E-2</v>
      </c>
      <c r="AK1187" s="14">
        <v>6.3648068829463403E-2</v>
      </c>
      <c r="AL1187" s="14">
        <v>9.5198857904262996E-2</v>
      </c>
      <c r="AM1187" s="14">
        <v>0.16201724765311601</v>
      </c>
      <c r="AN1187" s="14">
        <v>0</v>
      </c>
      <c r="AO1187" s="14"/>
      <c r="AP1187" s="14">
        <v>6.0384773924574101E-2</v>
      </c>
      <c r="AQ1187" s="14">
        <v>9.9498140651258296E-2</v>
      </c>
      <c r="AR1187" s="14"/>
      <c r="AS1187" s="14" t="s">
        <v>88</v>
      </c>
      <c r="AT1187" s="14">
        <v>7.6652084042019702E-2</v>
      </c>
      <c r="AU1187" s="14">
        <v>0</v>
      </c>
      <c r="AV1187" s="14"/>
      <c r="AW1187" s="14">
        <v>8.1805332067939607E-2</v>
      </c>
      <c r="AX1187" s="14">
        <v>7.8638654884221906E-2</v>
      </c>
      <c r="AY1187" s="14"/>
      <c r="AZ1187" s="14">
        <v>4.7360140685380699E-2</v>
      </c>
      <c r="BA1187" s="14">
        <v>0.18147899415131299</v>
      </c>
    </row>
    <row r="1188" spans="2:53" x14ac:dyDescent="0.35"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</row>
    <row r="1189" spans="2:53" x14ac:dyDescent="0.35">
      <c r="B1189" s="6" t="s">
        <v>324</v>
      </c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</row>
    <row r="1190" spans="2:53" x14ac:dyDescent="0.35">
      <c r="B1190" s="30" t="s">
        <v>328</v>
      </c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</row>
    <row r="1191" spans="2:53" x14ac:dyDescent="0.35">
      <c r="B1191" t="s">
        <v>235</v>
      </c>
      <c r="C1191" s="14">
        <v>0.18887058218163599</v>
      </c>
      <c r="D1191" s="14">
        <v>0.23051127857273901</v>
      </c>
      <c r="E1191" s="14">
        <v>0.15387749825234601</v>
      </c>
      <c r="F1191" s="14"/>
      <c r="G1191" s="14" t="s">
        <v>88</v>
      </c>
      <c r="H1191" s="14">
        <v>0.15596668761185101</v>
      </c>
      <c r="I1191" s="14">
        <v>0.20417541722013799</v>
      </c>
      <c r="J1191" s="14">
        <v>0.16400272059672899</v>
      </c>
      <c r="K1191" s="14">
        <v>0.27626782027564101</v>
      </c>
      <c r="L1191" s="14" t="s">
        <v>88</v>
      </c>
      <c r="M1191" s="14"/>
      <c r="N1191" s="14">
        <v>0.23810407251259799</v>
      </c>
      <c r="O1191" s="14">
        <v>0.26294266180868903</v>
      </c>
      <c r="P1191" s="14">
        <v>4.4972784448193297E-2</v>
      </c>
      <c r="Q1191" s="14">
        <v>0.15215282559992299</v>
      </c>
      <c r="R1191" s="14"/>
      <c r="S1191" s="14">
        <v>0.186802901156287</v>
      </c>
      <c r="T1191" s="14">
        <v>0.29244437840492599</v>
      </c>
      <c r="U1191" s="14">
        <v>0.20655896111099201</v>
      </c>
      <c r="V1191" s="14">
        <v>0.141117817192983</v>
      </c>
      <c r="W1191" s="14">
        <v>0.25833342843208701</v>
      </c>
      <c r="X1191" s="14">
        <v>0.104639627392904</v>
      </c>
      <c r="Y1191" s="14">
        <v>0.16276400882409001</v>
      </c>
      <c r="Z1191" s="14">
        <v>0.13513748534030101</v>
      </c>
      <c r="AA1191" s="14">
        <v>0.16391693880997099</v>
      </c>
      <c r="AB1191" s="14"/>
      <c r="AC1191" s="14">
        <v>8.4451306883466498E-2</v>
      </c>
      <c r="AD1191" s="14">
        <v>0.149192807955358</v>
      </c>
      <c r="AE1191" s="14">
        <v>0.22012708065324099</v>
      </c>
      <c r="AF1191" s="14">
        <v>0.205796643478663</v>
      </c>
      <c r="AG1191" s="14">
        <v>0.3122407490711</v>
      </c>
      <c r="AH1191" s="14"/>
      <c r="AI1191" s="14">
        <v>0.21292707679883899</v>
      </c>
      <c r="AJ1191" s="14">
        <v>0.15567602756823601</v>
      </c>
      <c r="AK1191" s="14">
        <v>0.36864049131168403</v>
      </c>
      <c r="AL1191" s="14">
        <v>0.11120054034783999</v>
      </c>
      <c r="AM1191" s="14">
        <v>0.144529933831653</v>
      </c>
      <c r="AN1191" s="14">
        <v>0.22903310493444901</v>
      </c>
      <c r="AO1191" s="14"/>
      <c r="AP1191" s="14">
        <v>0.203934549978111</v>
      </c>
      <c r="AQ1191" s="14">
        <v>0.167181227462534</v>
      </c>
      <c r="AR1191" s="14"/>
      <c r="AS1191" s="14" t="s">
        <v>88</v>
      </c>
      <c r="AT1191" s="14">
        <v>0.186365116812196</v>
      </c>
      <c r="AU1191" s="14">
        <v>1</v>
      </c>
      <c r="AV1191" s="14"/>
      <c r="AW1191" s="14">
        <v>0.16129314228490599</v>
      </c>
      <c r="AX1191" s="14">
        <v>0.26843651428369097</v>
      </c>
      <c r="AY1191" s="14"/>
      <c r="AZ1191" s="14">
        <v>0.214754418530133</v>
      </c>
      <c r="BA1191" s="14">
        <v>9.5277483661301302E-2</v>
      </c>
    </row>
    <row r="1192" spans="2:53" x14ac:dyDescent="0.35">
      <c r="B1192" t="s">
        <v>236</v>
      </c>
      <c r="C1192" s="14">
        <v>0.60254305902682703</v>
      </c>
      <c r="D1192" s="14">
        <v>0.66190544319688205</v>
      </c>
      <c r="E1192" s="14">
        <v>0.55265741657754897</v>
      </c>
      <c r="F1192" s="14"/>
      <c r="G1192" s="14" t="s">
        <v>88</v>
      </c>
      <c r="H1192" s="14">
        <v>0.57879557983887198</v>
      </c>
      <c r="I1192" s="14">
        <v>0.64470220136293899</v>
      </c>
      <c r="J1192" s="14">
        <v>0.51003205019447795</v>
      </c>
      <c r="K1192" s="14">
        <v>0.60995568492227703</v>
      </c>
      <c r="L1192" s="14" t="s">
        <v>88</v>
      </c>
      <c r="M1192" s="14"/>
      <c r="N1192" s="14">
        <v>0.61911687508044599</v>
      </c>
      <c r="O1192" s="14">
        <v>0.55222996000590496</v>
      </c>
      <c r="P1192" s="14">
        <v>0.69616036724613495</v>
      </c>
      <c r="Q1192" s="14">
        <v>0.58409557261839895</v>
      </c>
      <c r="R1192" s="14"/>
      <c r="S1192" s="14">
        <v>0.69030653544923004</v>
      </c>
      <c r="T1192" s="14">
        <v>0.39561162294640001</v>
      </c>
      <c r="U1192" s="14">
        <v>0.55534336717769806</v>
      </c>
      <c r="V1192" s="14">
        <v>0.607375351291631</v>
      </c>
      <c r="W1192" s="14">
        <v>0.62855552415263904</v>
      </c>
      <c r="X1192" s="14">
        <v>0.67134369634299895</v>
      </c>
      <c r="Y1192" s="14">
        <v>0.551407920507483</v>
      </c>
      <c r="Z1192" s="14">
        <v>0.65475173976988998</v>
      </c>
      <c r="AA1192" s="14">
        <v>0.71495326934113501</v>
      </c>
      <c r="AB1192" s="14"/>
      <c r="AC1192" s="14">
        <v>0.57651040862385405</v>
      </c>
      <c r="AD1192" s="14">
        <v>0.63087996986378703</v>
      </c>
      <c r="AE1192" s="14">
        <v>0.60781793567561304</v>
      </c>
      <c r="AF1192" s="14">
        <v>0.73075070210960003</v>
      </c>
      <c r="AG1192" s="14">
        <v>9.6649271762117905E-2</v>
      </c>
      <c r="AH1192" s="14"/>
      <c r="AI1192" s="14">
        <v>0.65052008627511604</v>
      </c>
      <c r="AJ1192" s="14">
        <v>0.70677154150148302</v>
      </c>
      <c r="AK1192" s="14">
        <v>0.48950577831042302</v>
      </c>
      <c r="AL1192" s="14">
        <v>0.52057767678178901</v>
      </c>
      <c r="AM1192" s="14">
        <v>0.50630830345501499</v>
      </c>
      <c r="AN1192" s="14">
        <v>0.31233595665849101</v>
      </c>
      <c r="AO1192" s="14"/>
      <c r="AP1192" s="14">
        <v>0.59716245203576601</v>
      </c>
      <c r="AQ1192" s="14">
        <v>0.61029014765645695</v>
      </c>
      <c r="AR1192" s="14"/>
      <c r="AS1192" s="14" t="s">
        <v>88</v>
      </c>
      <c r="AT1192" s="14">
        <v>0.60440423029595503</v>
      </c>
      <c r="AU1192" s="14">
        <v>0</v>
      </c>
      <c r="AV1192" s="14"/>
      <c r="AW1192" s="14">
        <v>0.59860503690797895</v>
      </c>
      <c r="AX1192" s="14">
        <v>0.62184466540697803</v>
      </c>
      <c r="AY1192" s="14"/>
      <c r="AZ1192" s="14">
        <v>0.60593482404635002</v>
      </c>
      <c r="BA1192" s="14">
        <v>0.59027881066132204</v>
      </c>
    </row>
    <row r="1193" spans="2:53" x14ac:dyDescent="0.35">
      <c r="B1193" t="s">
        <v>237</v>
      </c>
      <c r="C1193" s="14">
        <v>0.16682712063385799</v>
      </c>
      <c r="D1193" s="14">
        <v>9.3996325396941194E-2</v>
      </c>
      <c r="E1193" s="14">
        <v>0.22803104735077301</v>
      </c>
      <c r="F1193" s="14"/>
      <c r="G1193" s="14" t="s">
        <v>88</v>
      </c>
      <c r="H1193" s="14">
        <v>0.238627135207751</v>
      </c>
      <c r="I1193" s="14">
        <v>0.11157399904385799</v>
      </c>
      <c r="J1193" s="14">
        <v>0.249041349636001</v>
      </c>
      <c r="K1193" s="14">
        <v>0.113776494802082</v>
      </c>
      <c r="L1193" s="14" t="s">
        <v>88</v>
      </c>
      <c r="M1193" s="14"/>
      <c r="N1193" s="14">
        <v>0.11926848124697099</v>
      </c>
      <c r="O1193" s="14">
        <v>0.16363509945674701</v>
      </c>
      <c r="P1193" s="14">
        <v>0.22412815907679101</v>
      </c>
      <c r="Q1193" s="14">
        <v>0.17974101159605399</v>
      </c>
      <c r="R1193" s="14"/>
      <c r="S1193" s="14">
        <v>0.103958504082321</v>
      </c>
      <c r="T1193" s="14">
        <v>0.22187610114144801</v>
      </c>
      <c r="U1193" s="14">
        <v>0.23809767171130999</v>
      </c>
      <c r="V1193" s="14">
        <v>6.6499850285916207E-2</v>
      </c>
      <c r="W1193" s="14">
        <v>0.113111047415274</v>
      </c>
      <c r="X1193" s="14">
        <v>0.191024384942558</v>
      </c>
      <c r="Y1193" s="14">
        <v>0.28582807066842703</v>
      </c>
      <c r="Z1193" s="14">
        <v>0.210110774889809</v>
      </c>
      <c r="AA1193" s="14">
        <v>7.7317179060461205E-2</v>
      </c>
      <c r="AB1193" s="14"/>
      <c r="AC1193" s="14">
        <v>0.206861680285682</v>
      </c>
      <c r="AD1193" s="14">
        <v>0.15754485322796599</v>
      </c>
      <c r="AE1193" s="14">
        <v>0.14071196548297199</v>
      </c>
      <c r="AF1193" s="14">
        <v>6.3452654411736698E-2</v>
      </c>
      <c r="AG1193" s="14">
        <v>0.59110997916678198</v>
      </c>
      <c r="AH1193" s="14"/>
      <c r="AI1193" s="14">
        <v>0.120806858509485</v>
      </c>
      <c r="AJ1193" s="14">
        <v>6.2311222127356701E-2</v>
      </c>
      <c r="AK1193" s="14">
        <v>0.102750899603679</v>
      </c>
      <c r="AL1193" s="14">
        <v>0.25526492709392601</v>
      </c>
      <c r="AM1193" s="14">
        <v>0.34916176271333299</v>
      </c>
      <c r="AN1193" s="14">
        <v>0.45863093840705998</v>
      </c>
      <c r="AO1193" s="14"/>
      <c r="AP1193" s="14">
        <v>0.17800204904299599</v>
      </c>
      <c r="AQ1193" s="14">
        <v>0.15073727036990101</v>
      </c>
      <c r="AR1193" s="14"/>
      <c r="AS1193" s="14" t="s">
        <v>88</v>
      </c>
      <c r="AT1193" s="14">
        <v>0.16734242628576701</v>
      </c>
      <c r="AU1193" s="14">
        <v>0</v>
      </c>
      <c r="AV1193" s="14"/>
      <c r="AW1193" s="14">
        <v>0.185996334774191</v>
      </c>
      <c r="AX1193" s="14">
        <v>0.109718820309331</v>
      </c>
      <c r="AY1193" s="14"/>
      <c r="AZ1193" s="14">
        <v>0.15972875803606101</v>
      </c>
      <c r="BA1193" s="14">
        <v>0.192494017186746</v>
      </c>
    </row>
    <row r="1194" spans="2:53" x14ac:dyDescent="0.35">
      <c r="B1194" t="s">
        <v>238</v>
      </c>
      <c r="C1194" s="14">
        <v>6.0719995833022501E-3</v>
      </c>
      <c r="D1194" s="14">
        <v>0</v>
      </c>
      <c r="E1194" s="14">
        <v>1.11746517830024E-2</v>
      </c>
      <c r="F1194" s="14"/>
      <c r="G1194" s="14" t="s">
        <v>88</v>
      </c>
      <c r="H1194" s="14">
        <v>0</v>
      </c>
      <c r="I1194" s="14">
        <v>5.6207124137236299E-3</v>
      </c>
      <c r="J1194" s="14">
        <v>1.6288124978652899E-2</v>
      </c>
      <c r="K1194" s="14">
        <v>0</v>
      </c>
      <c r="L1194" s="14" t="s">
        <v>88</v>
      </c>
      <c r="M1194" s="14"/>
      <c r="N1194" s="14">
        <v>2.3510571159984801E-2</v>
      </c>
      <c r="O1194" s="14">
        <v>0</v>
      </c>
      <c r="P1194" s="14">
        <v>0</v>
      </c>
      <c r="Q1194" s="14">
        <v>0</v>
      </c>
      <c r="R1194" s="14"/>
      <c r="S1194" s="14">
        <v>1.8932059312162599E-2</v>
      </c>
      <c r="T1194" s="14">
        <v>1.8117068057941499E-2</v>
      </c>
      <c r="U1194" s="14">
        <v>0</v>
      </c>
      <c r="V1194" s="14">
        <v>0</v>
      </c>
      <c r="W1194" s="14">
        <v>0</v>
      </c>
      <c r="X1194" s="14">
        <v>0</v>
      </c>
      <c r="Y1194" s="14">
        <v>0</v>
      </c>
      <c r="Z1194" s="14">
        <v>0</v>
      </c>
      <c r="AA1194" s="14">
        <v>0</v>
      </c>
      <c r="AB1194" s="14"/>
      <c r="AC1194" s="14">
        <v>0</v>
      </c>
      <c r="AD1194" s="14">
        <v>1.25472083976731E-2</v>
      </c>
      <c r="AE1194" s="14">
        <v>1.0367791061698699E-2</v>
      </c>
      <c r="AF1194" s="14">
        <v>0</v>
      </c>
      <c r="AG1194" s="14">
        <v>0</v>
      </c>
      <c r="AH1194" s="14"/>
      <c r="AI1194" s="14">
        <v>0</v>
      </c>
      <c r="AJ1194" s="14">
        <v>1.5133556849309299E-2</v>
      </c>
      <c r="AK1194" s="14">
        <v>3.9102830774215197E-2</v>
      </c>
      <c r="AL1194" s="14">
        <v>0</v>
      </c>
      <c r="AM1194" s="14">
        <v>0</v>
      </c>
      <c r="AN1194" s="14">
        <v>0</v>
      </c>
      <c r="AO1194" s="14"/>
      <c r="AP1194" s="14">
        <v>0</v>
      </c>
      <c r="AQ1194" s="14">
        <v>1.48145669198639E-2</v>
      </c>
      <c r="AR1194" s="14"/>
      <c r="AS1194" s="14" t="s">
        <v>88</v>
      </c>
      <c r="AT1194" s="14">
        <v>6.0907551411022998E-3</v>
      </c>
      <c r="AU1194" s="14">
        <v>0</v>
      </c>
      <c r="AV1194" s="14"/>
      <c r="AW1194" s="14">
        <v>7.8672050339086193E-3</v>
      </c>
      <c r="AX1194" s="14">
        <v>0</v>
      </c>
      <c r="AY1194" s="14"/>
      <c r="AZ1194" s="14">
        <v>3.8365058758633901E-3</v>
      </c>
      <c r="BA1194" s="14">
        <v>1.41552983642446E-2</v>
      </c>
    </row>
    <row r="1195" spans="2:53" x14ac:dyDescent="0.35">
      <c r="B1195" t="s">
        <v>116</v>
      </c>
      <c r="C1195" s="14">
        <v>3.5687238574376501E-2</v>
      </c>
      <c r="D1195" s="14">
        <v>1.35869528334374E-2</v>
      </c>
      <c r="E1195" s="14">
        <v>5.42593860363293E-2</v>
      </c>
      <c r="F1195" s="14"/>
      <c r="G1195" s="14" t="s">
        <v>88</v>
      </c>
      <c r="H1195" s="14">
        <v>2.6610597341526099E-2</v>
      </c>
      <c r="I1195" s="14">
        <v>3.3927669959340899E-2</v>
      </c>
      <c r="J1195" s="14">
        <v>6.0635754594139203E-2</v>
      </c>
      <c r="K1195" s="14">
        <v>0</v>
      </c>
      <c r="L1195" s="14" t="s">
        <v>88</v>
      </c>
      <c r="M1195" s="14"/>
      <c r="N1195" s="14">
        <v>0</v>
      </c>
      <c r="O1195" s="14">
        <v>2.1192278728659801E-2</v>
      </c>
      <c r="P1195" s="14">
        <v>3.4738689228880501E-2</v>
      </c>
      <c r="Q1195" s="14">
        <v>8.4010590185623998E-2</v>
      </c>
      <c r="R1195" s="14"/>
      <c r="S1195" s="14">
        <v>0</v>
      </c>
      <c r="T1195" s="14">
        <v>7.1950829449284506E-2</v>
      </c>
      <c r="U1195" s="14">
        <v>0</v>
      </c>
      <c r="V1195" s="14">
        <v>0.18500698122947001</v>
      </c>
      <c r="W1195" s="14">
        <v>0</v>
      </c>
      <c r="X1195" s="14">
        <v>3.29922913215389E-2</v>
      </c>
      <c r="Y1195" s="14">
        <v>0</v>
      </c>
      <c r="Z1195" s="14">
        <v>0</v>
      </c>
      <c r="AA1195" s="14">
        <v>4.3812612788432098E-2</v>
      </c>
      <c r="AB1195" s="14"/>
      <c r="AC1195" s="14">
        <v>0.13217660420699701</v>
      </c>
      <c r="AD1195" s="14">
        <v>4.9835160555215502E-2</v>
      </c>
      <c r="AE1195" s="14">
        <v>2.0975227126475302E-2</v>
      </c>
      <c r="AF1195" s="14">
        <v>0</v>
      </c>
      <c r="AG1195" s="14">
        <v>0</v>
      </c>
      <c r="AH1195" s="14"/>
      <c r="AI1195" s="14">
        <v>1.5745978416560499E-2</v>
      </c>
      <c r="AJ1195" s="14">
        <v>6.0107651953614998E-2</v>
      </c>
      <c r="AK1195" s="14">
        <v>0</v>
      </c>
      <c r="AL1195" s="14">
        <v>0.112956855776445</v>
      </c>
      <c r="AM1195" s="14">
        <v>0</v>
      </c>
      <c r="AN1195" s="14">
        <v>0</v>
      </c>
      <c r="AO1195" s="14"/>
      <c r="AP1195" s="14">
        <v>2.0900948943126201E-2</v>
      </c>
      <c r="AQ1195" s="14">
        <v>5.6976787591243597E-2</v>
      </c>
      <c r="AR1195" s="14"/>
      <c r="AS1195" s="14" t="s">
        <v>88</v>
      </c>
      <c r="AT1195" s="14">
        <v>3.5797471464979302E-2</v>
      </c>
      <c r="AU1195" s="14">
        <v>0</v>
      </c>
      <c r="AV1195" s="14"/>
      <c r="AW1195" s="14">
        <v>4.6238280999015197E-2</v>
      </c>
      <c r="AX1195" s="14">
        <v>0</v>
      </c>
      <c r="AY1195" s="14"/>
      <c r="AZ1195" s="14">
        <v>1.5745493511593499E-2</v>
      </c>
      <c r="BA1195" s="14">
        <v>0.107794390126386</v>
      </c>
    </row>
    <row r="1196" spans="2:53" x14ac:dyDescent="0.35"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</row>
    <row r="1197" spans="2:53" x14ac:dyDescent="0.35">
      <c r="B1197" s="6" t="s">
        <v>325</v>
      </c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</row>
    <row r="1198" spans="2:53" x14ac:dyDescent="0.35">
      <c r="B1198" s="30" t="s">
        <v>328</v>
      </c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</row>
    <row r="1199" spans="2:53" x14ac:dyDescent="0.35">
      <c r="B1199" t="s">
        <v>220</v>
      </c>
      <c r="C1199" s="14">
        <v>0.26508323468877598</v>
      </c>
      <c r="D1199" s="14">
        <v>0.25547712213341001</v>
      </c>
      <c r="E1199" s="14">
        <v>0.27315580628380598</v>
      </c>
      <c r="F1199" s="14"/>
      <c r="G1199" s="14" t="s">
        <v>88</v>
      </c>
      <c r="H1199" s="14">
        <v>0.304562202707234</v>
      </c>
      <c r="I1199" s="14">
        <v>0.27384778174010599</v>
      </c>
      <c r="J1199" s="14">
        <v>0.20639150590761501</v>
      </c>
      <c r="K1199" s="14">
        <v>0.20656703463974199</v>
      </c>
      <c r="L1199" s="14" t="s">
        <v>88</v>
      </c>
      <c r="M1199" s="14"/>
      <c r="N1199" s="14">
        <v>0.30144655652108898</v>
      </c>
      <c r="O1199" s="14">
        <v>0.27409851814000802</v>
      </c>
      <c r="P1199" s="14">
        <v>0.17085359935515099</v>
      </c>
      <c r="Q1199" s="14">
        <v>0.27828157743181198</v>
      </c>
      <c r="R1199" s="14"/>
      <c r="S1199" s="14">
        <v>0.26240057240872899</v>
      </c>
      <c r="T1199" s="14">
        <v>0.31234997008504101</v>
      </c>
      <c r="U1199" s="14">
        <v>8.8158757707689203E-2</v>
      </c>
      <c r="V1199" s="14">
        <v>0.29242156946234699</v>
      </c>
      <c r="W1199" s="14">
        <v>0.44751343128516202</v>
      </c>
      <c r="X1199" s="14">
        <v>0.17181283493119001</v>
      </c>
      <c r="Y1199" s="14">
        <v>0.229854589163522</v>
      </c>
      <c r="Z1199" s="14">
        <v>0.13513748534030101</v>
      </c>
      <c r="AA1199" s="14">
        <v>0.39720207363610399</v>
      </c>
      <c r="AB1199" s="14"/>
      <c r="AC1199" s="14">
        <v>0.30623251626648801</v>
      </c>
      <c r="AD1199" s="14">
        <v>0.123944685826458</v>
      </c>
      <c r="AE1199" s="14">
        <v>0.31790770090687798</v>
      </c>
      <c r="AF1199" s="14">
        <v>0.29447727549580099</v>
      </c>
      <c r="AG1199" s="14">
        <v>0.67137158560879695</v>
      </c>
      <c r="AH1199" s="14"/>
      <c r="AI1199" s="14">
        <v>0.271660923533455</v>
      </c>
      <c r="AJ1199" s="14">
        <v>0.15557808730457001</v>
      </c>
      <c r="AK1199" s="14">
        <v>0.39161304450884599</v>
      </c>
      <c r="AL1199" s="14">
        <v>0.16108332775811299</v>
      </c>
      <c r="AM1199" s="14">
        <v>0.47317040335848698</v>
      </c>
      <c r="AN1199" s="14">
        <v>0.350563497214671</v>
      </c>
      <c r="AO1199" s="14"/>
      <c r="AP1199" s="14">
        <v>0.27087822355638502</v>
      </c>
      <c r="AQ1199" s="14">
        <v>0.25673951204936502</v>
      </c>
      <c r="AR1199" s="14"/>
      <c r="AS1199" s="14" t="s">
        <v>88</v>
      </c>
      <c r="AT1199" s="14">
        <v>0.26281317954780897</v>
      </c>
      <c r="AU1199" s="14">
        <v>1</v>
      </c>
      <c r="AV1199" s="14"/>
      <c r="AW1199" s="14">
        <v>0.236226785145425</v>
      </c>
      <c r="AX1199" s="14">
        <v>0.27602549074974903</v>
      </c>
      <c r="AY1199" s="14"/>
      <c r="AZ1199" s="14">
        <v>0.29651103897478898</v>
      </c>
      <c r="BA1199" s="14">
        <v>0.15144375933374599</v>
      </c>
    </row>
    <row r="1200" spans="2:53" x14ac:dyDescent="0.35">
      <c r="B1200" t="s">
        <v>221</v>
      </c>
      <c r="C1200" s="14">
        <v>0.51861600006555497</v>
      </c>
      <c r="D1200" s="14">
        <v>0.60844209606376498</v>
      </c>
      <c r="E1200" s="14">
        <v>0.44312993982335802</v>
      </c>
      <c r="F1200" s="14"/>
      <c r="G1200" s="14" t="s">
        <v>88</v>
      </c>
      <c r="H1200" s="14">
        <v>0.48667206887056202</v>
      </c>
      <c r="I1200" s="14">
        <v>0.48696368213461699</v>
      </c>
      <c r="J1200" s="14">
        <v>0.60767630795028504</v>
      </c>
      <c r="K1200" s="14">
        <v>0.67965647055817602</v>
      </c>
      <c r="L1200" s="14" t="s">
        <v>88</v>
      </c>
      <c r="M1200" s="14"/>
      <c r="N1200" s="14">
        <v>0.54019408613323505</v>
      </c>
      <c r="O1200" s="14">
        <v>0.45141662823441697</v>
      </c>
      <c r="P1200" s="14">
        <v>0.52356191732605695</v>
      </c>
      <c r="Q1200" s="14">
        <v>0.56571366884157703</v>
      </c>
      <c r="R1200" s="14"/>
      <c r="S1200" s="14">
        <v>0.57180997824686297</v>
      </c>
      <c r="T1200" s="14">
        <v>0.459054870510133</v>
      </c>
      <c r="U1200" s="14">
        <v>0.85373755232808202</v>
      </c>
      <c r="V1200" s="14">
        <v>0.36027758081667299</v>
      </c>
      <c r="W1200" s="14">
        <v>0.418872317382809</v>
      </c>
      <c r="X1200" s="14">
        <v>0.55278014342141402</v>
      </c>
      <c r="Y1200" s="14">
        <v>0.60194477196920604</v>
      </c>
      <c r="Z1200" s="14">
        <v>0.65475173976988998</v>
      </c>
      <c r="AA1200" s="14">
        <v>0.27601902037814502</v>
      </c>
      <c r="AB1200" s="14"/>
      <c r="AC1200" s="14">
        <v>0.43032843701929102</v>
      </c>
      <c r="AD1200" s="14">
        <v>0.67541241550666298</v>
      </c>
      <c r="AE1200" s="14">
        <v>0.42972889945064102</v>
      </c>
      <c r="AF1200" s="14">
        <v>0.54165042639165095</v>
      </c>
      <c r="AG1200" s="14">
        <v>0.32862841439120299</v>
      </c>
      <c r="AH1200" s="14"/>
      <c r="AI1200" s="14">
        <v>0.51570376427827203</v>
      </c>
      <c r="AJ1200" s="14">
        <v>0.68066232991234199</v>
      </c>
      <c r="AK1200" s="14">
        <v>0.24630109900299099</v>
      </c>
      <c r="AL1200" s="14">
        <v>0.70826796454279495</v>
      </c>
      <c r="AM1200" s="14">
        <v>0.27187703900724303</v>
      </c>
      <c r="AN1200" s="14">
        <v>0.35039283692083301</v>
      </c>
      <c r="AO1200" s="14"/>
      <c r="AP1200" s="14">
        <v>0.531828207442957</v>
      </c>
      <c r="AQ1200" s="14">
        <v>0.499592841207112</v>
      </c>
      <c r="AR1200" s="14"/>
      <c r="AS1200" s="14" t="s">
        <v>88</v>
      </c>
      <c r="AT1200" s="14">
        <v>0.52021793238320702</v>
      </c>
      <c r="AU1200" s="14">
        <v>0</v>
      </c>
      <c r="AV1200" s="14"/>
      <c r="AW1200" s="14">
        <v>0.52023685655186802</v>
      </c>
      <c r="AX1200" s="14">
        <v>0.55614846475999402</v>
      </c>
      <c r="AY1200" s="14"/>
      <c r="AZ1200" s="14">
        <v>0.54594618109015702</v>
      </c>
      <c r="BA1200" s="14">
        <v>0.419793078657198</v>
      </c>
    </row>
    <row r="1201" spans="2:53" x14ac:dyDescent="0.35">
      <c r="B1201" t="s">
        <v>222</v>
      </c>
      <c r="C1201" s="14">
        <v>0.125867932442258</v>
      </c>
      <c r="D1201" s="14">
        <v>9.9534564546538695E-2</v>
      </c>
      <c r="E1201" s="14">
        <v>0.147997383502848</v>
      </c>
      <c r="F1201" s="14"/>
      <c r="G1201" s="14" t="s">
        <v>88</v>
      </c>
      <c r="H1201" s="14">
        <v>7.9289363037570407E-2</v>
      </c>
      <c r="I1201" s="14">
        <v>0.14719227501305401</v>
      </c>
      <c r="J1201" s="14">
        <v>0.125296431547961</v>
      </c>
      <c r="K1201" s="14">
        <v>0.113776494802082</v>
      </c>
      <c r="L1201" s="14" t="s">
        <v>88</v>
      </c>
      <c r="M1201" s="14"/>
      <c r="N1201" s="14">
        <v>8.6700075155978301E-2</v>
      </c>
      <c r="O1201" s="14">
        <v>0.18227084972899099</v>
      </c>
      <c r="P1201" s="14">
        <v>0.26825729780242702</v>
      </c>
      <c r="Q1201" s="14">
        <v>1.87217474009913E-2</v>
      </c>
      <c r="R1201" s="14"/>
      <c r="S1201" s="14">
        <v>7.0645052305546199E-2</v>
      </c>
      <c r="T1201" s="14">
        <v>0.10484160253316301</v>
      </c>
      <c r="U1201" s="14">
        <v>5.8103689964229002E-2</v>
      </c>
      <c r="V1201" s="14">
        <v>9.4148764455710104E-2</v>
      </c>
      <c r="W1201" s="14">
        <v>0.133614251332029</v>
      </c>
      <c r="X1201" s="14">
        <v>0.21644541825315</v>
      </c>
      <c r="Y1201" s="14">
        <v>3.7132111272629803E-2</v>
      </c>
      <c r="Z1201" s="14">
        <v>0.210110774889809</v>
      </c>
      <c r="AA1201" s="14">
        <v>0.20994455371808601</v>
      </c>
      <c r="AB1201" s="14"/>
      <c r="AC1201" s="14">
        <v>0.10036725575959</v>
      </c>
      <c r="AD1201" s="14">
        <v>9.1888076850855205E-2</v>
      </c>
      <c r="AE1201" s="14">
        <v>0.18702646133623199</v>
      </c>
      <c r="AF1201" s="14">
        <v>0.111648230260598</v>
      </c>
      <c r="AG1201" s="14">
        <v>0</v>
      </c>
      <c r="AH1201" s="14"/>
      <c r="AI1201" s="14">
        <v>0.166000385603153</v>
      </c>
      <c r="AJ1201" s="14">
        <v>7.3231991078455197E-2</v>
      </c>
      <c r="AK1201" s="14">
        <v>0.26164457846786199</v>
      </c>
      <c r="AL1201" s="14">
        <v>3.7207436808573899E-2</v>
      </c>
      <c r="AM1201" s="14">
        <v>0.180508959103587</v>
      </c>
      <c r="AN1201" s="14">
        <v>8.31032807244904E-2</v>
      </c>
      <c r="AO1201" s="14"/>
      <c r="AP1201" s="14">
        <v>0.11342620137201601</v>
      </c>
      <c r="AQ1201" s="14">
        <v>0.143781746528166</v>
      </c>
      <c r="AR1201" s="14"/>
      <c r="AS1201" s="14" t="s">
        <v>88</v>
      </c>
      <c r="AT1201" s="14">
        <v>0.12625672088825701</v>
      </c>
      <c r="AU1201" s="14">
        <v>0</v>
      </c>
      <c r="AV1201" s="14"/>
      <c r="AW1201" s="14">
        <v>0.13221019394095701</v>
      </c>
      <c r="AX1201" s="14">
        <v>0.141115072281982</v>
      </c>
      <c r="AY1201" s="14"/>
      <c r="AZ1201" s="14">
        <v>9.2774732714083694E-2</v>
      </c>
      <c r="BA1201" s="14">
        <v>0.24552929410482699</v>
      </c>
    </row>
    <row r="1202" spans="2:53" x14ac:dyDescent="0.35">
      <c r="B1202" t="s">
        <v>223</v>
      </c>
      <c r="C1202" s="14">
        <v>2.1005009971093901E-2</v>
      </c>
      <c r="D1202" s="14">
        <v>1.43974221049217E-2</v>
      </c>
      <c r="E1202" s="14">
        <v>2.6557747960858299E-2</v>
      </c>
      <c r="F1202" s="14"/>
      <c r="G1202" s="14" t="s">
        <v>88</v>
      </c>
      <c r="H1202" s="14">
        <v>3.97387473555363E-2</v>
      </c>
      <c r="I1202" s="14">
        <v>2.2163321993522601E-2</v>
      </c>
      <c r="J1202" s="14">
        <v>0</v>
      </c>
      <c r="K1202" s="14">
        <v>0</v>
      </c>
      <c r="L1202" s="14" t="s">
        <v>88</v>
      </c>
      <c r="M1202" s="14"/>
      <c r="N1202" s="14">
        <v>0</v>
      </c>
      <c r="O1202" s="14">
        <v>3.7509600654795902E-2</v>
      </c>
      <c r="P1202" s="14">
        <v>0</v>
      </c>
      <c r="Q1202" s="14">
        <v>3.5567217796224702E-2</v>
      </c>
      <c r="R1202" s="14"/>
      <c r="S1202" s="14">
        <v>4.1414168100972502E-2</v>
      </c>
      <c r="T1202" s="14">
        <v>0</v>
      </c>
      <c r="U1202" s="14">
        <v>0</v>
      </c>
      <c r="V1202" s="14">
        <v>6.6499850285916207E-2</v>
      </c>
      <c r="W1202" s="14">
        <v>0</v>
      </c>
      <c r="X1202" s="14">
        <v>0</v>
      </c>
      <c r="Y1202" s="14">
        <v>5.1652011276614201E-2</v>
      </c>
      <c r="Z1202" s="14">
        <v>0</v>
      </c>
      <c r="AA1202" s="14">
        <v>3.7260213893796301E-2</v>
      </c>
      <c r="AB1202" s="14"/>
      <c r="AC1202" s="14">
        <v>0</v>
      </c>
      <c r="AD1202" s="14">
        <v>1.9820692225788299E-2</v>
      </c>
      <c r="AE1202" s="14">
        <v>4.0064686372200599E-2</v>
      </c>
      <c r="AF1202" s="14">
        <v>0</v>
      </c>
      <c r="AG1202" s="14">
        <v>0</v>
      </c>
      <c r="AH1202" s="14"/>
      <c r="AI1202" s="14">
        <v>0</v>
      </c>
      <c r="AJ1202" s="14">
        <v>2.6569025074224598E-2</v>
      </c>
      <c r="AK1202" s="14">
        <v>0</v>
      </c>
      <c r="AL1202" s="14">
        <v>0</v>
      </c>
      <c r="AM1202" s="14">
        <v>7.4443598530682706E-2</v>
      </c>
      <c r="AN1202" s="14">
        <v>6.7946696316759397E-2</v>
      </c>
      <c r="AO1202" s="14"/>
      <c r="AP1202" s="14">
        <v>2.6652799249288501E-2</v>
      </c>
      <c r="AQ1202" s="14">
        <v>1.28732277813998E-2</v>
      </c>
      <c r="AR1202" s="14"/>
      <c r="AS1202" s="14" t="s">
        <v>88</v>
      </c>
      <c r="AT1202" s="14">
        <v>2.10698915102309E-2</v>
      </c>
      <c r="AU1202" s="14">
        <v>0</v>
      </c>
      <c r="AV1202" s="14"/>
      <c r="AW1202" s="14">
        <v>2.7215206113703198E-2</v>
      </c>
      <c r="AX1202" s="14">
        <v>0</v>
      </c>
      <c r="AY1202" s="14"/>
      <c r="AZ1202" s="14">
        <v>1.40180971884966E-2</v>
      </c>
      <c r="BA1202" s="14">
        <v>4.62689162796577E-2</v>
      </c>
    </row>
    <row r="1203" spans="2:53" x14ac:dyDescent="0.35">
      <c r="B1203" t="s">
        <v>116</v>
      </c>
      <c r="C1203" s="14">
        <v>2.3891383720582901E-2</v>
      </c>
      <c r="D1203" s="14">
        <v>0</v>
      </c>
      <c r="E1203" s="14">
        <v>4.3968694336835E-2</v>
      </c>
      <c r="F1203" s="14"/>
      <c r="G1203" s="14" t="s">
        <v>88</v>
      </c>
      <c r="H1203" s="14">
        <v>4.30760934955925E-2</v>
      </c>
      <c r="I1203" s="14">
        <v>4.7727179521336698E-3</v>
      </c>
      <c r="J1203" s="14">
        <v>6.0635754594139203E-2</v>
      </c>
      <c r="K1203" s="14">
        <v>0</v>
      </c>
      <c r="L1203" s="14" t="s">
        <v>88</v>
      </c>
      <c r="M1203" s="14"/>
      <c r="N1203" s="14">
        <v>9.8810130436160892E-3</v>
      </c>
      <c r="O1203" s="14">
        <v>1.29564557684158E-2</v>
      </c>
      <c r="P1203" s="14">
        <v>0</v>
      </c>
      <c r="Q1203" s="14">
        <v>6.2259131257910702E-2</v>
      </c>
      <c r="R1203" s="14"/>
      <c r="S1203" s="14">
        <v>0</v>
      </c>
      <c r="T1203" s="14">
        <v>3.7647102551855202E-2</v>
      </c>
      <c r="U1203" s="14">
        <v>0</v>
      </c>
      <c r="V1203" s="14">
        <v>9.2503490614734896E-2</v>
      </c>
      <c r="W1203" s="14">
        <v>0</v>
      </c>
      <c r="X1203" s="14">
        <v>3.29922913215389E-2</v>
      </c>
      <c r="Y1203" s="14">
        <v>2.7764505041413201E-2</v>
      </c>
      <c r="Z1203" s="14">
        <v>0</v>
      </c>
      <c r="AA1203" s="14">
        <v>2.6785990641222002E-2</v>
      </c>
      <c r="AB1203" s="14"/>
      <c r="AC1203" s="14">
        <v>0.13217660420699701</v>
      </c>
      <c r="AD1203" s="14">
        <v>2.64901651819302E-2</v>
      </c>
      <c r="AE1203" s="14">
        <v>0</v>
      </c>
      <c r="AF1203" s="14">
        <v>0</v>
      </c>
      <c r="AG1203" s="14">
        <v>0</v>
      </c>
      <c r="AH1203" s="14"/>
      <c r="AI1203" s="14">
        <v>9.6267171405543701E-3</v>
      </c>
      <c r="AJ1203" s="14">
        <v>4.3719024507951898E-2</v>
      </c>
      <c r="AK1203" s="14">
        <v>0</v>
      </c>
      <c r="AL1203" s="14">
        <v>5.7572946175558998E-2</v>
      </c>
      <c r="AM1203" s="14">
        <v>0</v>
      </c>
      <c r="AN1203" s="14">
        <v>0</v>
      </c>
      <c r="AO1203" s="14"/>
      <c r="AP1203" s="14">
        <v>0</v>
      </c>
      <c r="AQ1203" s="14">
        <v>5.82906006630904E-2</v>
      </c>
      <c r="AR1203" s="14"/>
      <c r="AS1203" s="14" t="s">
        <v>88</v>
      </c>
      <c r="AT1203" s="14">
        <v>2.3965180864694499E-2</v>
      </c>
      <c r="AU1203" s="14">
        <v>0</v>
      </c>
      <c r="AV1203" s="14"/>
      <c r="AW1203" s="14">
        <v>3.0954945186506599E-2</v>
      </c>
      <c r="AX1203" s="14">
        <v>0</v>
      </c>
      <c r="AY1203" s="14"/>
      <c r="AZ1203" s="14">
        <v>1.2667599727907101E-2</v>
      </c>
      <c r="BA1203" s="14">
        <v>6.4475349205995694E-2</v>
      </c>
    </row>
    <row r="1204" spans="2:53" x14ac:dyDescent="0.35">
      <c r="B1204" t="s">
        <v>224</v>
      </c>
      <c r="C1204" s="14">
        <v>0.78369923475433001</v>
      </c>
      <c r="D1204" s="14">
        <v>0.86391921819717499</v>
      </c>
      <c r="E1204" s="14">
        <v>0.716285746107164</v>
      </c>
      <c r="F1204" s="14"/>
      <c r="G1204" s="14" t="s">
        <v>88</v>
      </c>
      <c r="H1204" s="14">
        <v>0.79123427157779602</v>
      </c>
      <c r="I1204" s="14">
        <v>0.76081146387472298</v>
      </c>
      <c r="J1204" s="14">
        <v>0.81406781385789995</v>
      </c>
      <c r="K1204" s="14">
        <v>0.88622350519791804</v>
      </c>
      <c r="L1204" s="14" t="s">
        <v>88</v>
      </c>
      <c r="M1204" s="14"/>
      <c r="N1204" s="14">
        <v>0.84164064265432503</v>
      </c>
      <c r="O1204" s="14">
        <v>0.72551514637442405</v>
      </c>
      <c r="P1204" s="14">
        <v>0.69441551668120804</v>
      </c>
      <c r="Q1204" s="14">
        <v>0.84399524627338895</v>
      </c>
      <c r="R1204" s="14"/>
      <c r="S1204" s="14">
        <v>0.83421055065559202</v>
      </c>
      <c r="T1204" s="14">
        <v>0.771404840595174</v>
      </c>
      <c r="U1204" s="14">
        <v>0.94189631003577101</v>
      </c>
      <c r="V1204" s="14">
        <v>0.65269915027902103</v>
      </c>
      <c r="W1204" s="14">
        <v>0.86638574866797102</v>
      </c>
      <c r="X1204" s="14">
        <v>0.72459297835260394</v>
      </c>
      <c r="Y1204" s="14">
        <v>0.83179936113272901</v>
      </c>
      <c r="Z1204" s="14">
        <v>0.789889225110191</v>
      </c>
      <c r="AA1204" s="14">
        <v>0.67322109401424901</v>
      </c>
      <c r="AB1204" s="14"/>
      <c r="AC1204" s="14">
        <v>0.73656095328577997</v>
      </c>
      <c r="AD1204" s="14">
        <v>0.79935710133312099</v>
      </c>
      <c r="AE1204" s="14">
        <v>0.747636600357519</v>
      </c>
      <c r="AF1204" s="14">
        <v>0.836127701887452</v>
      </c>
      <c r="AG1204" s="14">
        <v>1</v>
      </c>
      <c r="AH1204" s="14"/>
      <c r="AI1204" s="14">
        <v>0.78736468781172697</v>
      </c>
      <c r="AJ1204" s="14">
        <v>0.836240417216912</v>
      </c>
      <c r="AK1204" s="14">
        <v>0.63791414351183695</v>
      </c>
      <c r="AL1204" s="14">
        <v>0.86935129230090802</v>
      </c>
      <c r="AM1204" s="14">
        <v>0.74504744236572995</v>
      </c>
      <c r="AN1204" s="14">
        <v>0.70095633413550396</v>
      </c>
      <c r="AO1204" s="14"/>
      <c r="AP1204" s="14">
        <v>0.80270643099934103</v>
      </c>
      <c r="AQ1204" s="14">
        <v>0.75633235325647696</v>
      </c>
      <c r="AR1204" s="14"/>
      <c r="AS1204" s="14" t="s">
        <v>88</v>
      </c>
      <c r="AT1204" s="14">
        <v>0.78303111193101604</v>
      </c>
      <c r="AU1204" s="14">
        <v>1</v>
      </c>
      <c r="AV1204" s="14"/>
      <c r="AW1204" s="14">
        <v>0.75646364169729197</v>
      </c>
      <c r="AX1204" s="14">
        <v>0.83217395550974205</v>
      </c>
      <c r="AY1204" s="14"/>
      <c r="AZ1204" s="14">
        <v>0.84245722006494606</v>
      </c>
      <c r="BA1204" s="14">
        <v>0.57123683799094405</v>
      </c>
    </row>
    <row r="1205" spans="2:53" x14ac:dyDescent="0.35"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</row>
    <row r="1206" spans="2:53" x14ac:dyDescent="0.35">
      <c r="B1206" s="6" t="s">
        <v>326</v>
      </c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</row>
    <row r="1207" spans="2:53" x14ac:dyDescent="0.35">
      <c r="B1207" s="30" t="s">
        <v>320</v>
      </c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</row>
    <row r="1208" spans="2:53" x14ac:dyDescent="0.35">
      <c r="B1208" t="s">
        <v>154</v>
      </c>
      <c r="C1208" s="14">
        <v>0.31854307556640798</v>
      </c>
      <c r="D1208" s="14">
        <v>0.35203886263710099</v>
      </c>
      <c r="E1208" s="14">
        <v>0.290755233804392</v>
      </c>
      <c r="F1208" s="14"/>
      <c r="G1208" s="14">
        <v>1</v>
      </c>
      <c r="H1208" s="14">
        <v>0.243257454258548</v>
      </c>
      <c r="I1208" s="14">
        <v>0.40370555328854202</v>
      </c>
      <c r="J1208" s="14">
        <v>0.206952134947643</v>
      </c>
      <c r="K1208" s="14">
        <v>0.20484482589524899</v>
      </c>
      <c r="L1208" s="14">
        <v>0</v>
      </c>
      <c r="M1208" s="14"/>
      <c r="N1208" s="14">
        <v>0.41979556279100799</v>
      </c>
      <c r="O1208" s="14">
        <v>0.25292606582101801</v>
      </c>
      <c r="P1208" s="14">
        <v>0.33130662611197398</v>
      </c>
      <c r="Q1208" s="14">
        <v>0.30077865506663898</v>
      </c>
      <c r="R1208" s="14"/>
      <c r="S1208" s="14">
        <v>0.35914000090113501</v>
      </c>
      <c r="T1208" s="14">
        <v>0.40157627346745001</v>
      </c>
      <c r="U1208" s="14">
        <v>0.296006711836793</v>
      </c>
      <c r="V1208" s="14">
        <v>8.5076307492516795E-2</v>
      </c>
      <c r="W1208" s="14">
        <v>0.25590792427426801</v>
      </c>
      <c r="X1208" s="14">
        <v>0.35939282379405602</v>
      </c>
      <c r="Y1208" s="14">
        <v>0.42206399062656502</v>
      </c>
      <c r="Z1208" s="14">
        <v>0.42703609777511498</v>
      </c>
      <c r="AA1208" s="14">
        <v>0.233457531118786</v>
      </c>
      <c r="AB1208" s="14"/>
      <c r="AC1208" s="14">
        <v>0.19857959121932101</v>
      </c>
      <c r="AD1208" s="14">
        <v>0.26845031658629298</v>
      </c>
      <c r="AE1208" s="14">
        <v>0.31274221401787899</v>
      </c>
      <c r="AF1208" s="14">
        <v>0.49882317760003198</v>
      </c>
      <c r="AG1208" s="14">
        <v>0.79157942734094699</v>
      </c>
      <c r="AH1208" s="14"/>
      <c r="AI1208" s="14">
        <v>0.340776314908255</v>
      </c>
      <c r="AJ1208" s="14">
        <v>0.35332735867555298</v>
      </c>
      <c r="AK1208" s="14">
        <v>0.44877964171198798</v>
      </c>
      <c r="AL1208" s="14">
        <v>0.268108847738732</v>
      </c>
      <c r="AM1208" s="14">
        <v>0.26947061987731402</v>
      </c>
      <c r="AN1208" s="14">
        <v>0.28302741988238</v>
      </c>
      <c r="AO1208" s="14"/>
      <c r="AP1208" s="14">
        <v>0.32546586627871499</v>
      </c>
      <c r="AQ1208" s="14">
        <v>0.309414980174953</v>
      </c>
      <c r="AR1208" s="14"/>
      <c r="AS1208" s="14" t="s">
        <v>88</v>
      </c>
      <c r="AT1208" s="14">
        <v>0.31738542040583001</v>
      </c>
      <c r="AU1208" s="14">
        <v>1</v>
      </c>
      <c r="AV1208" s="14"/>
      <c r="AW1208" s="14">
        <v>0.29439515459620402</v>
      </c>
      <c r="AX1208" s="14">
        <v>0.34717601369199602</v>
      </c>
      <c r="AY1208" s="14"/>
      <c r="AZ1208" s="14">
        <v>0.35418580065770999</v>
      </c>
      <c r="BA1208" s="14">
        <v>0.21298969605818399</v>
      </c>
    </row>
    <row r="1209" spans="2:53" x14ac:dyDescent="0.35">
      <c r="B1209" t="s">
        <v>155</v>
      </c>
      <c r="C1209" s="14">
        <v>0.36568218267531599</v>
      </c>
      <c r="D1209" s="14">
        <v>0.32018422706122701</v>
      </c>
      <c r="E1209" s="14">
        <v>0.40342692915436501</v>
      </c>
      <c r="F1209" s="14"/>
      <c r="G1209" s="14">
        <v>0</v>
      </c>
      <c r="H1209" s="14">
        <v>0.44947820325122101</v>
      </c>
      <c r="I1209" s="14">
        <v>0.348759475121451</v>
      </c>
      <c r="J1209" s="14">
        <v>0.31188129775774598</v>
      </c>
      <c r="K1209" s="14">
        <v>0.39400166803589398</v>
      </c>
      <c r="L1209" s="14">
        <v>0</v>
      </c>
      <c r="M1209" s="14"/>
      <c r="N1209" s="14">
        <v>0.34915456603948503</v>
      </c>
      <c r="O1209" s="14">
        <v>0.43333376970450199</v>
      </c>
      <c r="P1209" s="14">
        <v>0.39724144376780701</v>
      </c>
      <c r="Q1209" s="14">
        <v>0.29025625959041501</v>
      </c>
      <c r="R1209" s="14"/>
      <c r="S1209" s="14">
        <v>0.38289715739547397</v>
      </c>
      <c r="T1209" s="14">
        <v>0.37587296332821901</v>
      </c>
      <c r="U1209" s="14">
        <v>0.30075517331108398</v>
      </c>
      <c r="V1209" s="14">
        <v>0.53808733521655805</v>
      </c>
      <c r="W1209" s="14">
        <v>0.43290936598242202</v>
      </c>
      <c r="X1209" s="14">
        <v>0.243095440357885</v>
      </c>
      <c r="Y1209" s="14">
        <v>0.32885415951959102</v>
      </c>
      <c r="Z1209" s="14">
        <v>0.19210010666678501</v>
      </c>
      <c r="AA1209" s="14">
        <v>0.40916091216603301</v>
      </c>
      <c r="AB1209" s="14"/>
      <c r="AC1209" s="14">
        <v>0.32763785940667201</v>
      </c>
      <c r="AD1209" s="14">
        <v>0.42958775078710998</v>
      </c>
      <c r="AE1209" s="14">
        <v>0.34875347259829997</v>
      </c>
      <c r="AF1209" s="14">
        <v>0.339331592731968</v>
      </c>
      <c r="AG1209" s="14">
        <v>9.1110381110093105E-2</v>
      </c>
      <c r="AH1209" s="14"/>
      <c r="AI1209" s="14">
        <v>0.39298423550890699</v>
      </c>
      <c r="AJ1209" s="14">
        <v>0.31903446330630703</v>
      </c>
      <c r="AK1209" s="14">
        <v>0.30657489044967901</v>
      </c>
      <c r="AL1209" s="14">
        <v>0.335780185018898</v>
      </c>
      <c r="AM1209" s="14">
        <v>0.22524960773703501</v>
      </c>
      <c r="AN1209" s="14">
        <v>0.412874907690779</v>
      </c>
      <c r="AO1209" s="14"/>
      <c r="AP1209" s="14">
        <v>0.38672287856350801</v>
      </c>
      <c r="AQ1209" s="14">
        <v>0.33793882206373499</v>
      </c>
      <c r="AR1209" s="14"/>
      <c r="AS1209" s="14" t="s">
        <v>88</v>
      </c>
      <c r="AT1209" s="14">
        <v>0.36630340149447699</v>
      </c>
      <c r="AU1209" s="14">
        <v>0</v>
      </c>
      <c r="AV1209" s="14"/>
      <c r="AW1209" s="14">
        <v>0.3509438216304</v>
      </c>
      <c r="AX1209" s="14">
        <v>0.487613574919395</v>
      </c>
      <c r="AY1209" s="14"/>
      <c r="AZ1209" s="14">
        <v>0.35776473078312399</v>
      </c>
      <c r="BA1209" s="14">
        <v>0.39939615239133502</v>
      </c>
    </row>
    <row r="1210" spans="2:53" x14ac:dyDescent="0.35">
      <c r="B1210" t="s">
        <v>116</v>
      </c>
      <c r="C1210" s="14">
        <v>0.31577474175827602</v>
      </c>
      <c r="D1210" s="14">
        <v>0.327776910301672</v>
      </c>
      <c r="E1210" s="14">
        <v>0.30581783704124299</v>
      </c>
      <c r="F1210" s="14"/>
      <c r="G1210" s="14">
        <v>0</v>
      </c>
      <c r="H1210" s="14">
        <v>0.30726434249023099</v>
      </c>
      <c r="I1210" s="14">
        <v>0.24753497159000701</v>
      </c>
      <c r="J1210" s="14">
        <v>0.48116656729461099</v>
      </c>
      <c r="K1210" s="14">
        <v>0.40115350606885702</v>
      </c>
      <c r="L1210" s="14">
        <v>1</v>
      </c>
      <c r="M1210" s="14"/>
      <c r="N1210" s="14">
        <v>0.23104987116950801</v>
      </c>
      <c r="O1210" s="14">
        <v>0.313740164474479</v>
      </c>
      <c r="P1210" s="14">
        <v>0.27145193012022001</v>
      </c>
      <c r="Q1210" s="14">
        <v>0.40896508534294601</v>
      </c>
      <c r="R1210" s="14"/>
      <c r="S1210" s="14">
        <v>0.25796284170339001</v>
      </c>
      <c r="T1210" s="14">
        <v>0.22255076320433101</v>
      </c>
      <c r="U1210" s="14">
        <v>0.40323811485212302</v>
      </c>
      <c r="V1210" s="14">
        <v>0.37683635729092502</v>
      </c>
      <c r="W1210" s="14">
        <v>0.31118270974331003</v>
      </c>
      <c r="X1210" s="14">
        <v>0.39751173584805899</v>
      </c>
      <c r="Y1210" s="14">
        <v>0.24908184985384399</v>
      </c>
      <c r="Z1210" s="14">
        <v>0.38086379555809902</v>
      </c>
      <c r="AA1210" s="14">
        <v>0.35738155671518201</v>
      </c>
      <c r="AB1210" s="14"/>
      <c r="AC1210" s="14">
        <v>0.47378254937400699</v>
      </c>
      <c r="AD1210" s="14">
        <v>0.30196193262659698</v>
      </c>
      <c r="AE1210" s="14">
        <v>0.33850431338382098</v>
      </c>
      <c r="AF1210" s="14">
        <v>0.16184522966800099</v>
      </c>
      <c r="AG1210" s="14">
        <v>0.11731019154896</v>
      </c>
      <c r="AH1210" s="14"/>
      <c r="AI1210" s="14">
        <v>0.26623944958283702</v>
      </c>
      <c r="AJ1210" s="14">
        <v>0.32763817801813999</v>
      </c>
      <c r="AK1210" s="14">
        <v>0.24464546783833299</v>
      </c>
      <c r="AL1210" s="14">
        <v>0.39611096724236999</v>
      </c>
      <c r="AM1210" s="14">
        <v>0.50527977238565103</v>
      </c>
      <c r="AN1210" s="14">
        <v>0.30409767242684099</v>
      </c>
      <c r="AO1210" s="14"/>
      <c r="AP1210" s="14">
        <v>0.287811255157777</v>
      </c>
      <c r="AQ1210" s="14">
        <v>0.35264619776131201</v>
      </c>
      <c r="AR1210" s="14"/>
      <c r="AS1210" s="14" t="s">
        <v>88</v>
      </c>
      <c r="AT1210" s="14">
        <v>0.316311178099694</v>
      </c>
      <c r="AU1210" s="14">
        <v>0</v>
      </c>
      <c r="AV1210" s="14"/>
      <c r="AW1210" s="14">
        <v>0.35466102377339498</v>
      </c>
      <c r="AX1210" s="14">
        <v>0.16521041138860901</v>
      </c>
      <c r="AY1210" s="14"/>
      <c r="AZ1210" s="14">
        <v>0.28804946855916602</v>
      </c>
      <c r="BA1210" s="14">
        <v>0.38761415155048101</v>
      </c>
    </row>
    <row r="1211" spans="2:53" x14ac:dyDescent="0.35"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</row>
    <row r="1212" spans="2:53" x14ac:dyDescent="0.35">
      <c r="B1212" s="6" t="s">
        <v>327</v>
      </c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</row>
    <row r="1213" spans="2:53" x14ac:dyDescent="0.35">
      <c r="B1213" s="24" t="s">
        <v>328</v>
      </c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</row>
    <row r="1214" spans="2:53" x14ac:dyDescent="0.35">
      <c r="B1214" t="s">
        <v>214</v>
      </c>
      <c r="C1214" s="14">
        <v>0.24552676860464401</v>
      </c>
      <c r="D1214" s="14">
        <v>0.21201913931417099</v>
      </c>
      <c r="E1214" s="14">
        <v>0.27918345841065101</v>
      </c>
      <c r="F1214" s="14"/>
      <c r="G1214" s="14">
        <v>0</v>
      </c>
      <c r="H1214" s="14">
        <v>0.25604569134119298</v>
      </c>
      <c r="I1214" s="14">
        <v>0.30133681670330098</v>
      </c>
      <c r="J1214" s="14">
        <v>0</v>
      </c>
      <c r="K1214" s="14">
        <v>0</v>
      </c>
      <c r="L1214" s="14" t="s">
        <v>88</v>
      </c>
      <c r="M1214" s="14"/>
      <c r="N1214" s="14">
        <v>0.173841388878653</v>
      </c>
      <c r="O1214" s="14">
        <v>0.297429059935792</v>
      </c>
      <c r="P1214" s="14">
        <v>0.17740681786749499</v>
      </c>
      <c r="Q1214" s="14">
        <v>0.32992239191685102</v>
      </c>
      <c r="R1214" s="14"/>
      <c r="S1214" s="14">
        <v>0.29742117093891501</v>
      </c>
      <c r="T1214" s="14">
        <v>5.9269832182089803E-2</v>
      </c>
      <c r="U1214" s="14">
        <v>0.25465607508626198</v>
      </c>
      <c r="V1214" s="14">
        <v>0.66378938688099998</v>
      </c>
      <c r="W1214" s="14">
        <v>9.2248147719770607E-2</v>
      </c>
      <c r="X1214" s="14">
        <v>0.38290007346847399</v>
      </c>
      <c r="Y1214" s="14">
        <v>0.35765820442691498</v>
      </c>
      <c r="Z1214" s="14">
        <v>0.53808150824087098</v>
      </c>
      <c r="AA1214" s="14">
        <v>8.5434460811255705E-2</v>
      </c>
      <c r="AB1214" s="14"/>
      <c r="AC1214" s="14">
        <v>0.18859229859464799</v>
      </c>
      <c r="AD1214" s="14">
        <v>0.22267624028045299</v>
      </c>
      <c r="AE1214" s="14">
        <v>0.27933481208988797</v>
      </c>
      <c r="AF1214" s="14">
        <v>0.27312173075914098</v>
      </c>
      <c r="AG1214" s="14">
        <v>0.194471390537484</v>
      </c>
      <c r="AH1214" s="14"/>
      <c r="AI1214" s="14">
        <v>0.26747292526613903</v>
      </c>
      <c r="AJ1214" s="14">
        <v>0.24637326702404899</v>
      </c>
      <c r="AK1214" s="14">
        <v>0.24891761673131901</v>
      </c>
      <c r="AL1214" s="14">
        <v>0.21984420903340501</v>
      </c>
      <c r="AM1214" s="14">
        <v>0.41720228594271203</v>
      </c>
      <c r="AN1214" s="14">
        <v>0.16273181362884301</v>
      </c>
      <c r="AO1214" s="14"/>
      <c r="AP1214" s="14">
        <v>0.24839739132611699</v>
      </c>
      <c r="AQ1214" s="14">
        <v>0.24154533756785801</v>
      </c>
      <c r="AR1214" s="14"/>
      <c r="AS1214" s="14" t="s">
        <v>88</v>
      </c>
      <c r="AT1214" s="14">
        <v>0.246840942022792</v>
      </c>
      <c r="AU1214" s="14">
        <v>0</v>
      </c>
      <c r="AV1214" s="14"/>
      <c r="AW1214" s="14">
        <v>0.25016989228363601</v>
      </c>
      <c r="AX1214" s="14">
        <v>0.23636910782008499</v>
      </c>
      <c r="AY1214" s="14"/>
      <c r="AZ1214" s="14">
        <v>0.23947433094176701</v>
      </c>
      <c r="BA1214" s="14">
        <v>0.28015745937962799</v>
      </c>
    </row>
    <row r="1215" spans="2:53" x14ac:dyDescent="0.35">
      <c r="B1215" t="s">
        <v>215</v>
      </c>
      <c r="C1215" s="14">
        <v>0.51490964029515995</v>
      </c>
      <c r="D1215" s="14">
        <v>0.58490596431155994</v>
      </c>
      <c r="E1215" s="14">
        <v>0.44460193381559099</v>
      </c>
      <c r="F1215" s="14"/>
      <c r="G1215" s="14">
        <v>1</v>
      </c>
      <c r="H1215" s="14">
        <v>0.43955364863475899</v>
      </c>
      <c r="I1215" s="14">
        <v>0.48903810570394102</v>
      </c>
      <c r="J1215" s="14">
        <v>0.62489939292012997</v>
      </c>
      <c r="K1215" s="14">
        <v>1</v>
      </c>
      <c r="L1215" s="14" t="s">
        <v>88</v>
      </c>
      <c r="M1215" s="14"/>
      <c r="N1215" s="14">
        <v>0.64536446378260803</v>
      </c>
      <c r="O1215" s="14">
        <v>0.428106070450192</v>
      </c>
      <c r="P1215" s="14">
        <v>0.53167763524823097</v>
      </c>
      <c r="Q1215" s="14">
        <v>0.43403555339774502</v>
      </c>
      <c r="R1215" s="14"/>
      <c r="S1215" s="14">
        <v>0.52895728220827198</v>
      </c>
      <c r="T1215" s="14">
        <v>0.61037676483296799</v>
      </c>
      <c r="U1215" s="14">
        <v>0.74534392491373802</v>
      </c>
      <c r="V1215" s="14">
        <v>0.33621061311900002</v>
      </c>
      <c r="W1215" s="14">
        <v>0.37755454555102802</v>
      </c>
      <c r="X1215" s="14">
        <v>0.36345500810478898</v>
      </c>
      <c r="Y1215" s="14">
        <v>0.27254739289893598</v>
      </c>
      <c r="Z1215" s="14">
        <v>0.46191849175912902</v>
      </c>
      <c r="AA1215" s="14">
        <v>0.79564200858429102</v>
      </c>
      <c r="AB1215" s="14"/>
      <c r="AC1215" s="14">
        <v>0.556701748138139</v>
      </c>
      <c r="AD1215" s="14">
        <v>0.46648696771889803</v>
      </c>
      <c r="AE1215" s="14">
        <v>0.43800592464562699</v>
      </c>
      <c r="AF1215" s="14">
        <v>0.51954663678941904</v>
      </c>
      <c r="AG1215" s="14">
        <v>0.32842174375515398</v>
      </c>
      <c r="AH1215" s="14"/>
      <c r="AI1215" s="14">
        <v>0.55148963226611503</v>
      </c>
      <c r="AJ1215" s="14">
        <v>0.49480418205065002</v>
      </c>
      <c r="AK1215" s="14">
        <v>0.512705351710119</v>
      </c>
      <c r="AL1215" s="14">
        <v>0.63458808787912202</v>
      </c>
      <c r="AM1215" s="14">
        <v>0.48570550429109699</v>
      </c>
      <c r="AN1215" s="14">
        <v>0.58416888655383503</v>
      </c>
      <c r="AO1215" s="14"/>
      <c r="AP1215" s="14">
        <v>0.47696458525306801</v>
      </c>
      <c r="AQ1215" s="14">
        <v>0.56753781003234705</v>
      </c>
      <c r="AR1215" s="14"/>
      <c r="AS1215" s="14" t="s">
        <v>88</v>
      </c>
      <c r="AT1215" s="14">
        <v>0.51766567608657299</v>
      </c>
      <c r="AU1215" s="14">
        <v>0</v>
      </c>
      <c r="AV1215" s="14"/>
      <c r="AW1215" s="14">
        <v>0.47592938283902098</v>
      </c>
      <c r="AX1215" s="14">
        <v>0.61406988649808003</v>
      </c>
      <c r="AY1215" s="14"/>
      <c r="AZ1215" s="14">
        <v>0.52491145269884298</v>
      </c>
      <c r="BA1215" s="14">
        <v>0.45768151307860999</v>
      </c>
    </row>
    <row r="1216" spans="2:53" x14ac:dyDescent="0.35">
      <c r="B1216" t="s">
        <v>216</v>
      </c>
      <c r="C1216" s="14">
        <v>0.151601377513194</v>
      </c>
      <c r="D1216" s="14">
        <v>0.18706943508836199</v>
      </c>
      <c r="E1216" s="14">
        <v>0.11597553835039601</v>
      </c>
      <c r="F1216" s="14"/>
      <c r="G1216" s="14">
        <v>0</v>
      </c>
      <c r="H1216" s="14">
        <v>0.179178422350281</v>
      </c>
      <c r="I1216" s="14">
        <v>0.124978263543829</v>
      </c>
      <c r="J1216" s="14">
        <v>0.30384723015316101</v>
      </c>
      <c r="K1216" s="14">
        <v>0</v>
      </c>
      <c r="L1216" s="14" t="s">
        <v>88</v>
      </c>
      <c r="M1216" s="14"/>
      <c r="N1216" s="14">
        <v>0.13899234489701001</v>
      </c>
      <c r="O1216" s="14">
        <v>0.24433148198502699</v>
      </c>
      <c r="P1216" s="14">
        <v>0.18994553977957301</v>
      </c>
      <c r="Q1216" s="14">
        <v>5.5869890684087799E-2</v>
      </c>
      <c r="R1216" s="14"/>
      <c r="S1216" s="14">
        <v>0.173621546852813</v>
      </c>
      <c r="T1216" s="14">
        <v>0.102849591521173</v>
      </c>
      <c r="U1216" s="14">
        <v>0</v>
      </c>
      <c r="V1216" s="14">
        <v>0</v>
      </c>
      <c r="W1216" s="14">
        <v>0.386865852195449</v>
      </c>
      <c r="X1216" s="14">
        <v>0.25364491842673698</v>
      </c>
      <c r="Y1216" s="14">
        <v>0.215994454969623</v>
      </c>
      <c r="Z1216" s="14">
        <v>0</v>
      </c>
      <c r="AA1216" s="14">
        <v>4.51210730114485E-2</v>
      </c>
      <c r="AB1216" s="14"/>
      <c r="AC1216" s="14">
        <v>0.15483031654642701</v>
      </c>
      <c r="AD1216" s="14">
        <v>0.22979915350237601</v>
      </c>
      <c r="AE1216" s="14">
        <v>0.14676380253667101</v>
      </c>
      <c r="AF1216" s="14">
        <v>0.154610088710258</v>
      </c>
      <c r="AG1216" s="14">
        <v>0.18723900043990899</v>
      </c>
      <c r="AH1216" s="14"/>
      <c r="AI1216" s="14">
        <v>0.13999871454821899</v>
      </c>
      <c r="AJ1216" s="14">
        <v>0.15214799867138301</v>
      </c>
      <c r="AK1216" s="14">
        <v>0.12643631052165599</v>
      </c>
      <c r="AL1216" s="14">
        <v>0.14556770308747399</v>
      </c>
      <c r="AM1216" s="14">
        <v>0</v>
      </c>
      <c r="AN1216" s="14">
        <v>8.7473223586558096E-2</v>
      </c>
      <c r="AO1216" s="14"/>
      <c r="AP1216" s="14">
        <v>0.19650420644185301</v>
      </c>
      <c r="AQ1216" s="14">
        <v>8.9323072740254E-2</v>
      </c>
      <c r="AR1216" s="14"/>
      <c r="AS1216" s="14" t="s">
        <v>88</v>
      </c>
      <c r="AT1216" s="14">
        <v>0.14706035364030801</v>
      </c>
      <c r="AU1216" s="14">
        <v>1</v>
      </c>
      <c r="AV1216" s="14"/>
      <c r="AW1216" s="14">
        <v>0.16560753804568401</v>
      </c>
      <c r="AX1216" s="14">
        <v>0.149561005681835</v>
      </c>
      <c r="AY1216" s="14"/>
      <c r="AZ1216" s="14">
        <v>0.14407238167832201</v>
      </c>
      <c r="BA1216" s="14">
        <v>0.19468060296360001</v>
      </c>
    </row>
    <row r="1217" spans="2:53" x14ac:dyDescent="0.35">
      <c r="B1217" t="s">
        <v>217</v>
      </c>
      <c r="C1217" s="14">
        <v>3.7518486877003598E-2</v>
      </c>
      <c r="D1217" s="14">
        <v>0</v>
      </c>
      <c r="E1217" s="14">
        <v>7.5203876788163704E-2</v>
      </c>
      <c r="F1217" s="14"/>
      <c r="G1217" s="14">
        <v>0</v>
      </c>
      <c r="H1217" s="14">
        <v>4.0565036718374602E-2</v>
      </c>
      <c r="I1217" s="14">
        <v>3.2825577060046199E-2</v>
      </c>
      <c r="J1217" s="14">
        <v>7.1253376926709605E-2</v>
      </c>
      <c r="K1217" s="14">
        <v>0</v>
      </c>
      <c r="L1217" s="14" t="s">
        <v>88</v>
      </c>
      <c r="M1217" s="14"/>
      <c r="N1217" s="14">
        <v>0</v>
      </c>
      <c r="O1217" s="14">
        <v>0</v>
      </c>
      <c r="P1217" s="14">
        <v>5.0485003552350798E-2</v>
      </c>
      <c r="Q1217" s="14">
        <v>0.10237728635174401</v>
      </c>
      <c r="R1217" s="14"/>
      <c r="S1217" s="14">
        <v>0</v>
      </c>
      <c r="T1217" s="14">
        <v>4.7532129988147098E-2</v>
      </c>
      <c r="U1217" s="14">
        <v>0</v>
      </c>
      <c r="V1217" s="14">
        <v>0</v>
      </c>
      <c r="W1217" s="14">
        <v>0.14333145453375201</v>
      </c>
      <c r="X1217" s="14">
        <v>0</v>
      </c>
      <c r="Y1217" s="14">
        <v>0.121220206807933</v>
      </c>
      <c r="Z1217" s="14">
        <v>0</v>
      </c>
      <c r="AA1217" s="14">
        <v>0</v>
      </c>
      <c r="AB1217" s="14"/>
      <c r="AC1217" s="14">
        <v>9.9875636720786198E-2</v>
      </c>
      <c r="AD1217" s="14">
        <v>4.34778176670155E-2</v>
      </c>
      <c r="AE1217" s="14">
        <v>3.8563031062851701E-2</v>
      </c>
      <c r="AF1217" s="14">
        <v>0</v>
      </c>
      <c r="AG1217" s="14">
        <v>0.28986786526745301</v>
      </c>
      <c r="AH1217" s="14"/>
      <c r="AI1217" s="14">
        <v>2.07566068135164E-2</v>
      </c>
      <c r="AJ1217" s="14">
        <v>5.5925702406250999E-2</v>
      </c>
      <c r="AK1217" s="14">
        <v>0</v>
      </c>
      <c r="AL1217" s="14">
        <v>0</v>
      </c>
      <c r="AM1217" s="14">
        <v>0</v>
      </c>
      <c r="AN1217" s="14">
        <v>0.165626076230764</v>
      </c>
      <c r="AO1217" s="14"/>
      <c r="AP1217" s="14">
        <v>3.3165927581940299E-2</v>
      </c>
      <c r="AQ1217" s="14">
        <v>4.3555300609851501E-2</v>
      </c>
      <c r="AR1217" s="14"/>
      <c r="AS1217" s="14" t="s">
        <v>88</v>
      </c>
      <c r="AT1217" s="14">
        <v>3.7719303262211401E-2</v>
      </c>
      <c r="AU1217" s="14">
        <v>0</v>
      </c>
      <c r="AV1217" s="14"/>
      <c r="AW1217" s="14">
        <v>3.9798743176107501E-2</v>
      </c>
      <c r="AX1217" s="14">
        <v>0</v>
      </c>
      <c r="AY1217" s="14"/>
      <c r="AZ1217" s="14">
        <v>4.4075627319392997E-2</v>
      </c>
      <c r="BA1217" s="14">
        <v>0</v>
      </c>
    </row>
    <row r="1218" spans="2:53" x14ac:dyDescent="0.35">
      <c r="B1218" t="s">
        <v>116</v>
      </c>
      <c r="C1218" s="14">
        <v>1.6954524186102601E-2</v>
      </c>
      <c r="D1218" s="14">
        <v>0</v>
      </c>
      <c r="E1218" s="14">
        <v>3.3984471497306601E-2</v>
      </c>
      <c r="F1218" s="14"/>
      <c r="G1218" s="14">
        <v>0</v>
      </c>
      <c r="H1218" s="14">
        <v>3.5043513978197098E-2</v>
      </c>
      <c r="I1218" s="14">
        <v>1.53433960795894E-2</v>
      </c>
      <c r="J1218" s="14">
        <v>0</v>
      </c>
      <c r="K1218" s="14">
        <v>0</v>
      </c>
      <c r="L1218" s="14" t="s">
        <v>88</v>
      </c>
      <c r="M1218" s="14"/>
      <c r="N1218" s="14">
        <v>0</v>
      </c>
      <c r="O1218" s="14">
        <v>3.01333876289895E-2</v>
      </c>
      <c r="P1218" s="14">
        <v>0</v>
      </c>
      <c r="Q1218" s="14">
        <v>3.6748003967693101E-2</v>
      </c>
      <c r="R1218" s="14"/>
      <c r="S1218" s="14">
        <v>0</v>
      </c>
      <c r="T1218" s="14">
        <v>8.0274774179360603E-2</v>
      </c>
      <c r="U1218" s="14">
        <v>0</v>
      </c>
      <c r="V1218" s="14">
        <v>0</v>
      </c>
      <c r="W1218" s="14">
        <v>0</v>
      </c>
      <c r="X1218" s="14">
        <v>0</v>
      </c>
      <c r="Y1218" s="14">
        <v>0</v>
      </c>
      <c r="Z1218" s="14">
        <v>0</v>
      </c>
      <c r="AA1218" s="14">
        <v>0</v>
      </c>
      <c r="AB1218" s="14"/>
      <c r="AC1218" s="14">
        <v>0</v>
      </c>
      <c r="AD1218" s="14">
        <v>3.7559820831258202E-2</v>
      </c>
      <c r="AE1218" s="14">
        <v>3.4381883954947602E-2</v>
      </c>
      <c r="AF1218" s="14">
        <v>0</v>
      </c>
      <c r="AG1218" s="14">
        <v>0</v>
      </c>
      <c r="AH1218" s="14"/>
      <c r="AI1218" s="14">
        <v>0</v>
      </c>
      <c r="AJ1218" s="14">
        <v>0</v>
      </c>
      <c r="AK1218" s="14">
        <v>0</v>
      </c>
      <c r="AL1218" s="14">
        <v>0</v>
      </c>
      <c r="AM1218" s="14">
        <v>0</v>
      </c>
      <c r="AN1218" s="14">
        <v>0</v>
      </c>
      <c r="AO1218" s="14"/>
      <c r="AP1218" s="14">
        <v>1.22034183554946E-2</v>
      </c>
      <c r="AQ1218" s="14">
        <v>2.35441049316099E-2</v>
      </c>
      <c r="AR1218" s="14"/>
      <c r="AS1218" s="14" t="s">
        <v>88</v>
      </c>
      <c r="AT1218" s="14">
        <v>1.70452726822009E-2</v>
      </c>
      <c r="AU1218" s="14">
        <v>0</v>
      </c>
      <c r="AV1218" s="14"/>
      <c r="AW1218" s="14">
        <v>2.3021508863687701E-2</v>
      </c>
      <c r="AX1218" s="14">
        <v>0</v>
      </c>
      <c r="AY1218" s="14"/>
      <c r="AZ1218" s="14">
        <v>1.9917681964469899E-2</v>
      </c>
      <c r="BA1218" s="14">
        <v>0</v>
      </c>
    </row>
    <row r="1219" spans="2:53" x14ac:dyDescent="0.35"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</row>
    <row r="1220" spans="2:53" x14ac:dyDescent="0.35">
      <c r="B1220" s="6" t="s">
        <v>329</v>
      </c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</row>
    <row r="1221" spans="2:53" x14ac:dyDescent="0.35">
      <c r="B1221" s="24" t="s">
        <v>328</v>
      </c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</row>
    <row r="1222" spans="2:53" x14ac:dyDescent="0.35">
      <c r="B1222" t="s">
        <v>220</v>
      </c>
      <c r="C1222" s="14">
        <v>0.32433539664489802</v>
      </c>
      <c r="D1222" s="14">
        <v>0.288769143915036</v>
      </c>
      <c r="E1222" s="14">
        <v>0.36005986778888999</v>
      </c>
      <c r="F1222" s="14"/>
      <c r="G1222" s="14">
        <v>1</v>
      </c>
      <c r="H1222" s="14">
        <v>0.39484014280733398</v>
      </c>
      <c r="I1222" s="14">
        <v>0.31262233820913399</v>
      </c>
      <c r="J1222" s="14">
        <v>0.237297184122051</v>
      </c>
      <c r="K1222" s="14">
        <v>0</v>
      </c>
      <c r="L1222" s="14" t="s">
        <v>88</v>
      </c>
      <c r="M1222" s="14"/>
      <c r="N1222" s="14">
        <v>0.280075135241247</v>
      </c>
      <c r="O1222" s="14">
        <v>0.42931591806167801</v>
      </c>
      <c r="P1222" s="14">
        <v>0.25123622819159702</v>
      </c>
      <c r="Q1222" s="14">
        <v>0.335497787456079</v>
      </c>
      <c r="R1222" s="14"/>
      <c r="S1222" s="14">
        <v>0.224987869949626</v>
      </c>
      <c r="T1222" s="14">
        <v>0.32659119526064401</v>
      </c>
      <c r="U1222" s="14">
        <v>0.48317525238112002</v>
      </c>
      <c r="V1222" s="14">
        <v>0.66378938688099998</v>
      </c>
      <c r="W1222" s="14">
        <v>0.32244828137736198</v>
      </c>
      <c r="X1222" s="14">
        <v>0.29240965695251597</v>
      </c>
      <c r="Y1222" s="14">
        <v>0.23680519305655301</v>
      </c>
      <c r="Z1222" s="14">
        <v>0.53808150824087098</v>
      </c>
      <c r="AA1222" s="14">
        <v>0.34106414562973297</v>
      </c>
      <c r="AB1222" s="14"/>
      <c r="AC1222" s="14">
        <v>0.40039382440077798</v>
      </c>
      <c r="AD1222" s="14">
        <v>0.29430407740485098</v>
      </c>
      <c r="AE1222" s="14">
        <v>0.28309985500752799</v>
      </c>
      <c r="AF1222" s="14">
        <v>0.36357849485989402</v>
      </c>
      <c r="AG1222" s="14">
        <v>0.44488390970075797</v>
      </c>
      <c r="AH1222" s="14"/>
      <c r="AI1222" s="14">
        <v>0.40167831607587301</v>
      </c>
      <c r="AJ1222" s="14">
        <v>0.249367333582587</v>
      </c>
      <c r="AK1222" s="14">
        <v>0.34103955337651298</v>
      </c>
      <c r="AL1222" s="14">
        <v>0.30108304492177701</v>
      </c>
      <c r="AM1222" s="14">
        <v>0.51429449570890295</v>
      </c>
      <c r="AN1222" s="14">
        <v>0.16273181362884301</v>
      </c>
      <c r="AO1222" s="14"/>
      <c r="AP1222" s="14">
        <v>0.334571553006064</v>
      </c>
      <c r="AQ1222" s="14">
        <v>0.31013828522065001</v>
      </c>
      <c r="AR1222" s="14"/>
      <c r="AS1222" s="14" t="s">
        <v>88</v>
      </c>
      <c r="AT1222" s="14">
        <v>0.32607139048075501</v>
      </c>
      <c r="AU1222" s="14">
        <v>0</v>
      </c>
      <c r="AV1222" s="14"/>
      <c r="AW1222" s="14">
        <v>0.34442060204706598</v>
      </c>
      <c r="AX1222" s="14">
        <v>0.25447505529886</v>
      </c>
      <c r="AY1222" s="14"/>
      <c r="AZ1222" s="14">
        <v>0.33447513447238902</v>
      </c>
      <c r="BA1222" s="14">
        <v>0.26631809108931997</v>
      </c>
    </row>
    <row r="1223" spans="2:53" x14ac:dyDescent="0.35">
      <c r="B1223" t="s">
        <v>221</v>
      </c>
      <c r="C1223" s="14">
        <v>0.37794974730694703</v>
      </c>
      <c r="D1223" s="14">
        <v>0.46600578519104402</v>
      </c>
      <c r="E1223" s="14">
        <v>0.28950198733803301</v>
      </c>
      <c r="F1223" s="14"/>
      <c r="G1223" s="14">
        <v>0</v>
      </c>
      <c r="H1223" s="14">
        <v>0.30182806485521801</v>
      </c>
      <c r="I1223" s="14">
        <v>0.36141611166329102</v>
      </c>
      <c r="J1223" s="14">
        <v>0.53014549025686897</v>
      </c>
      <c r="K1223" s="14">
        <v>1</v>
      </c>
      <c r="L1223" s="14" t="s">
        <v>88</v>
      </c>
      <c r="M1223" s="14"/>
      <c r="N1223" s="14">
        <v>0.53871213217365999</v>
      </c>
      <c r="O1223" s="14">
        <v>0.25297175641929098</v>
      </c>
      <c r="P1223" s="14">
        <v>0.42559026246164899</v>
      </c>
      <c r="Q1223" s="14">
        <v>0.274088591703948</v>
      </c>
      <c r="R1223" s="14"/>
      <c r="S1223" s="14">
        <v>0.51344806843492397</v>
      </c>
      <c r="T1223" s="14">
        <v>0.26802646162678301</v>
      </c>
      <c r="U1223" s="14">
        <v>0.40997794610862598</v>
      </c>
      <c r="V1223" s="14">
        <v>0.33621061311900002</v>
      </c>
      <c r="W1223" s="14">
        <v>0.26017527566538701</v>
      </c>
      <c r="X1223" s="14">
        <v>0.39777035453807003</v>
      </c>
      <c r="Y1223" s="14">
        <v>0.32570002031779299</v>
      </c>
      <c r="Z1223" s="14">
        <v>0.31563107953993902</v>
      </c>
      <c r="AA1223" s="14">
        <v>0.51511174333424703</v>
      </c>
      <c r="AB1223" s="14"/>
      <c r="AC1223" s="14">
        <v>0.328681876676366</v>
      </c>
      <c r="AD1223" s="14">
        <v>0.32314293096614999</v>
      </c>
      <c r="AE1223" s="14">
        <v>0.44761051096746601</v>
      </c>
      <c r="AF1223" s="14">
        <v>0.32424608984523701</v>
      </c>
      <c r="AG1223" s="14">
        <v>0.26524822503178902</v>
      </c>
      <c r="AH1223" s="14"/>
      <c r="AI1223" s="14">
        <v>0.38757911719472499</v>
      </c>
      <c r="AJ1223" s="14">
        <v>0.41919636420817702</v>
      </c>
      <c r="AK1223" s="14">
        <v>0.13822371847401499</v>
      </c>
      <c r="AL1223" s="14">
        <v>0.69891695507822305</v>
      </c>
      <c r="AM1223" s="14">
        <v>0.48570550429109699</v>
      </c>
      <c r="AN1223" s="14">
        <v>0.40546918370905399</v>
      </c>
      <c r="AO1223" s="14"/>
      <c r="AP1223" s="14">
        <v>0.35593767440348301</v>
      </c>
      <c r="AQ1223" s="14">
        <v>0.40847955172403999</v>
      </c>
      <c r="AR1223" s="14"/>
      <c r="AS1223" s="14" t="s">
        <v>88</v>
      </c>
      <c r="AT1223" s="14">
        <v>0.37997271007442701</v>
      </c>
      <c r="AU1223" s="14">
        <v>0</v>
      </c>
      <c r="AV1223" s="14"/>
      <c r="AW1223" s="14">
        <v>0.34005909916177002</v>
      </c>
      <c r="AX1223" s="14">
        <v>0.52604462544143105</v>
      </c>
      <c r="AY1223" s="14"/>
      <c r="AZ1223" s="14">
        <v>0.381847783369404</v>
      </c>
      <c r="BA1223" s="14">
        <v>0.35564605926788401</v>
      </c>
    </row>
    <row r="1224" spans="2:53" x14ac:dyDescent="0.35">
      <c r="B1224" t="s">
        <v>222</v>
      </c>
      <c r="C1224" s="14">
        <v>0.18197711429636401</v>
      </c>
      <c r="D1224" s="14">
        <v>0.16441135691762701</v>
      </c>
      <c r="E1224" s="14">
        <v>0.199621013904381</v>
      </c>
      <c r="F1224" s="14"/>
      <c r="G1224" s="14">
        <v>0</v>
      </c>
      <c r="H1224" s="14">
        <v>0.23297886632640599</v>
      </c>
      <c r="I1224" s="14">
        <v>0.20211491659894601</v>
      </c>
      <c r="J1224" s="14">
        <v>4.2566805569047197E-2</v>
      </c>
      <c r="K1224" s="14">
        <v>0</v>
      </c>
      <c r="L1224" s="14" t="s">
        <v>88</v>
      </c>
      <c r="M1224" s="14"/>
      <c r="N1224" s="14">
        <v>0.11689717542594</v>
      </c>
      <c r="O1224" s="14">
        <v>0.23273503765883</v>
      </c>
      <c r="P1224" s="14">
        <v>0.165318971037477</v>
      </c>
      <c r="Q1224" s="14">
        <v>0.221931527342239</v>
      </c>
      <c r="R1224" s="14"/>
      <c r="S1224" s="14">
        <v>0.164683786931732</v>
      </c>
      <c r="T1224" s="14">
        <v>0.18259637671274601</v>
      </c>
      <c r="U1224" s="14">
        <v>0</v>
      </c>
      <c r="V1224" s="14">
        <v>0</v>
      </c>
      <c r="W1224" s="14">
        <v>0.34840045046118601</v>
      </c>
      <c r="X1224" s="14">
        <v>0.18929139856819599</v>
      </c>
      <c r="Y1224" s="14">
        <v>0.28261688686587499</v>
      </c>
      <c r="Z1224" s="14">
        <v>0.14628741221919001</v>
      </c>
      <c r="AA1224" s="14">
        <v>0.14382411103602</v>
      </c>
      <c r="AB1224" s="14"/>
      <c r="AC1224" s="14">
        <v>0.229174837638873</v>
      </c>
      <c r="AD1224" s="14">
        <v>0.19622378546587799</v>
      </c>
      <c r="AE1224" s="14">
        <v>0.16029427647429101</v>
      </c>
      <c r="AF1224" s="14">
        <v>0.24126239389180401</v>
      </c>
      <c r="AG1224" s="14">
        <v>0</v>
      </c>
      <c r="AH1224" s="14"/>
      <c r="AI1224" s="14">
        <v>0.14703642257881799</v>
      </c>
      <c r="AJ1224" s="14">
        <v>0.16750749976378099</v>
      </c>
      <c r="AK1224" s="14">
        <v>0.190782682035884</v>
      </c>
      <c r="AL1224" s="14">
        <v>0</v>
      </c>
      <c r="AM1224" s="14">
        <v>0</v>
      </c>
      <c r="AN1224" s="14">
        <v>0.43179900266210303</v>
      </c>
      <c r="AO1224" s="14"/>
      <c r="AP1224" s="14">
        <v>0.18473803153031801</v>
      </c>
      <c r="AQ1224" s="14">
        <v>0.17814784008243301</v>
      </c>
      <c r="AR1224" s="14"/>
      <c r="AS1224" s="14" t="s">
        <v>88</v>
      </c>
      <c r="AT1224" s="14">
        <v>0.182951140418562</v>
      </c>
      <c r="AU1224" s="14">
        <v>0</v>
      </c>
      <c r="AV1224" s="14"/>
      <c r="AW1224" s="14">
        <v>0.22199366573022</v>
      </c>
      <c r="AX1224" s="14">
        <v>0.11371879887017899</v>
      </c>
      <c r="AY1224" s="14"/>
      <c r="AZ1224" s="14">
        <v>0.18464117750473399</v>
      </c>
      <c r="BA1224" s="14">
        <v>0.16673394215434201</v>
      </c>
    </row>
    <row r="1225" spans="2:53" x14ac:dyDescent="0.35">
      <c r="B1225" t="s">
        <v>223</v>
      </c>
      <c r="C1225" s="14">
        <v>6.6942938041665997E-2</v>
      </c>
      <c r="D1225" s="14">
        <v>8.0813713976293805E-2</v>
      </c>
      <c r="E1225" s="14">
        <v>5.3010457204141E-2</v>
      </c>
      <c r="F1225" s="14"/>
      <c r="G1225" s="14">
        <v>0</v>
      </c>
      <c r="H1225" s="14">
        <v>0</v>
      </c>
      <c r="I1225" s="14">
        <v>9.1364934065714803E-2</v>
      </c>
      <c r="J1225" s="14">
        <v>7.1253376926709605E-2</v>
      </c>
      <c r="K1225" s="14">
        <v>0</v>
      </c>
      <c r="L1225" s="14" t="s">
        <v>88</v>
      </c>
      <c r="M1225" s="14"/>
      <c r="N1225" s="14">
        <v>3.2305218619882503E-2</v>
      </c>
      <c r="O1225" s="14">
        <v>8.4977287860201506E-2</v>
      </c>
      <c r="P1225" s="14">
        <v>6.5357973993508997E-2</v>
      </c>
      <c r="Q1225" s="14">
        <v>9.0687215848163402E-2</v>
      </c>
      <c r="R1225" s="14"/>
      <c r="S1225" s="14">
        <v>9.6880274683718598E-2</v>
      </c>
      <c r="T1225" s="14">
        <v>7.6387537853758999E-2</v>
      </c>
      <c r="U1225" s="14">
        <v>0.106846801510254</v>
      </c>
      <c r="V1225" s="14">
        <v>0</v>
      </c>
      <c r="W1225" s="14">
        <v>0</v>
      </c>
      <c r="X1225" s="14">
        <v>9.1110034885494906E-2</v>
      </c>
      <c r="Y1225" s="14">
        <v>9.3189830709826296E-2</v>
      </c>
      <c r="Z1225" s="14">
        <v>0</v>
      </c>
      <c r="AA1225" s="14">
        <v>0</v>
      </c>
      <c r="AB1225" s="14"/>
      <c r="AC1225" s="14">
        <v>0</v>
      </c>
      <c r="AD1225" s="14">
        <v>0.142078134702252</v>
      </c>
      <c r="AE1225" s="14">
        <v>3.9620091503514802E-2</v>
      </c>
      <c r="AF1225" s="14">
        <v>1.5075758051127401E-2</v>
      </c>
      <c r="AG1225" s="14">
        <v>0.28986786526745301</v>
      </c>
      <c r="AH1225" s="14"/>
      <c r="AI1225" s="14">
        <v>4.2580371225638999E-2</v>
      </c>
      <c r="AJ1225" s="14">
        <v>9.1966199059024395E-2</v>
      </c>
      <c r="AK1225" s="14">
        <v>0.16392049399688999</v>
      </c>
      <c r="AL1225" s="14">
        <v>0</v>
      </c>
      <c r="AM1225" s="14">
        <v>0</v>
      </c>
      <c r="AN1225" s="14">
        <v>0</v>
      </c>
      <c r="AO1225" s="14"/>
      <c r="AP1225" s="14">
        <v>9.1414110698862294E-2</v>
      </c>
      <c r="AQ1225" s="14">
        <v>3.3002467357347999E-2</v>
      </c>
      <c r="AR1225" s="14"/>
      <c r="AS1225" s="14" t="s">
        <v>88</v>
      </c>
      <c r="AT1225" s="14">
        <v>6.7301247769795097E-2</v>
      </c>
      <c r="AU1225" s="14">
        <v>0</v>
      </c>
      <c r="AV1225" s="14"/>
      <c r="AW1225" s="14">
        <v>4.0198393546089603E-2</v>
      </c>
      <c r="AX1225" s="14">
        <v>7.99473039295691E-2</v>
      </c>
      <c r="AY1225" s="14"/>
      <c r="AZ1225" s="14">
        <v>6.3320970140601701E-2</v>
      </c>
      <c r="BA1225" s="14">
        <v>8.7667025981971E-2</v>
      </c>
    </row>
    <row r="1226" spans="2:53" x14ac:dyDescent="0.35">
      <c r="B1226" t="s">
        <v>116</v>
      </c>
      <c r="C1226" s="14">
        <v>9.8636474490538997E-3</v>
      </c>
      <c r="D1226" s="14">
        <v>0</v>
      </c>
      <c r="E1226" s="14">
        <v>1.97711738714921E-2</v>
      </c>
      <c r="F1226" s="14"/>
      <c r="G1226" s="14">
        <v>0</v>
      </c>
      <c r="H1226" s="14">
        <v>0</v>
      </c>
      <c r="I1226" s="14">
        <v>1.53433960795894E-2</v>
      </c>
      <c r="J1226" s="14">
        <v>0</v>
      </c>
      <c r="K1226" s="14">
        <v>0</v>
      </c>
      <c r="L1226" s="14" t="s">
        <v>88</v>
      </c>
      <c r="M1226" s="14"/>
      <c r="N1226" s="14">
        <v>0</v>
      </c>
      <c r="O1226" s="14">
        <v>0</v>
      </c>
      <c r="P1226" s="14">
        <v>0</v>
      </c>
      <c r="Q1226" s="14">
        <v>3.6748003967693101E-2</v>
      </c>
      <c r="R1226" s="14"/>
      <c r="S1226" s="14">
        <v>0</v>
      </c>
      <c r="T1226" s="14">
        <v>4.6701521249806303E-2</v>
      </c>
      <c r="U1226" s="14">
        <v>0</v>
      </c>
      <c r="V1226" s="14">
        <v>0</v>
      </c>
      <c r="W1226" s="14">
        <v>0</v>
      </c>
      <c r="X1226" s="14">
        <v>0</v>
      </c>
      <c r="Y1226" s="14">
        <v>0</v>
      </c>
      <c r="Z1226" s="14">
        <v>0</v>
      </c>
      <c r="AA1226" s="14">
        <v>0</v>
      </c>
      <c r="AB1226" s="14"/>
      <c r="AC1226" s="14">
        <v>0</v>
      </c>
      <c r="AD1226" s="14">
        <v>0</v>
      </c>
      <c r="AE1226" s="14">
        <v>3.4381883954947602E-2</v>
      </c>
      <c r="AF1226" s="14">
        <v>0</v>
      </c>
      <c r="AG1226" s="14">
        <v>0</v>
      </c>
      <c r="AH1226" s="14"/>
      <c r="AI1226" s="14">
        <v>0</v>
      </c>
      <c r="AJ1226" s="14">
        <v>0</v>
      </c>
      <c r="AK1226" s="14">
        <v>0</v>
      </c>
      <c r="AL1226" s="14">
        <v>0</v>
      </c>
      <c r="AM1226" s="14">
        <v>0</v>
      </c>
      <c r="AN1226" s="14">
        <v>0</v>
      </c>
      <c r="AO1226" s="14"/>
      <c r="AP1226" s="14">
        <v>0</v>
      </c>
      <c r="AQ1226" s="14">
        <v>2.35441049316099E-2</v>
      </c>
      <c r="AR1226" s="14"/>
      <c r="AS1226" s="14" t="s">
        <v>88</v>
      </c>
      <c r="AT1226" s="14">
        <v>9.9164422760994603E-3</v>
      </c>
      <c r="AU1226" s="14">
        <v>0</v>
      </c>
      <c r="AV1226" s="14"/>
      <c r="AW1226" s="14">
        <v>1.33932421036514E-2</v>
      </c>
      <c r="AX1226" s="14">
        <v>0</v>
      </c>
      <c r="AY1226" s="14"/>
      <c r="AZ1226" s="14">
        <v>1.1587526181415699E-2</v>
      </c>
      <c r="BA1226" s="14">
        <v>0</v>
      </c>
    </row>
    <row r="1227" spans="2:53" x14ac:dyDescent="0.35">
      <c r="B1227" t="s">
        <v>224</v>
      </c>
      <c r="C1227" s="14">
        <v>0.70228514395184605</v>
      </c>
      <c r="D1227" s="14">
        <v>0.75477492910608002</v>
      </c>
      <c r="E1227" s="14">
        <v>0.64956185512692299</v>
      </c>
      <c r="F1227" s="14"/>
      <c r="G1227" s="14">
        <v>1</v>
      </c>
      <c r="H1227" s="14">
        <v>0.696668207662551</v>
      </c>
      <c r="I1227" s="14">
        <v>0.67403844987242401</v>
      </c>
      <c r="J1227" s="14">
        <v>0.76744267437892</v>
      </c>
      <c r="K1227" s="14">
        <v>1</v>
      </c>
      <c r="L1227" s="14" t="s">
        <v>88</v>
      </c>
      <c r="M1227" s="14"/>
      <c r="N1227" s="14">
        <v>0.81878726741490804</v>
      </c>
      <c r="O1227" s="14">
        <v>0.68228767448096905</v>
      </c>
      <c r="P1227" s="14">
        <v>0.67682649065324596</v>
      </c>
      <c r="Q1227" s="14">
        <v>0.609586379160026</v>
      </c>
      <c r="R1227" s="14"/>
      <c r="S1227" s="14">
        <v>0.73843593838455002</v>
      </c>
      <c r="T1227" s="14">
        <v>0.59461765688742796</v>
      </c>
      <c r="U1227" s="14">
        <v>0.89315319848974595</v>
      </c>
      <c r="V1227" s="14">
        <v>1</v>
      </c>
      <c r="W1227" s="14">
        <v>0.58262355704275004</v>
      </c>
      <c r="X1227" s="14">
        <v>0.69018001149058705</v>
      </c>
      <c r="Y1227" s="14">
        <v>0.562505213374346</v>
      </c>
      <c r="Z1227" s="14">
        <v>0.85371258778081005</v>
      </c>
      <c r="AA1227" s="14">
        <v>0.85617588896398</v>
      </c>
      <c r="AB1227" s="14"/>
      <c r="AC1227" s="14">
        <v>0.72907570107714403</v>
      </c>
      <c r="AD1227" s="14">
        <v>0.61744700837100097</v>
      </c>
      <c r="AE1227" s="14">
        <v>0.73071036597499395</v>
      </c>
      <c r="AF1227" s="14">
        <v>0.68782458470512997</v>
      </c>
      <c r="AG1227" s="14">
        <v>0.71013213473254699</v>
      </c>
      <c r="AH1227" s="14"/>
      <c r="AI1227" s="14">
        <v>0.78925743327059805</v>
      </c>
      <c r="AJ1227" s="14">
        <v>0.66856369779076397</v>
      </c>
      <c r="AK1227" s="14">
        <v>0.47926327185052803</v>
      </c>
      <c r="AL1227" s="14">
        <v>1</v>
      </c>
      <c r="AM1227" s="14">
        <v>1</v>
      </c>
      <c r="AN1227" s="14">
        <v>0.56820099733789697</v>
      </c>
      <c r="AO1227" s="14"/>
      <c r="AP1227" s="14">
        <v>0.69050922740954701</v>
      </c>
      <c r="AQ1227" s="14">
        <v>0.71861783694468995</v>
      </c>
      <c r="AR1227" s="14"/>
      <c r="AS1227" s="14" t="s">
        <v>88</v>
      </c>
      <c r="AT1227" s="14">
        <v>0.70604410055518196</v>
      </c>
      <c r="AU1227" s="14">
        <v>0</v>
      </c>
      <c r="AV1227" s="14"/>
      <c r="AW1227" s="14">
        <v>0.68447970120883606</v>
      </c>
      <c r="AX1227" s="14">
        <v>0.78051968074029199</v>
      </c>
      <c r="AY1227" s="14"/>
      <c r="AZ1227" s="14">
        <v>0.71632291784179303</v>
      </c>
      <c r="BA1227" s="14">
        <v>0.62196415035720298</v>
      </c>
    </row>
    <row r="1228" spans="2:53" x14ac:dyDescent="0.35"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</row>
    <row r="1229" spans="2:53" x14ac:dyDescent="0.35">
      <c r="B1229" s="6" t="s">
        <v>330</v>
      </c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</row>
    <row r="1230" spans="2:53" x14ac:dyDescent="0.35">
      <c r="B1230" s="24" t="s">
        <v>328</v>
      </c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</row>
    <row r="1231" spans="2:53" x14ac:dyDescent="0.35">
      <c r="B1231" t="s">
        <v>226</v>
      </c>
      <c r="C1231" s="14">
        <v>0.29476303833267298</v>
      </c>
      <c r="D1231" s="14">
        <v>0.28446035844888101</v>
      </c>
      <c r="E1231" s="14">
        <v>0.30511155024956899</v>
      </c>
      <c r="F1231" s="14"/>
      <c r="G1231" s="14">
        <v>0</v>
      </c>
      <c r="H1231" s="14">
        <v>0.30240783113453701</v>
      </c>
      <c r="I1231" s="14">
        <v>0.32081132185573602</v>
      </c>
      <c r="J1231" s="14">
        <v>0.237297184122051</v>
      </c>
      <c r="K1231" s="14">
        <v>0</v>
      </c>
      <c r="L1231" s="14" t="s">
        <v>88</v>
      </c>
      <c r="M1231" s="14"/>
      <c r="N1231" s="14">
        <v>0.29439445119312102</v>
      </c>
      <c r="O1231" s="14">
        <v>0.38008608571227198</v>
      </c>
      <c r="P1231" s="14">
        <v>0.158739686940011</v>
      </c>
      <c r="Q1231" s="14">
        <v>0.32114150395764102</v>
      </c>
      <c r="R1231" s="14"/>
      <c r="S1231" s="14">
        <v>0.28057489299247601</v>
      </c>
      <c r="T1231" s="14">
        <v>0.21035551209379</v>
      </c>
      <c r="U1231" s="14">
        <v>0.308410894954248</v>
      </c>
      <c r="V1231" s="14">
        <v>0.12887863951139</v>
      </c>
      <c r="W1231" s="14">
        <v>0.230200136928042</v>
      </c>
      <c r="X1231" s="14">
        <v>0.29240965695251597</v>
      </c>
      <c r="Y1231" s="14">
        <v>0.32454049899910398</v>
      </c>
      <c r="Z1231" s="14">
        <v>0.53808150824087098</v>
      </c>
      <c r="AA1231" s="14">
        <v>0.402415342886427</v>
      </c>
      <c r="AB1231" s="14"/>
      <c r="AC1231" s="14">
        <v>0.40039382440077798</v>
      </c>
      <c r="AD1231" s="14">
        <v>0.23566597483475701</v>
      </c>
      <c r="AE1231" s="14">
        <v>0.26010969641439102</v>
      </c>
      <c r="AF1231" s="14">
        <v>0.38152651623631001</v>
      </c>
      <c r="AG1231" s="14">
        <v>0.44488390970075797</v>
      </c>
      <c r="AH1231" s="14"/>
      <c r="AI1231" s="14">
        <v>0.35481362205623201</v>
      </c>
      <c r="AJ1231" s="14">
        <v>0.20755450388424701</v>
      </c>
      <c r="AK1231" s="14">
        <v>0.366758388837849</v>
      </c>
      <c r="AL1231" s="14">
        <v>0.27931935601163899</v>
      </c>
      <c r="AM1231" s="14">
        <v>0.15668697653653399</v>
      </c>
      <c r="AN1231" s="14">
        <v>0.16273181362884301</v>
      </c>
      <c r="AO1231" s="14"/>
      <c r="AP1231" s="14">
        <v>0.28702166830437498</v>
      </c>
      <c r="AQ1231" s="14">
        <v>0.30549998772952403</v>
      </c>
      <c r="AR1231" s="14"/>
      <c r="AS1231" s="14" t="s">
        <v>88</v>
      </c>
      <c r="AT1231" s="14">
        <v>0.29634074715778902</v>
      </c>
      <c r="AU1231" s="14">
        <v>0</v>
      </c>
      <c r="AV1231" s="14"/>
      <c r="AW1231" s="14">
        <v>0.29469601731607398</v>
      </c>
      <c r="AX1231" s="14">
        <v>0.29783031597194298</v>
      </c>
      <c r="AY1231" s="14"/>
      <c r="AZ1231" s="14">
        <v>0.27077889026579999</v>
      </c>
      <c r="BA1231" s="14">
        <v>0.43199495404488197</v>
      </c>
    </row>
    <row r="1232" spans="2:53" x14ac:dyDescent="0.35">
      <c r="B1232" t="s">
        <v>227</v>
      </c>
      <c r="C1232" s="14">
        <v>0.43116021800837601</v>
      </c>
      <c r="D1232" s="14">
        <v>0.52415386042768797</v>
      </c>
      <c r="E1232" s="14">
        <v>0.33775288830130501</v>
      </c>
      <c r="F1232" s="14"/>
      <c r="G1232" s="14">
        <v>1</v>
      </c>
      <c r="H1232" s="14">
        <v>0.28341958354088898</v>
      </c>
      <c r="I1232" s="14">
        <v>0.46016732932007698</v>
      </c>
      <c r="J1232" s="14">
        <v>0.333252543590638</v>
      </c>
      <c r="K1232" s="14">
        <v>1</v>
      </c>
      <c r="L1232" s="14" t="s">
        <v>88</v>
      </c>
      <c r="M1232" s="14"/>
      <c r="N1232" s="14">
        <v>0.47234925392874499</v>
      </c>
      <c r="O1232" s="14">
        <v>0.30861797428177601</v>
      </c>
      <c r="P1232" s="14">
        <v>0.55739808596287399</v>
      </c>
      <c r="Q1232" s="14">
        <v>0.39942962867489201</v>
      </c>
      <c r="R1232" s="14"/>
      <c r="S1232" s="14">
        <v>0.393936269720709</v>
      </c>
      <c r="T1232" s="14">
        <v>0.53192668127545795</v>
      </c>
      <c r="U1232" s="14">
        <v>0.56091386180917402</v>
      </c>
      <c r="V1232" s="14">
        <v>0.87112136048861</v>
      </c>
      <c r="W1232" s="14">
        <v>0.22564172754390099</v>
      </c>
      <c r="X1232" s="14">
        <v>0.434151265724118</v>
      </c>
      <c r="Y1232" s="14">
        <v>0.28353963581409403</v>
      </c>
      <c r="Z1232" s="14">
        <v>0.29257482443837901</v>
      </c>
      <c r="AA1232" s="14">
        <v>0.49888161908900103</v>
      </c>
      <c r="AB1232" s="14"/>
      <c r="AC1232" s="14">
        <v>0.34860680115678999</v>
      </c>
      <c r="AD1232" s="14">
        <v>0.40260360865781097</v>
      </c>
      <c r="AE1232" s="14">
        <v>0.392512333521287</v>
      </c>
      <c r="AF1232" s="14">
        <v>0.421100298598173</v>
      </c>
      <c r="AG1232" s="14">
        <v>0.26524822503178902</v>
      </c>
      <c r="AH1232" s="14"/>
      <c r="AI1232" s="14">
        <v>0.41859757702137801</v>
      </c>
      <c r="AJ1232" s="14">
        <v>0.43870538276975601</v>
      </c>
      <c r="AK1232" s="14">
        <v>0.27988383230001901</v>
      </c>
      <c r="AL1232" s="14">
        <v>0.57511294090088705</v>
      </c>
      <c r="AM1232" s="14">
        <v>0.746220813697275</v>
      </c>
      <c r="AN1232" s="14">
        <v>0.67778881545457204</v>
      </c>
      <c r="AO1232" s="14"/>
      <c r="AP1232" s="14">
        <v>0.4513499711474</v>
      </c>
      <c r="AQ1232" s="14">
        <v>0.40315789322656298</v>
      </c>
      <c r="AR1232" s="14"/>
      <c r="AS1232" s="14" t="s">
        <v>88</v>
      </c>
      <c r="AT1232" s="14">
        <v>0.43346798795415498</v>
      </c>
      <c r="AU1232" s="14">
        <v>0</v>
      </c>
      <c r="AV1232" s="14"/>
      <c r="AW1232" s="14">
        <v>0.42567113912538801</v>
      </c>
      <c r="AX1232" s="14">
        <v>0.41939925868183098</v>
      </c>
      <c r="AY1232" s="14"/>
      <c r="AZ1232" s="14">
        <v>0.47537427741654098</v>
      </c>
      <c r="BA1232" s="14">
        <v>0.17817728707090799</v>
      </c>
    </row>
    <row r="1233" spans="2:53" x14ac:dyDescent="0.35">
      <c r="B1233" t="s">
        <v>228</v>
      </c>
      <c r="C1233" s="14">
        <v>0.170678085147525</v>
      </c>
      <c r="D1233" s="14">
        <v>0.16351192197357201</v>
      </c>
      <c r="E1233" s="14">
        <v>0.17787612738901501</v>
      </c>
      <c r="F1233" s="14"/>
      <c r="G1233" s="14">
        <v>0</v>
      </c>
      <c r="H1233" s="14">
        <v>0.26073096204171498</v>
      </c>
      <c r="I1233" s="14">
        <v>0.14052157533227599</v>
      </c>
      <c r="J1233" s="14">
        <v>0.23945975223527799</v>
      </c>
      <c r="K1233" s="14">
        <v>0</v>
      </c>
      <c r="L1233" s="14" t="s">
        <v>88</v>
      </c>
      <c r="M1233" s="14"/>
      <c r="N1233" s="14">
        <v>0.13124952145319699</v>
      </c>
      <c r="O1233" s="14">
        <v>0.20260165002984001</v>
      </c>
      <c r="P1233" s="14">
        <v>0.19136566278134801</v>
      </c>
      <c r="Q1233" s="14">
        <v>0.171053799701227</v>
      </c>
      <c r="R1233" s="14"/>
      <c r="S1233" s="14">
        <v>0.213391660114719</v>
      </c>
      <c r="T1233" s="14">
        <v>7.7746125155131199E-2</v>
      </c>
      <c r="U1233" s="14">
        <v>0.130675243236578</v>
      </c>
      <c r="V1233" s="14">
        <v>0</v>
      </c>
      <c r="W1233" s="14">
        <v>0.38293399858267202</v>
      </c>
      <c r="X1233" s="14">
        <v>0.21460196486734001</v>
      </c>
      <c r="Y1233" s="14">
        <v>0.20446222453043</v>
      </c>
      <c r="Z1233" s="14">
        <v>0.16934366732075001</v>
      </c>
      <c r="AA1233" s="14">
        <v>9.8703038024571199E-2</v>
      </c>
      <c r="AB1233" s="14"/>
      <c r="AC1233" s="14">
        <v>0.20924991315844901</v>
      </c>
      <c r="AD1233" s="14">
        <v>0.252396520069882</v>
      </c>
      <c r="AE1233" s="14">
        <v>0.229314695156219</v>
      </c>
      <c r="AF1233" s="14">
        <v>9.7045446363348706E-2</v>
      </c>
      <c r="AG1233" s="14">
        <v>0</v>
      </c>
      <c r="AH1233" s="14"/>
      <c r="AI1233" s="14">
        <v>0.17812790697782499</v>
      </c>
      <c r="AJ1233" s="14">
        <v>0.23429710554049499</v>
      </c>
      <c r="AK1233" s="14">
        <v>0.11498074730357</v>
      </c>
      <c r="AL1233" s="14">
        <v>0.14556770308747399</v>
      </c>
      <c r="AM1233" s="14">
        <v>0</v>
      </c>
      <c r="AN1233" s="14">
        <v>0.15947937091658501</v>
      </c>
      <c r="AO1233" s="14"/>
      <c r="AP1233" s="14">
        <v>0.17032812063702699</v>
      </c>
      <c r="AQ1233" s="14">
        <v>0.17116347096762899</v>
      </c>
      <c r="AR1233" s="14"/>
      <c r="AS1233" s="14" t="s">
        <v>88</v>
      </c>
      <c r="AT1233" s="14">
        <v>0.17159163361246901</v>
      </c>
      <c r="AU1233" s="14">
        <v>0</v>
      </c>
      <c r="AV1233" s="14"/>
      <c r="AW1233" s="14">
        <v>0.166839036289086</v>
      </c>
      <c r="AX1233" s="14">
        <v>0.24095365614931699</v>
      </c>
      <c r="AY1233" s="14"/>
      <c r="AZ1233" s="14">
        <v>0.15916809960041001</v>
      </c>
      <c r="BA1233" s="14">
        <v>0.23653564081497699</v>
      </c>
    </row>
    <row r="1234" spans="2:53" x14ac:dyDescent="0.35">
      <c r="B1234" t="s">
        <v>229</v>
      </c>
      <c r="C1234" s="14">
        <v>6.0372767603894199E-2</v>
      </c>
      <c r="D1234" s="14">
        <v>2.2682481290795899E-2</v>
      </c>
      <c r="E1234" s="14">
        <v>9.8230721210306002E-2</v>
      </c>
      <c r="F1234" s="14"/>
      <c r="G1234" s="14">
        <v>0</v>
      </c>
      <c r="H1234" s="14">
        <v>8.4657200955392503E-2</v>
      </c>
      <c r="I1234" s="14">
        <v>5.4498207449093103E-2</v>
      </c>
      <c r="J1234" s="14">
        <v>7.1253376926709605E-2</v>
      </c>
      <c r="K1234" s="14">
        <v>0</v>
      </c>
      <c r="L1234" s="14" t="s">
        <v>88</v>
      </c>
      <c r="M1234" s="14"/>
      <c r="N1234" s="14">
        <v>4.6414926368801901E-2</v>
      </c>
      <c r="O1234" s="14">
        <v>7.8436083190030897E-2</v>
      </c>
      <c r="P1234" s="14">
        <v>5.0485003552350798E-2</v>
      </c>
      <c r="Q1234" s="14">
        <v>6.7328193984361004E-2</v>
      </c>
      <c r="R1234" s="14"/>
      <c r="S1234" s="14">
        <v>9.6880274683718598E-2</v>
      </c>
      <c r="T1234" s="14">
        <v>0.12780690416750801</v>
      </c>
      <c r="U1234" s="14">
        <v>0</v>
      </c>
      <c r="V1234" s="14">
        <v>0</v>
      </c>
      <c r="W1234" s="14">
        <v>0</v>
      </c>
      <c r="X1234" s="14">
        <v>2.9418557400302501E-2</v>
      </c>
      <c r="Y1234" s="14">
        <v>9.3189830709826296E-2</v>
      </c>
      <c r="Z1234" s="14">
        <v>0</v>
      </c>
      <c r="AA1234" s="14">
        <v>0</v>
      </c>
      <c r="AB1234" s="14"/>
      <c r="AC1234" s="14">
        <v>0</v>
      </c>
      <c r="AD1234" s="14">
        <v>6.5082824976681997E-2</v>
      </c>
      <c r="AE1234" s="14">
        <v>0.108995357550716</v>
      </c>
      <c r="AF1234" s="14">
        <v>2.94147173991024E-2</v>
      </c>
      <c r="AG1234" s="14">
        <v>0.28986786526745301</v>
      </c>
      <c r="AH1234" s="14"/>
      <c r="AI1234" s="14">
        <v>2.07566068135164E-2</v>
      </c>
      <c r="AJ1234" s="14">
        <v>9.82292542667378E-2</v>
      </c>
      <c r="AK1234" s="14">
        <v>0</v>
      </c>
      <c r="AL1234" s="14">
        <v>0</v>
      </c>
      <c r="AM1234" s="14">
        <v>0</v>
      </c>
      <c r="AN1234" s="14">
        <v>0</v>
      </c>
      <c r="AO1234" s="14"/>
      <c r="AP1234" s="14">
        <v>5.3484507555074098E-2</v>
      </c>
      <c r="AQ1234" s="14">
        <v>6.9926489917409407E-2</v>
      </c>
      <c r="AR1234" s="14"/>
      <c r="AS1234" s="14" t="s">
        <v>88</v>
      </c>
      <c r="AT1234" s="14">
        <v>6.0695910725176001E-2</v>
      </c>
      <c r="AU1234" s="14">
        <v>0</v>
      </c>
      <c r="AV1234" s="14"/>
      <c r="AW1234" s="14">
        <v>7.0831169716192299E-2</v>
      </c>
      <c r="AX1234" s="14">
        <v>0</v>
      </c>
      <c r="AY1234" s="14"/>
      <c r="AZ1234" s="14">
        <v>5.3947333362315698E-2</v>
      </c>
      <c r="BA1234" s="14">
        <v>9.7137661140911297E-2</v>
      </c>
    </row>
    <row r="1235" spans="2:53" x14ac:dyDescent="0.35">
      <c r="B1235" t="s">
        <v>116</v>
      </c>
      <c r="C1235" s="14">
        <v>7.1202487170018902E-3</v>
      </c>
      <c r="D1235" s="14">
        <v>0</v>
      </c>
      <c r="E1235" s="14">
        <v>1.4272172248574799E-2</v>
      </c>
      <c r="F1235" s="14"/>
      <c r="G1235" s="14">
        <v>0</v>
      </c>
      <c r="H1235" s="14">
        <v>3.5188671964751499E-2</v>
      </c>
      <c r="I1235" s="14">
        <v>0</v>
      </c>
      <c r="J1235" s="14">
        <v>0</v>
      </c>
      <c r="K1235" s="14">
        <v>0</v>
      </c>
      <c r="L1235" s="14" t="s">
        <v>88</v>
      </c>
      <c r="M1235" s="14"/>
      <c r="N1235" s="14">
        <v>0</v>
      </c>
      <c r="O1235" s="14">
        <v>3.0258206786081199E-2</v>
      </c>
      <c r="P1235" s="14">
        <v>0</v>
      </c>
      <c r="Q1235" s="14">
        <v>0</v>
      </c>
      <c r="R1235" s="14"/>
      <c r="S1235" s="14">
        <v>0</v>
      </c>
      <c r="T1235" s="14">
        <v>0</v>
      </c>
      <c r="U1235" s="14">
        <v>0</v>
      </c>
      <c r="V1235" s="14">
        <v>0</v>
      </c>
      <c r="W1235" s="14">
        <v>9.2248144449320502E-2</v>
      </c>
      <c r="X1235" s="14">
        <v>0</v>
      </c>
      <c r="Y1235" s="14">
        <v>0</v>
      </c>
      <c r="Z1235" s="14">
        <v>0</v>
      </c>
      <c r="AA1235" s="14">
        <v>0</v>
      </c>
      <c r="AB1235" s="14"/>
      <c r="AC1235" s="14">
        <v>0</v>
      </c>
      <c r="AD1235" s="14">
        <v>0</v>
      </c>
      <c r="AE1235" s="14">
        <v>0</v>
      </c>
      <c r="AF1235" s="14">
        <v>0</v>
      </c>
      <c r="AG1235" s="14">
        <v>0</v>
      </c>
      <c r="AH1235" s="14"/>
      <c r="AI1235" s="14">
        <v>0</v>
      </c>
      <c r="AJ1235" s="14">
        <v>0</v>
      </c>
      <c r="AK1235" s="14">
        <v>7.2343479441864797E-2</v>
      </c>
      <c r="AL1235" s="14">
        <v>0</v>
      </c>
      <c r="AM1235" s="14">
        <v>0</v>
      </c>
      <c r="AN1235" s="14">
        <v>0</v>
      </c>
      <c r="AO1235" s="14"/>
      <c r="AP1235" s="14">
        <v>0</v>
      </c>
      <c r="AQ1235" s="14">
        <v>1.6995729399101E-2</v>
      </c>
      <c r="AR1235" s="14"/>
      <c r="AS1235" s="14" t="s">
        <v>88</v>
      </c>
      <c r="AT1235" s="14">
        <v>7.1583595985471897E-3</v>
      </c>
      <c r="AU1235" s="14">
        <v>0</v>
      </c>
      <c r="AV1235" s="14"/>
      <c r="AW1235" s="14">
        <v>9.6681491707376905E-3</v>
      </c>
      <c r="AX1235" s="14">
        <v>0</v>
      </c>
      <c r="AY1235" s="14"/>
      <c r="AZ1235" s="14">
        <v>8.3646611309455103E-3</v>
      </c>
      <c r="BA1235" s="14">
        <v>0</v>
      </c>
    </row>
    <row r="1236" spans="2:53" x14ac:dyDescent="0.35"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</row>
    <row r="1237" spans="2:53" x14ac:dyDescent="0.35">
      <c r="B1237" s="6" t="s">
        <v>331</v>
      </c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</row>
    <row r="1238" spans="2:53" x14ac:dyDescent="0.35">
      <c r="B1238" s="24" t="s">
        <v>328</v>
      </c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</row>
    <row r="1239" spans="2:53" x14ac:dyDescent="0.35">
      <c r="B1239" t="s">
        <v>231</v>
      </c>
      <c r="C1239" s="14">
        <v>0.14879641986040801</v>
      </c>
      <c r="D1239" s="14">
        <v>0.114174375381346</v>
      </c>
      <c r="E1239" s="14">
        <v>0.183572482391722</v>
      </c>
      <c r="F1239" s="14"/>
      <c r="G1239" s="14">
        <v>0</v>
      </c>
      <c r="H1239" s="14">
        <v>0.15152859989166101</v>
      </c>
      <c r="I1239" s="14">
        <v>0.14355943942260299</v>
      </c>
      <c r="J1239" s="14">
        <v>0.224372091154455</v>
      </c>
      <c r="K1239" s="14">
        <v>0</v>
      </c>
      <c r="L1239" s="14" t="s">
        <v>88</v>
      </c>
      <c r="M1239" s="14"/>
      <c r="N1239" s="14">
        <v>2.9108374785638901E-2</v>
      </c>
      <c r="O1239" s="14">
        <v>0.19833715955807801</v>
      </c>
      <c r="P1239" s="14">
        <v>0.20075123418377999</v>
      </c>
      <c r="Q1239" s="14">
        <v>0.199495400238589</v>
      </c>
      <c r="R1239" s="14"/>
      <c r="S1239" s="14">
        <v>0.150261604452089</v>
      </c>
      <c r="T1239" s="14">
        <v>0.16979058035337199</v>
      </c>
      <c r="U1239" s="14">
        <v>0.17476435742687199</v>
      </c>
      <c r="V1239" s="14">
        <v>0</v>
      </c>
      <c r="W1239" s="14">
        <v>0.184496292169091</v>
      </c>
      <c r="X1239" s="14">
        <v>0.100114815019631</v>
      </c>
      <c r="Y1239" s="14">
        <v>0.122298158863185</v>
      </c>
      <c r="Z1239" s="14">
        <v>0.185848546146474</v>
      </c>
      <c r="AA1239" s="14">
        <v>0.17086889729581101</v>
      </c>
      <c r="AB1239" s="14"/>
      <c r="AC1239" s="14">
        <v>0.18666573017117299</v>
      </c>
      <c r="AD1239" s="14">
        <v>0.13704394477418799</v>
      </c>
      <c r="AE1239" s="14">
        <v>0.14350024337345399</v>
      </c>
      <c r="AF1239" s="14">
        <v>9.8365210588479704E-2</v>
      </c>
      <c r="AG1239" s="14">
        <v>0.28986786526745301</v>
      </c>
      <c r="AH1239" s="14"/>
      <c r="AI1239" s="14">
        <v>0.16839142331270299</v>
      </c>
      <c r="AJ1239" s="14">
        <v>0.10732179157093499</v>
      </c>
      <c r="AK1239" s="14">
        <v>0.23626397343875499</v>
      </c>
      <c r="AL1239" s="14">
        <v>8.2308156933420903E-2</v>
      </c>
      <c r="AM1239" s="14">
        <v>0.15668697653653399</v>
      </c>
      <c r="AN1239" s="14">
        <v>0.16273181362884301</v>
      </c>
      <c r="AO1239" s="14"/>
      <c r="AP1239" s="14">
        <v>0.18871559394526</v>
      </c>
      <c r="AQ1239" s="14">
        <v>9.3430231376151904E-2</v>
      </c>
      <c r="AR1239" s="14"/>
      <c r="AS1239" s="14" t="s">
        <v>88</v>
      </c>
      <c r="AT1239" s="14">
        <v>0.14959284747930901</v>
      </c>
      <c r="AU1239" s="14">
        <v>0</v>
      </c>
      <c r="AV1239" s="14"/>
      <c r="AW1239" s="14">
        <v>0.123058272193353</v>
      </c>
      <c r="AX1239" s="14">
        <v>0.147406456610192</v>
      </c>
      <c r="AY1239" s="14"/>
      <c r="AZ1239" s="14">
        <v>0.16498754088817599</v>
      </c>
      <c r="BA1239" s="14">
        <v>5.6154456928321897E-2</v>
      </c>
    </row>
    <row r="1240" spans="2:53" x14ac:dyDescent="0.35">
      <c r="B1240" t="s">
        <v>232</v>
      </c>
      <c r="C1240" s="14">
        <v>0.64421407432854505</v>
      </c>
      <c r="D1240" s="14">
        <v>0.68287890258711903</v>
      </c>
      <c r="E1240" s="14">
        <v>0.60537724347368704</v>
      </c>
      <c r="F1240" s="14"/>
      <c r="G1240" s="14">
        <v>0</v>
      </c>
      <c r="H1240" s="14">
        <v>0.52359600248141402</v>
      </c>
      <c r="I1240" s="14">
        <v>0.70326378391872701</v>
      </c>
      <c r="J1240" s="14">
        <v>0.544301330772617</v>
      </c>
      <c r="K1240" s="14">
        <v>1</v>
      </c>
      <c r="L1240" s="14" t="s">
        <v>88</v>
      </c>
      <c r="M1240" s="14"/>
      <c r="N1240" s="14">
        <v>0.82138530844680102</v>
      </c>
      <c r="O1240" s="14">
        <v>0.55785815808169703</v>
      </c>
      <c r="P1240" s="14">
        <v>0.65131477328041698</v>
      </c>
      <c r="Q1240" s="14">
        <v>0.51834491148334005</v>
      </c>
      <c r="R1240" s="14"/>
      <c r="S1240" s="14">
        <v>0.64660139935166805</v>
      </c>
      <c r="T1240" s="14">
        <v>0.57535599857109199</v>
      </c>
      <c r="U1240" s="14">
        <v>0.82523564257312798</v>
      </c>
      <c r="V1240" s="14">
        <v>0.921206667758387</v>
      </c>
      <c r="W1240" s="14">
        <v>0.60857572612657296</v>
      </c>
      <c r="X1240" s="14">
        <v>0.68068766751836995</v>
      </c>
      <c r="Y1240" s="14">
        <v>0.55184662430153597</v>
      </c>
      <c r="Z1240" s="14">
        <v>0.46191849175912902</v>
      </c>
      <c r="AA1240" s="14">
        <v>0.76141969882958105</v>
      </c>
      <c r="AB1240" s="14"/>
      <c r="AC1240" s="14">
        <v>0.62286908122113505</v>
      </c>
      <c r="AD1240" s="14">
        <v>0.693470851799173</v>
      </c>
      <c r="AE1240" s="14">
        <v>0.63769912242877003</v>
      </c>
      <c r="AF1240" s="14">
        <v>0.63889264152971903</v>
      </c>
      <c r="AG1240" s="14">
        <v>0.45971961556927299</v>
      </c>
      <c r="AH1240" s="14"/>
      <c r="AI1240" s="14">
        <v>0.65023518566953697</v>
      </c>
      <c r="AJ1240" s="14">
        <v>0.80336796154587098</v>
      </c>
      <c r="AK1240" s="14">
        <v>0.54107014002544396</v>
      </c>
      <c r="AL1240" s="14">
        <v>0.613251719861442</v>
      </c>
      <c r="AM1240" s="14">
        <v>0.84331302346346604</v>
      </c>
      <c r="AN1240" s="14">
        <v>0.67778881545457204</v>
      </c>
      <c r="AO1240" s="14"/>
      <c r="AP1240" s="14">
        <v>0.59670931312168296</v>
      </c>
      <c r="AQ1240" s="14">
        <v>0.71010114797611201</v>
      </c>
      <c r="AR1240" s="14"/>
      <c r="AS1240" s="14" t="s">
        <v>88</v>
      </c>
      <c r="AT1240" s="14">
        <v>0.64766220756831905</v>
      </c>
      <c r="AU1240" s="14">
        <v>0</v>
      </c>
      <c r="AV1240" s="14"/>
      <c r="AW1240" s="14">
        <v>0.640776909315663</v>
      </c>
      <c r="AX1240" s="14">
        <v>0.76191011662272501</v>
      </c>
      <c r="AY1240" s="14"/>
      <c r="AZ1240" s="14">
        <v>0.66049385063013</v>
      </c>
      <c r="BA1240" s="14">
        <v>0.551064845804626</v>
      </c>
    </row>
    <row r="1241" spans="2:53" x14ac:dyDescent="0.35">
      <c r="B1241" t="s">
        <v>233</v>
      </c>
      <c r="C1241" s="14">
        <v>0.194574660499825</v>
      </c>
      <c r="D1241" s="14">
        <v>0.20294672203153499</v>
      </c>
      <c r="E1241" s="14">
        <v>0.18616535539599599</v>
      </c>
      <c r="F1241" s="14"/>
      <c r="G1241" s="14">
        <v>1</v>
      </c>
      <c r="H1241" s="14">
        <v>0.28983188364872697</v>
      </c>
      <c r="I1241" s="14">
        <v>0.15317677665866999</v>
      </c>
      <c r="J1241" s="14">
        <v>0.18511008702783799</v>
      </c>
      <c r="K1241" s="14">
        <v>0</v>
      </c>
      <c r="L1241" s="14" t="s">
        <v>88</v>
      </c>
      <c r="M1241" s="14"/>
      <c r="N1241" s="14">
        <v>0.13160568485270399</v>
      </c>
      <c r="O1241" s="14">
        <v>0.213671294731235</v>
      </c>
      <c r="P1241" s="14">
        <v>0.147933992535803</v>
      </c>
      <c r="Q1241" s="14">
        <v>0.28215968827807097</v>
      </c>
      <c r="R1241" s="14"/>
      <c r="S1241" s="14">
        <v>0.20313699619624401</v>
      </c>
      <c r="T1241" s="14">
        <v>0.221280168145982</v>
      </c>
      <c r="U1241" s="14">
        <v>0</v>
      </c>
      <c r="V1241" s="14">
        <v>7.8793332241612696E-2</v>
      </c>
      <c r="W1241" s="14">
        <v>0.13795198920827101</v>
      </c>
      <c r="X1241" s="14">
        <v>0.219197517461999</v>
      </c>
      <c r="Y1241" s="14">
        <v>0.32585521683527902</v>
      </c>
      <c r="Z1241" s="14">
        <v>0.35223296209439697</v>
      </c>
      <c r="AA1241" s="14">
        <v>6.7711403874607501E-2</v>
      </c>
      <c r="AB1241" s="14"/>
      <c r="AC1241" s="14">
        <v>0.19046518860769199</v>
      </c>
      <c r="AD1241" s="14">
        <v>0.131925382595381</v>
      </c>
      <c r="AE1241" s="14">
        <v>0.21880063419777601</v>
      </c>
      <c r="AF1241" s="14">
        <v>0.244550670219916</v>
      </c>
      <c r="AG1241" s="14">
        <v>0.25041251916327401</v>
      </c>
      <c r="AH1241" s="14"/>
      <c r="AI1241" s="14">
        <v>0.18137339101776001</v>
      </c>
      <c r="AJ1241" s="14">
        <v>8.9310246883194097E-2</v>
      </c>
      <c r="AK1241" s="14">
        <v>0.16857305545601001</v>
      </c>
      <c r="AL1241" s="14">
        <v>0.30444012320513703</v>
      </c>
      <c r="AM1241" s="14">
        <v>0</v>
      </c>
      <c r="AN1241" s="14">
        <v>0.15947937091658501</v>
      </c>
      <c r="AO1241" s="14"/>
      <c r="AP1241" s="14">
        <v>0.202371674577563</v>
      </c>
      <c r="AQ1241" s="14">
        <v>0.18376053518438501</v>
      </c>
      <c r="AR1241" s="14"/>
      <c r="AS1241" s="14" t="s">
        <v>88</v>
      </c>
      <c r="AT1241" s="14">
        <v>0.19561611454627101</v>
      </c>
      <c r="AU1241" s="14">
        <v>0</v>
      </c>
      <c r="AV1241" s="14"/>
      <c r="AW1241" s="14">
        <v>0.226536551730948</v>
      </c>
      <c r="AX1241" s="14">
        <v>9.0683426767082895E-2</v>
      </c>
      <c r="AY1241" s="14"/>
      <c r="AZ1241" s="14">
        <v>0.159934009242412</v>
      </c>
      <c r="BA1241" s="14">
        <v>0.392780697267052</v>
      </c>
    </row>
    <row r="1242" spans="2:53" x14ac:dyDescent="0.35">
      <c r="B1242" t="s">
        <v>116</v>
      </c>
      <c r="C1242" s="14">
        <v>1.2414845311222601E-2</v>
      </c>
      <c r="D1242" s="14">
        <v>0</v>
      </c>
      <c r="E1242" s="14">
        <v>2.48849187385955E-2</v>
      </c>
      <c r="F1242" s="14"/>
      <c r="G1242" s="14">
        <v>0</v>
      </c>
      <c r="H1242" s="14">
        <v>3.5043513978197098E-2</v>
      </c>
      <c r="I1242" s="14">
        <v>0</v>
      </c>
      <c r="J1242" s="14">
        <v>4.6216491045090402E-2</v>
      </c>
      <c r="K1242" s="14">
        <v>0</v>
      </c>
      <c r="L1242" s="14" t="s">
        <v>88</v>
      </c>
      <c r="M1242" s="14"/>
      <c r="N1242" s="14">
        <v>1.7900631914856201E-2</v>
      </c>
      <c r="O1242" s="14">
        <v>3.01333876289895E-2</v>
      </c>
      <c r="P1242" s="14">
        <v>0</v>
      </c>
      <c r="Q1242" s="14">
        <v>0</v>
      </c>
      <c r="R1242" s="14"/>
      <c r="S1242" s="14">
        <v>0</v>
      </c>
      <c r="T1242" s="14">
        <v>3.3573252929554202E-2</v>
      </c>
      <c r="U1242" s="14">
        <v>0</v>
      </c>
      <c r="V1242" s="14">
        <v>0</v>
      </c>
      <c r="W1242" s="14">
        <v>6.8975992496064606E-2</v>
      </c>
      <c r="X1242" s="14">
        <v>0</v>
      </c>
      <c r="Y1242" s="14">
        <v>0</v>
      </c>
      <c r="Z1242" s="14">
        <v>0</v>
      </c>
      <c r="AA1242" s="14">
        <v>0</v>
      </c>
      <c r="AB1242" s="14"/>
      <c r="AC1242" s="14">
        <v>0</v>
      </c>
      <c r="AD1242" s="14">
        <v>3.7559820831258202E-2</v>
      </c>
      <c r="AE1242" s="14">
        <v>0</v>
      </c>
      <c r="AF1242" s="14">
        <v>1.81914776618846E-2</v>
      </c>
      <c r="AG1242" s="14">
        <v>0</v>
      </c>
      <c r="AH1242" s="14"/>
      <c r="AI1242" s="14">
        <v>0</v>
      </c>
      <c r="AJ1242" s="14">
        <v>0</v>
      </c>
      <c r="AK1242" s="14">
        <v>5.4092831079791202E-2</v>
      </c>
      <c r="AL1242" s="14">
        <v>0</v>
      </c>
      <c r="AM1242" s="14">
        <v>0</v>
      </c>
      <c r="AN1242" s="14">
        <v>0</v>
      </c>
      <c r="AO1242" s="14"/>
      <c r="AP1242" s="14">
        <v>1.22034183554946E-2</v>
      </c>
      <c r="AQ1242" s="14">
        <v>1.2708085463351299E-2</v>
      </c>
      <c r="AR1242" s="14"/>
      <c r="AS1242" s="14" t="s">
        <v>88</v>
      </c>
      <c r="AT1242" s="14">
        <v>7.1288304061014303E-3</v>
      </c>
      <c r="AU1242" s="14">
        <v>1</v>
      </c>
      <c r="AV1242" s="14"/>
      <c r="AW1242" s="14">
        <v>9.6282667600363601E-3</v>
      </c>
      <c r="AX1242" s="14">
        <v>0</v>
      </c>
      <c r="AY1242" s="14"/>
      <c r="AZ1242" s="14">
        <v>1.45845992392821E-2</v>
      </c>
      <c r="BA1242" s="14">
        <v>0</v>
      </c>
    </row>
    <row r="1243" spans="2:53" x14ac:dyDescent="0.35"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</row>
    <row r="1244" spans="2:53" x14ac:dyDescent="0.35">
      <c r="B1244" s="6" t="s">
        <v>332</v>
      </c>
      <c r="C1244" s="14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</row>
    <row r="1245" spans="2:53" x14ac:dyDescent="0.35">
      <c r="B1245" s="24" t="s">
        <v>328</v>
      </c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</row>
    <row r="1246" spans="2:53" x14ac:dyDescent="0.35">
      <c r="B1246" t="s">
        <v>235</v>
      </c>
      <c r="C1246" s="14">
        <v>0.34050372993210698</v>
      </c>
      <c r="D1246" s="14">
        <v>0.27064197916214999</v>
      </c>
      <c r="E1246" s="14">
        <v>0.41067626450881001</v>
      </c>
      <c r="F1246" s="14"/>
      <c r="G1246" s="14">
        <v>1</v>
      </c>
      <c r="H1246" s="14">
        <v>0.39108276699146999</v>
      </c>
      <c r="I1246" s="14">
        <v>0.32634732515261</v>
      </c>
      <c r="J1246" s="14">
        <v>0.26935783465139401</v>
      </c>
      <c r="K1246" s="14">
        <v>0.188023065896891</v>
      </c>
      <c r="L1246" s="14" t="s">
        <v>88</v>
      </c>
      <c r="M1246" s="14"/>
      <c r="N1246" s="14">
        <v>0.31157272428168598</v>
      </c>
      <c r="O1246" s="14">
        <v>0.38675298420431498</v>
      </c>
      <c r="P1246" s="14">
        <v>0.24131569196265701</v>
      </c>
      <c r="Q1246" s="14">
        <v>0.40549757152075699</v>
      </c>
      <c r="R1246" s="14"/>
      <c r="S1246" s="14">
        <v>0.338476340202221</v>
      </c>
      <c r="T1246" s="14">
        <v>0.29342120128382598</v>
      </c>
      <c r="U1246" s="14">
        <v>0.33536597880511199</v>
      </c>
      <c r="V1246" s="14">
        <v>0.74258271912261298</v>
      </c>
      <c r="W1246" s="14">
        <v>0.48367241832274799</v>
      </c>
      <c r="X1246" s="14">
        <v>0.257474670958518</v>
      </c>
      <c r="Y1246" s="14">
        <v>0.29484083639928199</v>
      </c>
      <c r="Z1246" s="14">
        <v>0.53808150824087098</v>
      </c>
      <c r="AA1246" s="14">
        <v>0.32861288529342297</v>
      </c>
      <c r="AB1246" s="14"/>
      <c r="AC1246" s="14">
        <v>0.55522414094720596</v>
      </c>
      <c r="AD1246" s="14">
        <v>0.36687852539460702</v>
      </c>
      <c r="AE1246" s="14">
        <v>0.23850285190724299</v>
      </c>
      <c r="AF1246" s="14">
        <v>0.40296290261658901</v>
      </c>
      <c r="AG1246" s="14">
        <v>0.194471390537484</v>
      </c>
      <c r="AH1246" s="14"/>
      <c r="AI1246" s="14">
        <v>0.42042907270787799</v>
      </c>
      <c r="AJ1246" s="14">
        <v>0.17460394560756501</v>
      </c>
      <c r="AK1246" s="14">
        <v>0.36735281454940799</v>
      </c>
      <c r="AL1246" s="14">
        <v>0.44772006905429901</v>
      </c>
      <c r="AM1246" s="14">
        <v>0.41720228594271203</v>
      </c>
      <c r="AN1246" s="14">
        <v>0.23552346415995001</v>
      </c>
      <c r="AO1246" s="14"/>
      <c r="AP1246" s="14">
        <v>0.38420445418250498</v>
      </c>
      <c r="AQ1246" s="14">
        <v>0.27989269297520197</v>
      </c>
      <c r="AR1246" s="14"/>
      <c r="AS1246" s="14" t="s">
        <v>88</v>
      </c>
      <c r="AT1246" s="14">
        <v>0.33697379927559601</v>
      </c>
      <c r="AU1246" s="14">
        <v>1</v>
      </c>
      <c r="AV1246" s="14"/>
      <c r="AW1246" s="14">
        <v>0.35054696494634502</v>
      </c>
      <c r="AX1246" s="14">
        <v>0.33312347467743197</v>
      </c>
      <c r="AY1246" s="14"/>
      <c r="AZ1246" s="14">
        <v>0.33609897696114299</v>
      </c>
      <c r="BA1246" s="14">
        <v>0.36570673846753698</v>
      </c>
    </row>
    <row r="1247" spans="2:53" x14ac:dyDescent="0.35">
      <c r="B1247" t="s">
        <v>236</v>
      </c>
      <c r="C1247" s="14">
        <v>0.55975850015055895</v>
      </c>
      <c r="D1247" s="14">
        <v>0.63200311517769603</v>
      </c>
      <c r="E1247" s="14">
        <v>0.48719250101512701</v>
      </c>
      <c r="F1247" s="14"/>
      <c r="G1247" s="14">
        <v>0</v>
      </c>
      <c r="H1247" s="14">
        <v>0.47319684432299602</v>
      </c>
      <c r="I1247" s="14">
        <v>0.57399276794570697</v>
      </c>
      <c r="J1247" s="14">
        <v>0.65938878842189697</v>
      </c>
      <c r="K1247" s="14">
        <v>0.811976934103109</v>
      </c>
      <c r="L1247" s="14" t="s">
        <v>88</v>
      </c>
      <c r="M1247" s="14"/>
      <c r="N1247" s="14">
        <v>0.63573530545758405</v>
      </c>
      <c r="O1247" s="14">
        <v>0.57423627134080202</v>
      </c>
      <c r="P1247" s="14">
        <v>0.593365350519514</v>
      </c>
      <c r="Q1247" s="14">
        <v>0.437981568666099</v>
      </c>
      <c r="R1247" s="14"/>
      <c r="S1247" s="14">
        <v>0.57358114503514201</v>
      </c>
      <c r="T1247" s="14">
        <v>0.53595760962446204</v>
      </c>
      <c r="U1247" s="14">
        <v>0.66463402119488801</v>
      </c>
      <c r="V1247" s="14">
        <v>0.25741728087738702</v>
      </c>
      <c r="W1247" s="14">
        <v>0.51632758167725301</v>
      </c>
      <c r="X1247" s="14">
        <v>0.53233261056021897</v>
      </c>
      <c r="Y1247" s="14">
        <v>0.64454907378748605</v>
      </c>
      <c r="Z1247" s="14">
        <v>0.46191849175912902</v>
      </c>
      <c r="AA1247" s="14">
        <v>0.57499432625041402</v>
      </c>
      <c r="AB1247" s="14"/>
      <c r="AC1247" s="14">
        <v>0.34490022233200801</v>
      </c>
      <c r="AD1247" s="14">
        <v>0.536756458281198</v>
      </c>
      <c r="AE1247" s="14">
        <v>0.69511685810745705</v>
      </c>
      <c r="AF1247" s="14">
        <v>0.52762639878770801</v>
      </c>
      <c r="AG1247" s="14">
        <v>0.51566074419506303</v>
      </c>
      <c r="AH1247" s="14"/>
      <c r="AI1247" s="14">
        <v>0.51585822761492695</v>
      </c>
      <c r="AJ1247" s="14">
        <v>0.73342985533341098</v>
      </c>
      <c r="AK1247" s="14">
        <v>0.46872669145370199</v>
      </c>
      <c r="AL1247" s="14">
        <v>0.53051624203556302</v>
      </c>
      <c r="AM1247" s="14">
        <v>0.40630015647640899</v>
      </c>
      <c r="AN1247" s="14">
        <v>0.59885045960928596</v>
      </c>
      <c r="AO1247" s="14"/>
      <c r="AP1247" s="14">
        <v>0.51770938673343003</v>
      </c>
      <c r="AQ1247" s="14">
        <v>0.61807882346436305</v>
      </c>
      <c r="AR1247" s="14"/>
      <c r="AS1247" s="14" t="s">
        <v>88</v>
      </c>
      <c r="AT1247" s="14">
        <v>0.56275458789146504</v>
      </c>
      <c r="AU1247" s="14">
        <v>0</v>
      </c>
      <c r="AV1247" s="14"/>
      <c r="AW1247" s="14">
        <v>0.578948587174686</v>
      </c>
      <c r="AX1247" s="14">
        <v>0.52249025856256104</v>
      </c>
      <c r="AY1247" s="14"/>
      <c r="AZ1247" s="14">
        <v>0.54673199138373796</v>
      </c>
      <c r="BA1247" s="14">
        <v>0.63429326153246302</v>
      </c>
    </row>
    <row r="1248" spans="2:53" x14ac:dyDescent="0.35">
      <c r="B1248" t="s">
        <v>237</v>
      </c>
      <c r="C1248" s="14">
        <v>7.8714272982465805E-2</v>
      </c>
      <c r="D1248" s="14">
        <v>8.1349444374247196E-2</v>
      </c>
      <c r="E1248" s="14">
        <v>7.6067378887094306E-2</v>
      </c>
      <c r="F1248" s="14"/>
      <c r="G1248" s="14">
        <v>0</v>
      </c>
      <c r="H1248" s="14">
        <v>5.7500187756766998E-2</v>
      </c>
      <c r="I1248" s="14">
        <v>9.1577211461528196E-2</v>
      </c>
      <c r="J1248" s="14">
        <v>7.1253376926709605E-2</v>
      </c>
      <c r="K1248" s="14">
        <v>0</v>
      </c>
      <c r="L1248" s="14" t="s">
        <v>88</v>
      </c>
      <c r="M1248" s="14"/>
      <c r="N1248" s="14">
        <v>8.2544021953528408E-3</v>
      </c>
      <c r="O1248" s="14">
        <v>3.9010744454882902E-2</v>
      </c>
      <c r="P1248" s="14">
        <v>0.16531895751782899</v>
      </c>
      <c r="Q1248" s="14">
        <v>0.12743521981585601</v>
      </c>
      <c r="R1248" s="14"/>
      <c r="S1248" s="14">
        <v>5.7548848329538299E-2</v>
      </c>
      <c r="T1248" s="14">
        <v>0.17062118909171201</v>
      </c>
      <c r="U1248" s="14">
        <v>0</v>
      </c>
      <c r="V1248" s="14">
        <v>0</v>
      </c>
      <c r="W1248" s="14">
        <v>0</v>
      </c>
      <c r="X1248" s="14">
        <v>0.15546357593521601</v>
      </c>
      <c r="Y1248" s="14">
        <v>6.0610089813232897E-2</v>
      </c>
      <c r="Z1248" s="14">
        <v>0</v>
      </c>
      <c r="AA1248" s="14">
        <v>2.2590330863159001E-2</v>
      </c>
      <c r="AB1248" s="14"/>
      <c r="AC1248" s="14">
        <v>9.9875636720786198E-2</v>
      </c>
      <c r="AD1248" s="14">
        <v>6.8842012178771006E-2</v>
      </c>
      <c r="AE1248" s="14">
        <v>6.6380289985299698E-2</v>
      </c>
      <c r="AF1248" s="14">
        <v>4.2005467206780202E-2</v>
      </c>
      <c r="AG1248" s="14">
        <v>0.28986786526745301</v>
      </c>
      <c r="AH1248" s="14"/>
      <c r="AI1248" s="14">
        <v>4.39705334900614E-2</v>
      </c>
      <c r="AJ1248" s="14">
        <v>6.5699549869396398E-2</v>
      </c>
      <c r="AK1248" s="14">
        <v>0.16392049399688999</v>
      </c>
      <c r="AL1248" s="14">
        <v>2.1763688910137701E-2</v>
      </c>
      <c r="AM1248" s="14">
        <v>0</v>
      </c>
      <c r="AN1248" s="14">
        <v>0.165626076230764</v>
      </c>
      <c r="AO1248" s="14"/>
      <c r="AP1248" s="14">
        <v>8.4282871287064701E-2</v>
      </c>
      <c r="AQ1248" s="14">
        <v>7.0990865111597107E-2</v>
      </c>
      <c r="AR1248" s="14"/>
      <c r="AS1248" s="14" t="s">
        <v>88</v>
      </c>
      <c r="AT1248" s="14">
        <v>7.9135588368035997E-2</v>
      </c>
      <c r="AU1248" s="14">
        <v>0</v>
      </c>
      <c r="AV1248" s="14"/>
      <c r="AW1248" s="14">
        <v>5.28484639537549E-2</v>
      </c>
      <c r="AX1248" s="14">
        <v>9.5049030045526298E-2</v>
      </c>
      <c r="AY1248" s="14"/>
      <c r="AZ1248" s="14">
        <v>9.2471238833958205E-2</v>
      </c>
      <c r="BA1248" s="14">
        <v>0</v>
      </c>
    </row>
    <row r="1249" spans="2:53" x14ac:dyDescent="0.35">
      <c r="B1249" t="s">
        <v>238</v>
      </c>
      <c r="C1249" s="14">
        <v>5.1960372948867397E-3</v>
      </c>
      <c r="D1249" s="14">
        <v>0</v>
      </c>
      <c r="E1249" s="14">
        <v>1.04151894449367E-2</v>
      </c>
      <c r="F1249" s="14"/>
      <c r="G1249" s="14">
        <v>0</v>
      </c>
      <c r="H1249" s="14">
        <v>0</v>
      </c>
      <c r="I1249" s="14">
        <v>8.0826954401551302E-3</v>
      </c>
      <c r="J1249" s="14">
        <v>0</v>
      </c>
      <c r="K1249" s="14">
        <v>0</v>
      </c>
      <c r="L1249" s="14" t="s">
        <v>88</v>
      </c>
      <c r="M1249" s="14"/>
      <c r="N1249" s="14">
        <v>1.7470492121765602E-2</v>
      </c>
      <c r="O1249" s="14">
        <v>0</v>
      </c>
      <c r="P1249" s="14">
        <v>0</v>
      </c>
      <c r="Q1249" s="14">
        <v>0</v>
      </c>
      <c r="R1249" s="14"/>
      <c r="S1249" s="14">
        <v>3.0393666433099001E-2</v>
      </c>
      <c r="T1249" s="14">
        <v>0</v>
      </c>
      <c r="U1249" s="14">
        <v>0</v>
      </c>
      <c r="V1249" s="14">
        <v>0</v>
      </c>
      <c r="W1249" s="14">
        <v>0</v>
      </c>
      <c r="X1249" s="14">
        <v>0</v>
      </c>
      <c r="Y1249" s="14">
        <v>0</v>
      </c>
      <c r="Z1249" s="14">
        <v>0</v>
      </c>
      <c r="AA1249" s="14">
        <v>0</v>
      </c>
      <c r="AB1249" s="14"/>
      <c r="AC1249" s="14">
        <v>0</v>
      </c>
      <c r="AD1249" s="14">
        <v>2.7523004145423802E-2</v>
      </c>
      <c r="AE1249" s="14">
        <v>0</v>
      </c>
      <c r="AF1249" s="14">
        <v>0</v>
      </c>
      <c r="AG1249" s="14">
        <v>0</v>
      </c>
      <c r="AH1249" s="14"/>
      <c r="AI1249" s="14">
        <v>0</v>
      </c>
      <c r="AJ1249" s="14">
        <v>2.6266649189628E-2</v>
      </c>
      <c r="AK1249" s="14">
        <v>0</v>
      </c>
      <c r="AL1249" s="14">
        <v>0</v>
      </c>
      <c r="AM1249" s="14">
        <v>0</v>
      </c>
      <c r="AN1249" s="14">
        <v>0</v>
      </c>
      <c r="AO1249" s="14"/>
      <c r="AP1249" s="14">
        <v>0</v>
      </c>
      <c r="AQ1249" s="14">
        <v>1.24027189669179E-2</v>
      </c>
      <c r="AR1249" s="14"/>
      <c r="AS1249" s="14" t="s">
        <v>88</v>
      </c>
      <c r="AT1249" s="14">
        <v>5.2238489022787002E-3</v>
      </c>
      <c r="AU1249" s="14">
        <v>0</v>
      </c>
      <c r="AV1249" s="14"/>
      <c r="AW1249" s="14">
        <v>7.0553804593548103E-3</v>
      </c>
      <c r="AX1249" s="14">
        <v>0</v>
      </c>
      <c r="AY1249" s="14"/>
      <c r="AZ1249" s="14">
        <v>6.10415350965201E-3</v>
      </c>
      <c r="BA1249" s="14">
        <v>0</v>
      </c>
    </row>
    <row r="1250" spans="2:53" x14ac:dyDescent="0.35">
      <c r="B1250" t="s">
        <v>116</v>
      </c>
      <c r="C1250" s="14">
        <v>1.5827459639982298E-2</v>
      </c>
      <c r="D1250" s="14">
        <v>1.6005461285907099E-2</v>
      </c>
      <c r="E1250" s="14">
        <v>1.5648666144032E-2</v>
      </c>
      <c r="F1250" s="14"/>
      <c r="G1250" s="14">
        <v>0</v>
      </c>
      <c r="H1250" s="14">
        <v>7.8220200928766498E-2</v>
      </c>
      <c r="I1250" s="14">
        <v>0</v>
      </c>
      <c r="J1250" s="14">
        <v>0</v>
      </c>
      <c r="K1250" s="14">
        <v>0</v>
      </c>
      <c r="L1250" s="14" t="s">
        <v>88</v>
      </c>
      <c r="M1250" s="14"/>
      <c r="N1250" s="14">
        <v>2.6967075943612102E-2</v>
      </c>
      <c r="O1250" s="14">
        <v>0</v>
      </c>
      <c r="P1250" s="14">
        <v>0</v>
      </c>
      <c r="Q1250" s="14">
        <v>2.9085639997287301E-2</v>
      </c>
      <c r="R1250" s="14"/>
      <c r="S1250" s="14">
        <v>0</v>
      </c>
      <c r="T1250" s="14">
        <v>0</v>
      </c>
      <c r="U1250" s="14">
        <v>0</v>
      </c>
      <c r="V1250" s="14">
        <v>0</v>
      </c>
      <c r="W1250" s="14">
        <v>0</v>
      </c>
      <c r="X1250" s="14">
        <v>5.4729142546047001E-2</v>
      </c>
      <c r="Y1250" s="14">
        <v>0</v>
      </c>
      <c r="Z1250" s="14">
        <v>0</v>
      </c>
      <c r="AA1250" s="14">
        <v>7.3802457593004703E-2</v>
      </c>
      <c r="AB1250" s="14"/>
      <c r="AC1250" s="14">
        <v>0</v>
      </c>
      <c r="AD1250" s="14">
        <v>0</v>
      </c>
      <c r="AE1250" s="14">
        <v>0</v>
      </c>
      <c r="AF1250" s="14">
        <v>2.74052313889225E-2</v>
      </c>
      <c r="AG1250" s="14">
        <v>0</v>
      </c>
      <c r="AH1250" s="14"/>
      <c r="AI1250" s="14">
        <v>1.9742166187133502E-2</v>
      </c>
      <c r="AJ1250" s="14">
        <v>0</v>
      </c>
      <c r="AK1250" s="14">
        <v>0</v>
      </c>
      <c r="AL1250" s="14">
        <v>0</v>
      </c>
      <c r="AM1250" s="14">
        <v>0.17649755758088001</v>
      </c>
      <c r="AN1250" s="14">
        <v>0</v>
      </c>
      <c r="AO1250" s="14"/>
      <c r="AP1250" s="14">
        <v>1.38032877970003E-2</v>
      </c>
      <c r="AQ1250" s="14">
        <v>1.8634899481920101E-2</v>
      </c>
      <c r="AR1250" s="14"/>
      <c r="AS1250" s="14" t="s">
        <v>88</v>
      </c>
      <c r="AT1250" s="14">
        <v>1.5912175562624399E-2</v>
      </c>
      <c r="AU1250" s="14">
        <v>0</v>
      </c>
      <c r="AV1250" s="14"/>
      <c r="AW1250" s="14">
        <v>1.06006034658586E-2</v>
      </c>
      <c r="AX1250" s="14">
        <v>4.9337236714480197E-2</v>
      </c>
      <c r="AY1250" s="14"/>
      <c r="AZ1250" s="14">
        <v>1.8593639311509098E-2</v>
      </c>
      <c r="BA1250" s="14">
        <v>0</v>
      </c>
    </row>
    <row r="1251" spans="2:53" x14ac:dyDescent="0.35"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</row>
    <row r="1252" spans="2:53" x14ac:dyDescent="0.35">
      <c r="B1252" s="6" t="s">
        <v>333</v>
      </c>
      <c r="C1252" s="14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</row>
    <row r="1253" spans="2:53" x14ac:dyDescent="0.35">
      <c r="B1253" s="24" t="s">
        <v>328</v>
      </c>
      <c r="C1253" s="14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</row>
    <row r="1254" spans="2:53" x14ac:dyDescent="0.35">
      <c r="B1254" t="s">
        <v>220</v>
      </c>
      <c r="C1254" s="14">
        <v>0.31613195258799898</v>
      </c>
      <c r="D1254" s="14">
        <v>0.31930097603813601</v>
      </c>
      <c r="E1254" s="14">
        <v>0.31294883156428799</v>
      </c>
      <c r="F1254" s="14"/>
      <c r="G1254" s="14">
        <v>0</v>
      </c>
      <c r="H1254" s="14">
        <v>0.33622203215396701</v>
      </c>
      <c r="I1254" s="14">
        <v>0.34212559833644202</v>
      </c>
      <c r="J1254" s="14">
        <v>0.24445625363915099</v>
      </c>
      <c r="K1254" s="14">
        <v>0</v>
      </c>
      <c r="L1254" s="14" t="s">
        <v>88</v>
      </c>
      <c r="M1254" s="14"/>
      <c r="N1254" s="14">
        <v>0.30506582114959002</v>
      </c>
      <c r="O1254" s="14">
        <v>0.32068047967909102</v>
      </c>
      <c r="P1254" s="14">
        <v>0.223212502758252</v>
      </c>
      <c r="Q1254" s="14">
        <v>0.393245174645177</v>
      </c>
      <c r="R1254" s="14"/>
      <c r="S1254" s="14">
        <v>0.202040338490312</v>
      </c>
      <c r="T1254" s="14">
        <v>0.453185655421732</v>
      </c>
      <c r="U1254" s="14">
        <v>0.22851917729485899</v>
      </c>
      <c r="V1254" s="14">
        <v>0.66378938688099998</v>
      </c>
      <c r="W1254" s="14">
        <v>0.161224144431977</v>
      </c>
      <c r="X1254" s="14">
        <v>0.358279944305542</v>
      </c>
      <c r="Y1254" s="14">
        <v>0.384559271804636</v>
      </c>
      <c r="Z1254" s="14">
        <v>0.185848546146474</v>
      </c>
      <c r="AA1254" s="14">
        <v>0.25413677645377503</v>
      </c>
      <c r="AB1254" s="14"/>
      <c r="AC1254" s="14">
        <v>0.21372813140087699</v>
      </c>
      <c r="AD1254" s="14">
        <v>0.21871424047042901</v>
      </c>
      <c r="AE1254" s="14">
        <v>0.28279260361272002</v>
      </c>
      <c r="AF1254" s="14">
        <v>0.330190844754852</v>
      </c>
      <c r="AG1254" s="14">
        <v>0.92199077540812002</v>
      </c>
      <c r="AH1254" s="14"/>
      <c r="AI1254" s="14">
        <v>0.33579496764352001</v>
      </c>
      <c r="AJ1254" s="14">
        <v>0.268231099950828</v>
      </c>
      <c r="AK1254" s="14">
        <v>0.43261659880166198</v>
      </c>
      <c r="AL1254" s="14">
        <v>0.21877488798835601</v>
      </c>
      <c r="AM1254" s="14">
        <v>0.69813359742200998</v>
      </c>
      <c r="AN1254" s="14">
        <v>0.51637796364674005</v>
      </c>
      <c r="AO1254" s="14"/>
      <c r="AP1254" s="14">
        <v>0.35612138335416499</v>
      </c>
      <c r="AQ1254" s="14">
        <v>0.260668321089225</v>
      </c>
      <c r="AR1254" s="14"/>
      <c r="AS1254" s="14" t="s">
        <v>88</v>
      </c>
      <c r="AT1254" s="14">
        <v>0.317824037777242</v>
      </c>
      <c r="AU1254" s="14">
        <v>0</v>
      </c>
      <c r="AV1254" s="14"/>
      <c r="AW1254" s="14">
        <v>0.29137960245186101</v>
      </c>
      <c r="AX1254" s="14">
        <v>0.28287333600092401</v>
      </c>
      <c r="AY1254" s="14"/>
      <c r="AZ1254" s="14">
        <v>0.34594135638866602</v>
      </c>
      <c r="BA1254" s="14">
        <v>0.14556923014322901</v>
      </c>
    </row>
    <row r="1255" spans="2:53" x14ac:dyDescent="0.35">
      <c r="B1255" t="s">
        <v>221</v>
      </c>
      <c r="C1255" s="14">
        <v>0.49362938849462401</v>
      </c>
      <c r="D1255" s="14">
        <v>0.55507106230866399</v>
      </c>
      <c r="E1255" s="14">
        <v>0.431914388045188</v>
      </c>
      <c r="F1255" s="14"/>
      <c r="G1255" s="14">
        <v>0</v>
      </c>
      <c r="H1255" s="14">
        <v>0.53064497214345996</v>
      </c>
      <c r="I1255" s="14">
        <v>0.45022671800719199</v>
      </c>
      <c r="J1255" s="14">
        <v>0.63680660323552596</v>
      </c>
      <c r="K1255" s="14">
        <v>1</v>
      </c>
      <c r="L1255" s="14" t="s">
        <v>88</v>
      </c>
      <c r="M1255" s="14"/>
      <c r="N1255" s="14">
        <v>0.576589485738083</v>
      </c>
      <c r="O1255" s="14">
        <v>0.57703319239449302</v>
      </c>
      <c r="P1255" s="14">
        <v>0.46848699043228698</v>
      </c>
      <c r="Q1255" s="14">
        <v>0.34721160119641098</v>
      </c>
      <c r="R1255" s="14"/>
      <c r="S1255" s="14">
        <v>0.64353053849643105</v>
      </c>
      <c r="T1255" s="14">
        <v>0.19539088276254099</v>
      </c>
      <c r="U1255" s="14">
        <v>0.77148082270514096</v>
      </c>
      <c r="V1255" s="14">
        <v>0.33621061311900002</v>
      </c>
      <c r="W1255" s="14">
        <v>0.76979986307195802</v>
      </c>
      <c r="X1255" s="14">
        <v>0.45242867831744199</v>
      </c>
      <c r="Y1255" s="14">
        <v>0.31015839016868202</v>
      </c>
      <c r="Z1255" s="14">
        <v>0.50147955242546205</v>
      </c>
      <c r="AA1255" s="14">
        <v>0.74586322354622503</v>
      </c>
      <c r="AB1255" s="14"/>
      <c r="AC1255" s="14">
        <v>0.64464677059435305</v>
      </c>
      <c r="AD1255" s="14">
        <v>0.50506354802041897</v>
      </c>
      <c r="AE1255" s="14">
        <v>0.54126047042340797</v>
      </c>
      <c r="AF1255" s="14">
        <v>0.419080725237166</v>
      </c>
      <c r="AG1255" s="14">
        <v>7.8009224591880102E-2</v>
      </c>
      <c r="AH1255" s="14"/>
      <c r="AI1255" s="14">
        <v>0.57689433375191201</v>
      </c>
      <c r="AJ1255" s="14">
        <v>0.47797542914320701</v>
      </c>
      <c r="AK1255" s="14">
        <v>0.32554791434932701</v>
      </c>
      <c r="AL1255" s="14">
        <v>0.78122511201164402</v>
      </c>
      <c r="AM1255" s="14">
        <v>0.30186640257799102</v>
      </c>
      <c r="AN1255" s="14">
        <v>0.31799596012249598</v>
      </c>
      <c r="AO1255" s="14"/>
      <c r="AP1255" s="14">
        <v>0.51138979171792998</v>
      </c>
      <c r="AQ1255" s="14">
        <v>0.46899646822608698</v>
      </c>
      <c r="AR1255" s="14"/>
      <c r="AS1255" s="14" t="s">
        <v>88</v>
      </c>
      <c r="AT1255" s="14">
        <v>0.496271522484589</v>
      </c>
      <c r="AU1255" s="14">
        <v>0</v>
      </c>
      <c r="AV1255" s="14"/>
      <c r="AW1255" s="14">
        <v>0.48088151487122099</v>
      </c>
      <c r="AX1255" s="14">
        <v>0.61136514360954697</v>
      </c>
      <c r="AY1255" s="14"/>
      <c r="AZ1255" s="14">
        <v>0.496724990201865</v>
      </c>
      <c r="BA1255" s="14">
        <v>0.475917049854025</v>
      </c>
    </row>
    <row r="1256" spans="2:53" x14ac:dyDescent="0.35">
      <c r="B1256" t="s">
        <v>222</v>
      </c>
      <c r="C1256" s="14">
        <v>0.11990178798049</v>
      </c>
      <c r="D1256" s="14">
        <v>0.1256279616532</v>
      </c>
      <c r="E1256" s="14">
        <v>0.11415014111204</v>
      </c>
      <c r="F1256" s="14"/>
      <c r="G1256" s="14">
        <v>1</v>
      </c>
      <c r="H1256" s="14">
        <v>2.7736555713333499E-2</v>
      </c>
      <c r="I1256" s="14">
        <v>0.152686435867083</v>
      </c>
      <c r="J1256" s="14">
        <v>0</v>
      </c>
      <c r="K1256" s="14">
        <v>0</v>
      </c>
      <c r="L1256" s="14" t="s">
        <v>88</v>
      </c>
      <c r="M1256" s="14"/>
      <c r="N1256" s="14">
        <v>7.1499628074940397E-2</v>
      </c>
      <c r="O1256" s="14">
        <v>7.2152940297426693E-2</v>
      </c>
      <c r="P1256" s="14">
        <v>0.165318938941341</v>
      </c>
      <c r="Q1256" s="14">
        <v>0.181748346508839</v>
      </c>
      <c r="R1256" s="14"/>
      <c r="S1256" s="14">
        <v>0.15442912301325701</v>
      </c>
      <c r="T1256" s="14">
        <v>0.123919650351959</v>
      </c>
      <c r="U1256" s="14">
        <v>0</v>
      </c>
      <c r="V1256" s="14">
        <v>0</v>
      </c>
      <c r="W1256" s="14">
        <v>0</v>
      </c>
      <c r="X1256" s="14">
        <v>0.15987282232129299</v>
      </c>
      <c r="Y1256" s="14">
        <v>0.21101452808013599</v>
      </c>
      <c r="Z1256" s="14">
        <v>0.312671901428064</v>
      </c>
      <c r="AA1256" s="14">
        <v>0</v>
      </c>
      <c r="AB1256" s="14"/>
      <c r="AC1256" s="14">
        <v>0</v>
      </c>
      <c r="AD1256" s="14">
        <v>0.171040698855667</v>
      </c>
      <c r="AE1256" s="14">
        <v>0.106571659916671</v>
      </c>
      <c r="AF1256" s="14">
        <v>0.194891166656043</v>
      </c>
      <c r="AG1256" s="14">
        <v>0</v>
      </c>
      <c r="AH1256" s="14"/>
      <c r="AI1256" s="14">
        <v>6.6184925679623294E-2</v>
      </c>
      <c r="AJ1256" s="14">
        <v>0.15952705638277401</v>
      </c>
      <c r="AK1256" s="14">
        <v>7.5801934732313697E-2</v>
      </c>
      <c r="AL1256" s="14">
        <v>0</v>
      </c>
      <c r="AM1256" s="14">
        <v>0</v>
      </c>
      <c r="AN1256" s="14">
        <v>0</v>
      </c>
      <c r="AO1256" s="14"/>
      <c r="AP1256" s="14">
        <v>8.6946776211137902E-2</v>
      </c>
      <c r="AQ1256" s="14">
        <v>0.16560898095107801</v>
      </c>
      <c r="AR1256" s="14"/>
      <c r="AS1256" s="14" t="s">
        <v>88</v>
      </c>
      <c r="AT1256" s="14">
        <v>0.12054355809561</v>
      </c>
      <c r="AU1256" s="14">
        <v>0</v>
      </c>
      <c r="AV1256" s="14"/>
      <c r="AW1256" s="14">
        <v>0.145159990878375</v>
      </c>
      <c r="AX1256" s="14">
        <v>7.99473039295691E-2</v>
      </c>
      <c r="AY1256" s="14"/>
      <c r="AZ1256" s="14">
        <v>0.101494947274993</v>
      </c>
      <c r="BA1256" s="14">
        <v>0.22522160193351301</v>
      </c>
    </row>
    <row r="1257" spans="2:53" x14ac:dyDescent="0.35">
      <c r="B1257" t="s">
        <v>223</v>
      </c>
      <c r="C1257" s="14">
        <v>1.8393187594166902E-2</v>
      </c>
      <c r="D1257" s="14">
        <v>0</v>
      </c>
      <c r="E1257" s="14">
        <v>3.6868198286033202E-2</v>
      </c>
      <c r="F1257" s="14"/>
      <c r="G1257" s="14">
        <v>0</v>
      </c>
      <c r="H1257" s="14">
        <v>0</v>
      </c>
      <c r="I1257" s="14">
        <v>1.56162856668763E-2</v>
      </c>
      <c r="J1257" s="14">
        <v>7.2520652080232798E-2</v>
      </c>
      <c r="K1257" s="14">
        <v>0</v>
      </c>
      <c r="L1257" s="14" t="s">
        <v>88</v>
      </c>
      <c r="M1257" s="14"/>
      <c r="N1257" s="14">
        <v>0</v>
      </c>
      <c r="O1257" s="14">
        <v>0</v>
      </c>
      <c r="P1257" s="14">
        <v>9.2496564315768207E-2</v>
      </c>
      <c r="Q1257" s="14">
        <v>0</v>
      </c>
      <c r="R1257" s="14"/>
      <c r="S1257" s="14">
        <v>0</v>
      </c>
      <c r="T1257" s="14">
        <v>4.7532129988147098E-2</v>
      </c>
      <c r="U1257" s="14">
        <v>0</v>
      </c>
      <c r="V1257" s="14">
        <v>0</v>
      </c>
      <c r="W1257" s="14">
        <v>0</v>
      </c>
      <c r="X1257" s="14">
        <v>0</v>
      </c>
      <c r="Y1257" s="14">
        <v>6.1688069049951999E-2</v>
      </c>
      <c r="Z1257" s="14">
        <v>0</v>
      </c>
      <c r="AA1257" s="14">
        <v>0</v>
      </c>
      <c r="AB1257" s="14"/>
      <c r="AC1257" s="14">
        <v>9.9875636720786198E-2</v>
      </c>
      <c r="AD1257" s="14">
        <v>4.4251071460868603E-2</v>
      </c>
      <c r="AE1257" s="14">
        <v>0</v>
      </c>
      <c r="AF1257" s="14">
        <v>0</v>
      </c>
      <c r="AG1257" s="14">
        <v>0</v>
      </c>
      <c r="AH1257" s="14"/>
      <c r="AI1257" s="14">
        <v>2.1125772924945399E-2</v>
      </c>
      <c r="AJ1257" s="14">
        <v>0</v>
      </c>
      <c r="AK1257" s="14">
        <v>0</v>
      </c>
      <c r="AL1257" s="14">
        <v>0</v>
      </c>
      <c r="AM1257" s="14">
        <v>0</v>
      </c>
      <c r="AN1257" s="14">
        <v>0.165626076230764</v>
      </c>
      <c r="AO1257" s="14"/>
      <c r="AP1257" s="14">
        <v>1.4377447116745899E-2</v>
      </c>
      <c r="AQ1257" s="14">
        <v>2.3962848021112301E-2</v>
      </c>
      <c r="AR1257" s="14"/>
      <c r="AS1257" s="14" t="s">
        <v>88</v>
      </c>
      <c r="AT1257" s="14">
        <v>1.84916364857018E-2</v>
      </c>
      <c r="AU1257" s="14">
        <v>0</v>
      </c>
      <c r="AV1257" s="14"/>
      <c r="AW1257" s="14">
        <v>2.4974981697078201E-2</v>
      </c>
      <c r="AX1257" s="14">
        <v>0</v>
      </c>
      <c r="AY1257" s="14"/>
      <c r="AZ1257" s="14">
        <v>1.1793615838550301E-2</v>
      </c>
      <c r="BA1257" s="14">
        <v>5.6154456928321897E-2</v>
      </c>
    </row>
    <row r="1258" spans="2:53" x14ac:dyDescent="0.35">
      <c r="B1258" t="s">
        <v>116</v>
      </c>
      <c r="C1258" s="14">
        <v>1.4275760834665301E-2</v>
      </c>
      <c r="D1258" s="14">
        <v>0</v>
      </c>
      <c r="E1258" s="14">
        <v>2.8615028169632802E-2</v>
      </c>
      <c r="F1258" s="14"/>
      <c r="G1258" s="14">
        <v>0</v>
      </c>
      <c r="H1258" s="14">
        <v>0</v>
      </c>
      <c r="I1258" s="14">
        <v>2.2206658739082299E-2</v>
      </c>
      <c r="J1258" s="14">
        <v>0</v>
      </c>
      <c r="K1258" s="14">
        <v>0</v>
      </c>
      <c r="L1258" s="14" t="s">
        <v>88</v>
      </c>
      <c r="M1258" s="14"/>
      <c r="N1258" s="14">
        <v>1.48347264981169E-2</v>
      </c>
      <c r="O1258" s="14">
        <v>0</v>
      </c>
      <c r="P1258" s="14">
        <v>0</v>
      </c>
      <c r="Q1258" s="14">
        <v>3.6748003967693101E-2</v>
      </c>
      <c r="R1258" s="14"/>
      <c r="S1258" s="14">
        <v>0</v>
      </c>
      <c r="T1258" s="14">
        <v>4.6701521249806303E-2</v>
      </c>
      <c r="U1258" s="14">
        <v>0</v>
      </c>
      <c r="V1258" s="14">
        <v>0</v>
      </c>
      <c r="W1258" s="14">
        <v>0</v>
      </c>
      <c r="X1258" s="14">
        <v>0</v>
      </c>
      <c r="Y1258" s="14">
        <v>3.25797408965934E-2</v>
      </c>
      <c r="Z1258" s="14">
        <v>0</v>
      </c>
      <c r="AA1258" s="14">
        <v>0</v>
      </c>
      <c r="AB1258" s="14"/>
      <c r="AC1258" s="14">
        <v>0</v>
      </c>
      <c r="AD1258" s="14">
        <v>2.3370620361359201E-2</v>
      </c>
      <c r="AE1258" s="14">
        <v>3.4381883954947602E-2</v>
      </c>
      <c r="AF1258" s="14">
        <v>0</v>
      </c>
      <c r="AG1258" s="14">
        <v>0</v>
      </c>
      <c r="AH1258" s="14"/>
      <c r="AI1258" s="14">
        <v>0</v>
      </c>
      <c r="AJ1258" s="14">
        <v>2.23038111367601E-2</v>
      </c>
      <c r="AK1258" s="14">
        <v>0</v>
      </c>
      <c r="AL1258" s="14">
        <v>0</v>
      </c>
      <c r="AM1258" s="14">
        <v>0</v>
      </c>
      <c r="AN1258" s="14">
        <v>0</v>
      </c>
      <c r="AO1258" s="14"/>
      <c r="AP1258" s="14">
        <v>0</v>
      </c>
      <c r="AQ1258" s="14">
        <v>3.4075631028576997E-2</v>
      </c>
      <c r="AR1258" s="14"/>
      <c r="AS1258" s="14" t="s">
        <v>88</v>
      </c>
      <c r="AT1258" s="14">
        <v>1.4352171343871199E-2</v>
      </c>
      <c r="AU1258" s="14">
        <v>0</v>
      </c>
      <c r="AV1258" s="14"/>
      <c r="AW1258" s="14">
        <v>1.9384180351137301E-2</v>
      </c>
      <c r="AX1258" s="14">
        <v>0</v>
      </c>
      <c r="AY1258" s="14"/>
      <c r="AZ1258" s="14">
        <v>1.1587526181415699E-2</v>
      </c>
      <c r="BA1258" s="14">
        <v>2.9657236562749299E-2</v>
      </c>
    </row>
    <row r="1259" spans="2:53" x14ac:dyDescent="0.35">
      <c r="B1259" t="s">
        <v>224</v>
      </c>
      <c r="C1259" s="14">
        <v>0.80976134108262299</v>
      </c>
      <c r="D1259" s="14">
        <v>0.8743720383468</v>
      </c>
      <c r="E1259" s="14">
        <v>0.74486321960947599</v>
      </c>
      <c r="F1259" s="14"/>
      <c r="G1259" s="14">
        <v>0</v>
      </c>
      <c r="H1259" s="14">
        <v>0.86686700429742702</v>
      </c>
      <c r="I1259" s="14">
        <v>0.79235231634363401</v>
      </c>
      <c r="J1259" s="14">
        <v>0.88126285687467698</v>
      </c>
      <c r="K1259" s="14">
        <v>1</v>
      </c>
      <c r="L1259" s="14" t="s">
        <v>88</v>
      </c>
      <c r="M1259" s="14"/>
      <c r="N1259" s="14">
        <v>0.88165530688767302</v>
      </c>
      <c r="O1259" s="14">
        <v>0.89771367207358399</v>
      </c>
      <c r="P1259" s="14">
        <v>0.69169949319054003</v>
      </c>
      <c r="Q1259" s="14">
        <v>0.74045677584158898</v>
      </c>
      <c r="R1259" s="14"/>
      <c r="S1259" s="14">
        <v>0.84557087698674305</v>
      </c>
      <c r="T1259" s="14">
        <v>0.64857653818427297</v>
      </c>
      <c r="U1259" s="14">
        <v>1</v>
      </c>
      <c r="V1259" s="14">
        <v>1</v>
      </c>
      <c r="W1259" s="14">
        <v>0.93102400750393599</v>
      </c>
      <c r="X1259" s="14">
        <v>0.81070862262298404</v>
      </c>
      <c r="Y1259" s="14">
        <v>0.69471766197331797</v>
      </c>
      <c r="Z1259" s="14">
        <v>0.687328098571937</v>
      </c>
      <c r="AA1259" s="14">
        <v>1</v>
      </c>
      <c r="AB1259" s="14"/>
      <c r="AC1259" s="14">
        <v>0.85837490199523103</v>
      </c>
      <c r="AD1259" s="14">
        <v>0.72377778849084695</v>
      </c>
      <c r="AE1259" s="14">
        <v>0.82405307403612804</v>
      </c>
      <c r="AF1259" s="14">
        <v>0.74927156999201805</v>
      </c>
      <c r="AG1259" s="14">
        <v>1</v>
      </c>
      <c r="AH1259" s="14"/>
      <c r="AI1259" s="14">
        <v>0.91268930139543103</v>
      </c>
      <c r="AJ1259" s="14">
        <v>0.74620652909403495</v>
      </c>
      <c r="AK1259" s="14">
        <v>0.75816451315098898</v>
      </c>
      <c r="AL1259" s="14">
        <v>1</v>
      </c>
      <c r="AM1259" s="14">
        <v>1</v>
      </c>
      <c r="AN1259" s="14">
        <v>0.83437392376923603</v>
      </c>
      <c r="AO1259" s="14"/>
      <c r="AP1259" s="14">
        <v>0.86751117507209496</v>
      </c>
      <c r="AQ1259" s="14">
        <v>0.72966478931531298</v>
      </c>
      <c r="AR1259" s="14"/>
      <c r="AS1259" s="14" t="s">
        <v>88</v>
      </c>
      <c r="AT1259" s="14">
        <v>0.81409556026183105</v>
      </c>
      <c r="AU1259" s="14">
        <v>0</v>
      </c>
      <c r="AV1259" s="14"/>
      <c r="AW1259" s="14">
        <v>0.772261117323082</v>
      </c>
      <c r="AX1259" s="14">
        <v>0.89423847961047098</v>
      </c>
      <c r="AY1259" s="14"/>
      <c r="AZ1259" s="14">
        <v>0.84266634659053097</v>
      </c>
      <c r="BA1259" s="14">
        <v>0.62148627999725403</v>
      </c>
    </row>
    <row r="1260" spans="2:53" x14ac:dyDescent="0.35"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</row>
    <row r="1261" spans="2:53" x14ac:dyDescent="0.35">
      <c r="B1261" s="6" t="s">
        <v>334</v>
      </c>
      <c r="C1261" s="14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</row>
    <row r="1262" spans="2:53" x14ac:dyDescent="0.35">
      <c r="B1262" s="24" t="s">
        <v>101</v>
      </c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</row>
    <row r="1263" spans="2:53" x14ac:dyDescent="0.35">
      <c r="B1263" t="s">
        <v>154</v>
      </c>
      <c r="C1263" s="14">
        <v>0.89032562503766599</v>
      </c>
      <c r="D1263" s="14">
        <v>0.90334215005148999</v>
      </c>
      <c r="E1263" s="14">
        <v>0.87773272376536005</v>
      </c>
      <c r="F1263" s="14"/>
      <c r="G1263" s="14">
        <v>1</v>
      </c>
      <c r="H1263" s="14">
        <v>0.83782637949620298</v>
      </c>
      <c r="I1263" s="14">
        <v>0.88150101827088101</v>
      </c>
      <c r="J1263" s="14">
        <v>0.89560769292144304</v>
      </c>
      <c r="K1263" s="14">
        <v>0.92568164982039303</v>
      </c>
      <c r="L1263" s="14">
        <v>1</v>
      </c>
      <c r="M1263" s="14"/>
      <c r="N1263" s="14">
        <v>0.93358915205146098</v>
      </c>
      <c r="O1263" s="14">
        <v>0.89441265671304904</v>
      </c>
      <c r="P1263" s="14">
        <v>0.91079933299913396</v>
      </c>
      <c r="Q1263" s="14">
        <v>0.81495219507136996</v>
      </c>
      <c r="R1263" s="14"/>
      <c r="S1263" s="14">
        <v>0.90281669199609305</v>
      </c>
      <c r="T1263" s="14">
        <v>0.90000085675924302</v>
      </c>
      <c r="U1263" s="14">
        <v>0.85797608216661503</v>
      </c>
      <c r="V1263" s="14">
        <v>0.96061804715586896</v>
      </c>
      <c r="W1263" s="14">
        <v>0.88102359171564704</v>
      </c>
      <c r="X1263" s="14">
        <v>0.80647928423632897</v>
      </c>
      <c r="Y1263" s="14">
        <v>0.82693944982365397</v>
      </c>
      <c r="Z1263" s="14">
        <v>0.94532707544345895</v>
      </c>
      <c r="AA1263" s="14">
        <v>0.93233030707966502</v>
      </c>
      <c r="AB1263" s="14"/>
      <c r="AC1263" s="14">
        <v>0.83064778482434698</v>
      </c>
      <c r="AD1263" s="14">
        <v>0.89254593143092698</v>
      </c>
      <c r="AE1263" s="14">
        <v>0.92753522103637098</v>
      </c>
      <c r="AF1263" s="14">
        <v>0.91673303208211299</v>
      </c>
      <c r="AG1263" s="14">
        <v>0.94547443193368397</v>
      </c>
      <c r="AH1263" s="14"/>
      <c r="AI1263" s="14">
        <v>0.88173020978495598</v>
      </c>
      <c r="AJ1263" s="14">
        <v>0.90593440868528896</v>
      </c>
      <c r="AK1263" s="14">
        <v>0.89514928679486705</v>
      </c>
      <c r="AL1263" s="14">
        <v>0.90820294146037295</v>
      </c>
      <c r="AM1263" s="14">
        <v>0.86699959636408896</v>
      </c>
      <c r="AN1263" s="14">
        <v>0.89558009478860001</v>
      </c>
      <c r="AO1263" s="14"/>
      <c r="AP1263" s="14">
        <v>0.90059107375718495</v>
      </c>
      <c r="AQ1263" s="14">
        <v>0.87819740699740201</v>
      </c>
      <c r="AR1263" s="14"/>
      <c r="AS1263" s="14" t="s">
        <v>88</v>
      </c>
      <c r="AT1263" s="14">
        <v>0.59816376088828505</v>
      </c>
      <c r="AU1263" s="14">
        <v>0.89841659397297402</v>
      </c>
      <c r="AV1263" s="14"/>
      <c r="AW1263" s="14">
        <v>0.89171540074704003</v>
      </c>
      <c r="AX1263" s="14">
        <v>0.91914390187274797</v>
      </c>
      <c r="AY1263" s="14"/>
      <c r="AZ1263" s="14">
        <v>0.90556728836520395</v>
      </c>
      <c r="BA1263" s="14">
        <v>0.84258685162297697</v>
      </c>
    </row>
    <row r="1264" spans="2:53" x14ac:dyDescent="0.35">
      <c r="B1264" t="s">
        <v>155</v>
      </c>
      <c r="C1264" s="14">
        <v>6.1409224448900297E-2</v>
      </c>
      <c r="D1264" s="14">
        <v>5.6742573701706503E-2</v>
      </c>
      <c r="E1264" s="14">
        <v>6.5960337443316794E-2</v>
      </c>
      <c r="F1264" s="14"/>
      <c r="G1264" s="14">
        <v>0</v>
      </c>
      <c r="H1264" s="14">
        <v>0.106590478917406</v>
      </c>
      <c r="I1264" s="14">
        <v>7.5142032159759203E-2</v>
      </c>
      <c r="J1264" s="14">
        <v>4.2341502067786398E-2</v>
      </c>
      <c r="K1264" s="14">
        <v>4.9665534282281897E-2</v>
      </c>
      <c r="L1264" s="14">
        <v>0</v>
      </c>
      <c r="M1264" s="14"/>
      <c r="N1264" s="14">
        <v>5.0914011428100203E-2</v>
      </c>
      <c r="O1264" s="14">
        <v>5.8899808975613199E-2</v>
      </c>
      <c r="P1264" s="14">
        <v>3.7274590163099301E-2</v>
      </c>
      <c r="Q1264" s="14">
        <v>0.100964793458585</v>
      </c>
      <c r="R1264" s="14"/>
      <c r="S1264" s="14">
        <v>5.6742003894384899E-2</v>
      </c>
      <c r="T1264" s="14">
        <v>6.7610653685376304E-2</v>
      </c>
      <c r="U1264" s="14">
        <v>7.3310614118230102E-2</v>
      </c>
      <c r="V1264" s="14">
        <v>1.0388381406930099E-2</v>
      </c>
      <c r="W1264" s="14">
        <v>7.0402676846647999E-2</v>
      </c>
      <c r="X1264" s="14">
        <v>7.9535730179578795E-2</v>
      </c>
      <c r="Y1264" s="14">
        <v>0.101658618328006</v>
      </c>
      <c r="Z1264" s="14">
        <v>5.4672924556540603E-2</v>
      </c>
      <c r="AA1264" s="14">
        <v>4.2350517482546701E-2</v>
      </c>
      <c r="AB1264" s="14"/>
      <c r="AC1264" s="14">
        <v>9.3861301105504794E-2</v>
      </c>
      <c r="AD1264" s="14">
        <v>6.4692566187953202E-2</v>
      </c>
      <c r="AE1264" s="14">
        <v>5.1295144363839702E-2</v>
      </c>
      <c r="AF1264" s="14">
        <v>6.3573789632231495E-2</v>
      </c>
      <c r="AG1264" s="14">
        <v>5.4525568066315498E-2</v>
      </c>
      <c r="AH1264" s="14"/>
      <c r="AI1264" s="14">
        <v>7.1965303344031006E-2</v>
      </c>
      <c r="AJ1264" s="14">
        <v>7.3702889223412393E-2</v>
      </c>
      <c r="AK1264" s="14">
        <v>7.1695637625376493E-2</v>
      </c>
      <c r="AL1264" s="14">
        <v>3.9039914932885202E-2</v>
      </c>
      <c r="AM1264" s="14">
        <v>9.3195559325404895E-2</v>
      </c>
      <c r="AN1264" s="14">
        <v>5.9005943091436801E-2</v>
      </c>
      <c r="AO1264" s="14"/>
      <c r="AP1264" s="14">
        <v>5.46016916472521E-2</v>
      </c>
      <c r="AQ1264" s="14">
        <v>6.9415050035498804E-2</v>
      </c>
      <c r="AR1264" s="14"/>
      <c r="AS1264" s="14" t="s">
        <v>88</v>
      </c>
      <c r="AT1264" s="14">
        <v>0.178560635727946</v>
      </c>
      <c r="AU1264" s="14">
        <v>5.81648981158044E-2</v>
      </c>
      <c r="AV1264" s="14"/>
      <c r="AW1264" s="14">
        <v>6.2567256312048999E-2</v>
      </c>
      <c r="AX1264" s="14">
        <v>6.6354656782154298E-2</v>
      </c>
      <c r="AY1264" s="14"/>
      <c r="AZ1264" s="14">
        <v>6.06401249132845E-2</v>
      </c>
      <c r="BA1264" s="14">
        <v>6.4896628837219805E-2</v>
      </c>
    </row>
    <row r="1265" spans="2:53" x14ac:dyDescent="0.35">
      <c r="B1265" t="s">
        <v>116</v>
      </c>
      <c r="C1265" s="14">
        <v>4.8265150513433802E-2</v>
      </c>
      <c r="D1265" s="14">
        <v>3.9915276246803903E-2</v>
      </c>
      <c r="E1265" s="14">
        <v>5.6306938791323501E-2</v>
      </c>
      <c r="F1265" s="14"/>
      <c r="G1265" s="14">
        <v>0</v>
      </c>
      <c r="H1265" s="14">
        <v>5.55831415863915E-2</v>
      </c>
      <c r="I1265" s="14">
        <v>4.3356949569359801E-2</v>
      </c>
      <c r="J1265" s="14">
        <v>6.2050805010770899E-2</v>
      </c>
      <c r="K1265" s="14">
        <v>2.4652815897324699E-2</v>
      </c>
      <c r="L1265" s="14">
        <v>0</v>
      </c>
      <c r="M1265" s="14"/>
      <c r="N1265" s="14">
        <v>1.5496836520438401E-2</v>
      </c>
      <c r="O1265" s="14">
        <v>4.6687534311337799E-2</v>
      </c>
      <c r="P1265" s="14">
        <v>5.1926076837766302E-2</v>
      </c>
      <c r="Q1265" s="14">
        <v>8.4083011470045196E-2</v>
      </c>
      <c r="R1265" s="14"/>
      <c r="S1265" s="14">
        <v>4.0441304109522201E-2</v>
      </c>
      <c r="T1265" s="14">
        <v>3.23884895553809E-2</v>
      </c>
      <c r="U1265" s="14">
        <v>6.8713303715154495E-2</v>
      </c>
      <c r="V1265" s="14">
        <v>2.8993571437200799E-2</v>
      </c>
      <c r="W1265" s="14">
        <v>4.8573731437705103E-2</v>
      </c>
      <c r="X1265" s="14">
        <v>0.11398498558409199</v>
      </c>
      <c r="Y1265" s="14">
        <v>7.1401931848339997E-2</v>
      </c>
      <c r="Z1265" s="14">
        <v>0</v>
      </c>
      <c r="AA1265" s="14">
        <v>2.5319175437788E-2</v>
      </c>
      <c r="AB1265" s="14"/>
      <c r="AC1265" s="14">
        <v>7.5490914070148504E-2</v>
      </c>
      <c r="AD1265" s="14">
        <v>4.27615023811194E-2</v>
      </c>
      <c r="AE1265" s="14">
        <v>2.1169634599789301E-2</v>
      </c>
      <c r="AF1265" s="14">
        <v>1.96931782856552E-2</v>
      </c>
      <c r="AG1265" s="14">
        <v>0</v>
      </c>
      <c r="AH1265" s="14"/>
      <c r="AI1265" s="14">
        <v>4.6304486871013302E-2</v>
      </c>
      <c r="AJ1265" s="14">
        <v>2.0362702091298798E-2</v>
      </c>
      <c r="AK1265" s="14">
        <v>3.3155075579756402E-2</v>
      </c>
      <c r="AL1265" s="14">
        <v>5.27571436067414E-2</v>
      </c>
      <c r="AM1265" s="14">
        <v>3.9804844310506203E-2</v>
      </c>
      <c r="AN1265" s="14">
        <v>4.54139621199635E-2</v>
      </c>
      <c r="AO1265" s="14"/>
      <c r="AP1265" s="14">
        <v>4.4807234595563003E-2</v>
      </c>
      <c r="AQ1265" s="14">
        <v>5.2387542967098903E-2</v>
      </c>
      <c r="AR1265" s="14"/>
      <c r="AS1265" s="14" t="s">
        <v>88</v>
      </c>
      <c r="AT1265" s="14">
        <v>0.22327560338376901</v>
      </c>
      <c r="AU1265" s="14">
        <v>4.3418507911222003E-2</v>
      </c>
      <c r="AV1265" s="14"/>
      <c r="AW1265" s="14">
        <v>4.5717342940910899E-2</v>
      </c>
      <c r="AX1265" s="14">
        <v>1.45014413450978E-2</v>
      </c>
      <c r="AY1265" s="14"/>
      <c r="AZ1265" s="14">
        <v>3.3792586721511399E-2</v>
      </c>
      <c r="BA1265" s="14">
        <v>9.2516519539802902E-2</v>
      </c>
    </row>
    <row r="1266" spans="2:53" x14ac:dyDescent="0.35"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</row>
    <row r="1267" spans="2:53" x14ac:dyDescent="0.35">
      <c r="B1267" s="6" t="s">
        <v>335</v>
      </c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</row>
    <row r="1268" spans="2:53" x14ac:dyDescent="0.35">
      <c r="B1268" s="30" t="s">
        <v>463</v>
      </c>
      <c r="C1268" s="14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</row>
    <row r="1269" spans="2:53" x14ac:dyDescent="0.35">
      <c r="B1269" t="s">
        <v>214</v>
      </c>
      <c r="C1269" s="14">
        <v>0.30840205508371099</v>
      </c>
      <c r="D1269" s="14">
        <v>0.30581036053948901</v>
      </c>
      <c r="E1269" s="14">
        <v>0.30964935080390399</v>
      </c>
      <c r="F1269" s="14"/>
      <c r="G1269" s="14">
        <v>0</v>
      </c>
      <c r="H1269" s="14">
        <v>0.38260074322891802</v>
      </c>
      <c r="I1269" s="14">
        <v>0.341773787956754</v>
      </c>
      <c r="J1269" s="14">
        <v>0.26157618844029101</v>
      </c>
      <c r="K1269" s="14">
        <v>0.33590620997652798</v>
      </c>
      <c r="L1269" s="14">
        <v>7.8709565505773502E-2</v>
      </c>
      <c r="M1269" s="14"/>
      <c r="N1269" s="14">
        <v>0.325312972308337</v>
      </c>
      <c r="O1269" s="14">
        <v>0.31385845622599101</v>
      </c>
      <c r="P1269" s="14">
        <v>0.29331119068455302</v>
      </c>
      <c r="Q1269" s="14">
        <v>0.29479676373359298</v>
      </c>
      <c r="R1269" s="14"/>
      <c r="S1269" s="14">
        <v>0.40438175815471</v>
      </c>
      <c r="T1269" s="14">
        <v>0.38587104221801199</v>
      </c>
      <c r="U1269" s="14">
        <v>0.272395596318035</v>
      </c>
      <c r="V1269" s="14">
        <v>0.25745480024724399</v>
      </c>
      <c r="W1269" s="14">
        <v>0.21542308822294401</v>
      </c>
      <c r="X1269" s="14">
        <v>0.24241032612664801</v>
      </c>
      <c r="Y1269" s="14">
        <v>0.36667105610978301</v>
      </c>
      <c r="Z1269" s="14">
        <v>0.21956398528635401</v>
      </c>
      <c r="AA1269" s="14">
        <v>0.27939396894188001</v>
      </c>
      <c r="AB1269" s="14"/>
      <c r="AC1269" s="14">
        <v>0.33910438068153598</v>
      </c>
      <c r="AD1269" s="14">
        <v>0.26607935629121898</v>
      </c>
      <c r="AE1269" s="14">
        <v>0.30056972043465802</v>
      </c>
      <c r="AF1269" s="14">
        <v>0.39362086857849699</v>
      </c>
      <c r="AG1269" s="14">
        <v>0.33725443006252698</v>
      </c>
      <c r="AH1269" s="14"/>
      <c r="AI1269" s="14">
        <v>0.32145947255776303</v>
      </c>
      <c r="AJ1269" s="14">
        <v>0.35871613318821399</v>
      </c>
      <c r="AK1269" s="14">
        <v>0.29826651183276698</v>
      </c>
      <c r="AL1269" s="14">
        <v>0.27083267828386598</v>
      </c>
      <c r="AM1269" s="14">
        <v>0.28500386133278799</v>
      </c>
      <c r="AN1269" s="14">
        <v>0.22629713797224901</v>
      </c>
      <c r="AO1269" s="14"/>
      <c r="AP1269" s="14">
        <v>0.30612214596190002</v>
      </c>
      <c r="AQ1269" s="14">
        <v>0.31223050795269203</v>
      </c>
      <c r="AR1269" s="14"/>
      <c r="AS1269" s="14" t="s">
        <v>88</v>
      </c>
      <c r="AT1269" s="14">
        <v>9.1710382735579701E-2</v>
      </c>
      <c r="AU1269" s="14">
        <v>0.31239746700896498</v>
      </c>
      <c r="AV1269" s="14"/>
      <c r="AW1269" s="14">
        <v>0.29077518367120198</v>
      </c>
      <c r="AX1269" s="14">
        <v>0.412340961998994</v>
      </c>
      <c r="AY1269" s="14"/>
      <c r="AZ1269" s="14">
        <v>0.32028615375605302</v>
      </c>
      <c r="BA1269" s="14">
        <v>0.264297355545007</v>
      </c>
    </row>
    <row r="1270" spans="2:53" x14ac:dyDescent="0.35">
      <c r="B1270" t="s">
        <v>215</v>
      </c>
      <c r="C1270" s="14">
        <v>0.55659128718497997</v>
      </c>
      <c r="D1270" s="14">
        <v>0.59626678764480501</v>
      </c>
      <c r="E1270" s="14">
        <v>0.51869629563035002</v>
      </c>
      <c r="F1270" s="14"/>
      <c r="G1270" s="14">
        <v>1</v>
      </c>
      <c r="H1270" s="14">
        <v>0.50754064281547595</v>
      </c>
      <c r="I1270" s="14">
        <v>0.517760618371921</v>
      </c>
      <c r="J1270" s="14">
        <v>0.59979733978780303</v>
      </c>
      <c r="K1270" s="14">
        <v>0.55665265417960297</v>
      </c>
      <c r="L1270" s="14">
        <v>0.69817438916571395</v>
      </c>
      <c r="M1270" s="14"/>
      <c r="N1270" s="14">
        <v>0.54634961865221998</v>
      </c>
      <c r="O1270" s="14">
        <v>0.53822699004632701</v>
      </c>
      <c r="P1270" s="14">
        <v>0.593373099672863</v>
      </c>
      <c r="Q1270" s="14">
        <v>0.54835604758432199</v>
      </c>
      <c r="R1270" s="14"/>
      <c r="S1270" s="14">
        <v>0.49905428874433599</v>
      </c>
      <c r="T1270" s="14">
        <v>0.47927826535219398</v>
      </c>
      <c r="U1270" s="14">
        <v>0.56876534366385201</v>
      </c>
      <c r="V1270" s="14">
        <v>0.539367314619426</v>
      </c>
      <c r="W1270" s="14">
        <v>0.69798104010519302</v>
      </c>
      <c r="X1270" s="14">
        <v>0.59152964986497902</v>
      </c>
      <c r="Y1270" s="14">
        <v>0.48183614289874599</v>
      </c>
      <c r="Z1270" s="14">
        <v>0.64888942275887096</v>
      </c>
      <c r="AA1270" s="14">
        <v>0.61369861588292396</v>
      </c>
      <c r="AB1270" s="14"/>
      <c r="AC1270" s="14">
        <v>0.49856260491704102</v>
      </c>
      <c r="AD1270" s="14">
        <v>0.60055508656101597</v>
      </c>
      <c r="AE1270" s="14">
        <v>0.57241059937848304</v>
      </c>
      <c r="AF1270" s="14">
        <v>0.49248104878933902</v>
      </c>
      <c r="AG1270" s="14">
        <v>0.620808109108135</v>
      </c>
      <c r="AH1270" s="14"/>
      <c r="AI1270" s="14">
        <v>0.56330763456587496</v>
      </c>
      <c r="AJ1270" s="14">
        <v>0.56154587104740605</v>
      </c>
      <c r="AK1270" s="14">
        <v>0.52713269689797304</v>
      </c>
      <c r="AL1270" s="14">
        <v>0.57795427487225404</v>
      </c>
      <c r="AM1270" s="14">
        <v>0.63662672087419803</v>
      </c>
      <c r="AN1270" s="14">
        <v>0.52327844976326698</v>
      </c>
      <c r="AO1270" s="14"/>
      <c r="AP1270" s="14">
        <v>0.57177195274680404</v>
      </c>
      <c r="AQ1270" s="14">
        <v>0.53948134543523796</v>
      </c>
      <c r="AR1270" s="14"/>
      <c r="AS1270" s="14" t="s">
        <v>88</v>
      </c>
      <c r="AT1270" s="14">
        <v>0</v>
      </c>
      <c r="AU1270" s="14">
        <v>0.56685384800337102</v>
      </c>
      <c r="AV1270" s="14"/>
      <c r="AW1270" s="14">
        <v>0.57064701957657604</v>
      </c>
      <c r="AX1270" s="14">
        <v>0.50090382212247297</v>
      </c>
      <c r="AY1270" s="14"/>
      <c r="AZ1270" s="14">
        <v>0.56513007971132001</v>
      </c>
      <c r="BA1270" s="14">
        <v>0.52168245823290404</v>
      </c>
    </row>
    <row r="1271" spans="2:53" x14ac:dyDescent="0.35">
      <c r="B1271" t="s">
        <v>216</v>
      </c>
      <c r="C1271" s="14">
        <v>5.14434847141352E-2</v>
      </c>
      <c r="D1271" s="14">
        <v>3.8453622141298903E-2</v>
      </c>
      <c r="E1271" s="14">
        <v>6.42883683877912E-2</v>
      </c>
      <c r="F1271" s="14"/>
      <c r="G1271" s="14">
        <v>0</v>
      </c>
      <c r="H1271" s="14">
        <v>2.25364522458096E-2</v>
      </c>
      <c r="I1271" s="14">
        <v>6.9062093361565505E-2</v>
      </c>
      <c r="J1271" s="14">
        <v>4.6203121022440903E-2</v>
      </c>
      <c r="K1271" s="14">
        <v>3.2147729177272502E-2</v>
      </c>
      <c r="L1271" s="14">
        <v>3.77579792512499E-2</v>
      </c>
      <c r="M1271" s="14"/>
      <c r="N1271" s="14">
        <v>5.8325554064185402E-2</v>
      </c>
      <c r="O1271" s="14">
        <v>5.1278254241561801E-2</v>
      </c>
      <c r="P1271" s="14">
        <v>4.9983279421889897E-2</v>
      </c>
      <c r="Q1271" s="14">
        <v>4.5434925410291399E-2</v>
      </c>
      <c r="R1271" s="14"/>
      <c r="S1271" s="14">
        <v>5.3851320907396603E-2</v>
      </c>
      <c r="T1271" s="14">
        <v>5.06091902935107E-2</v>
      </c>
      <c r="U1271" s="14">
        <v>9.2099698172940697E-2</v>
      </c>
      <c r="V1271" s="14">
        <v>4.3230416078426197E-2</v>
      </c>
      <c r="W1271" s="14">
        <v>1.7613983663214601E-2</v>
      </c>
      <c r="X1271" s="14">
        <v>7.0731684696861905E-2</v>
      </c>
      <c r="Y1271" s="14">
        <v>4.8619774040634903E-2</v>
      </c>
      <c r="Z1271" s="14">
        <v>4.7384864494371702E-2</v>
      </c>
      <c r="AA1271" s="14">
        <v>4.4185666663978301E-2</v>
      </c>
      <c r="AB1271" s="14"/>
      <c r="AC1271" s="14">
        <v>4.5040006653865601E-2</v>
      </c>
      <c r="AD1271" s="14">
        <v>5.0599201806254497E-2</v>
      </c>
      <c r="AE1271" s="14">
        <v>5.2254577777627799E-2</v>
      </c>
      <c r="AF1271" s="14">
        <v>5.24219978436649E-2</v>
      </c>
      <c r="AG1271" s="14">
        <v>0</v>
      </c>
      <c r="AH1271" s="14"/>
      <c r="AI1271" s="14">
        <v>5.4978940135378102E-2</v>
      </c>
      <c r="AJ1271" s="14">
        <v>3.2412190860446499E-2</v>
      </c>
      <c r="AK1271" s="14">
        <v>5.3869323789123201E-2</v>
      </c>
      <c r="AL1271" s="14">
        <v>5.0601671968730298E-2</v>
      </c>
      <c r="AM1271" s="14">
        <v>2.9780188609684101E-2</v>
      </c>
      <c r="AN1271" s="14">
        <v>8.7443620924944204E-2</v>
      </c>
      <c r="AO1271" s="14"/>
      <c r="AP1271" s="14">
        <v>4.4327767253462901E-2</v>
      </c>
      <c r="AQ1271" s="14">
        <v>6.00014420158691E-2</v>
      </c>
      <c r="AR1271" s="14"/>
      <c r="AS1271" s="14" t="s">
        <v>88</v>
      </c>
      <c r="AT1271" s="14">
        <v>0.260789573675894</v>
      </c>
      <c r="AU1271" s="14">
        <v>4.75835123798065E-2</v>
      </c>
      <c r="AV1271" s="14"/>
      <c r="AW1271" s="14">
        <v>4.8982123168223202E-2</v>
      </c>
      <c r="AX1271" s="14">
        <v>6.0815062514120402E-2</v>
      </c>
      <c r="AY1271" s="14"/>
      <c r="AZ1271" s="14">
        <v>4.4556329767266603E-2</v>
      </c>
      <c r="BA1271" s="14">
        <v>7.8117635875449704E-2</v>
      </c>
    </row>
    <row r="1272" spans="2:53" x14ac:dyDescent="0.35">
      <c r="B1272" t="s">
        <v>217</v>
      </c>
      <c r="C1272" s="14">
        <v>6.3098217405947402E-3</v>
      </c>
      <c r="D1272" s="14">
        <v>2.7661814167765099E-3</v>
      </c>
      <c r="E1272" s="14">
        <v>9.7994349835384392E-3</v>
      </c>
      <c r="F1272" s="14"/>
      <c r="G1272" s="14">
        <v>0</v>
      </c>
      <c r="H1272" s="14">
        <v>1.4567556978333399E-2</v>
      </c>
      <c r="I1272" s="14">
        <v>9.1948272413216597E-3</v>
      </c>
      <c r="J1272" s="14">
        <v>2.9210788056068999E-3</v>
      </c>
      <c r="K1272" s="14">
        <v>2.43736725185952E-3</v>
      </c>
      <c r="L1272" s="14">
        <v>0</v>
      </c>
      <c r="M1272" s="14"/>
      <c r="N1272" s="14">
        <v>5.3501599639608601E-3</v>
      </c>
      <c r="O1272" s="14">
        <v>4.5148501908541597E-3</v>
      </c>
      <c r="P1272" s="14">
        <v>4.79173426602482E-3</v>
      </c>
      <c r="Q1272" s="14">
        <v>1.1324854185165101E-2</v>
      </c>
      <c r="R1272" s="14"/>
      <c r="S1272" s="14">
        <v>0</v>
      </c>
      <c r="T1272" s="14">
        <v>0</v>
      </c>
      <c r="U1272" s="14">
        <v>0</v>
      </c>
      <c r="V1272" s="14">
        <v>1.75796797365258E-2</v>
      </c>
      <c r="W1272" s="14">
        <v>1.26538501809832E-2</v>
      </c>
      <c r="X1272" s="14">
        <v>1.14836956580923E-2</v>
      </c>
      <c r="Y1272" s="14">
        <v>0</v>
      </c>
      <c r="Z1272" s="14">
        <v>2.08053941789514E-2</v>
      </c>
      <c r="AA1272" s="14">
        <v>6.1720214217572201E-3</v>
      </c>
      <c r="AB1272" s="14"/>
      <c r="AC1272" s="14">
        <v>5.1858856057426499E-3</v>
      </c>
      <c r="AD1272" s="14">
        <v>3.0577668628887899E-3</v>
      </c>
      <c r="AE1272" s="14">
        <v>0</v>
      </c>
      <c r="AF1272" s="14">
        <v>1.3780011168222601E-2</v>
      </c>
      <c r="AG1272" s="14">
        <v>0</v>
      </c>
      <c r="AH1272" s="14"/>
      <c r="AI1272" s="14">
        <v>5.4508764056039397E-3</v>
      </c>
      <c r="AJ1272" s="14">
        <v>3.04441699297151E-3</v>
      </c>
      <c r="AK1272" s="14">
        <v>1.2824711717029201E-2</v>
      </c>
      <c r="AL1272" s="14">
        <v>0</v>
      </c>
      <c r="AM1272" s="14">
        <v>6.2948085245376597E-3</v>
      </c>
      <c r="AN1272" s="14">
        <v>1.8776384830577499E-2</v>
      </c>
      <c r="AO1272" s="14"/>
      <c r="AP1272" s="14">
        <v>5.6737371385512103E-3</v>
      </c>
      <c r="AQ1272" s="14">
        <v>7.0811989737499803E-3</v>
      </c>
      <c r="AR1272" s="14"/>
      <c r="AS1272" s="14" t="s">
        <v>88</v>
      </c>
      <c r="AT1272" s="14">
        <v>0</v>
      </c>
      <c r="AU1272" s="14">
        <v>6.4261637151404897E-3</v>
      </c>
      <c r="AV1272" s="14"/>
      <c r="AW1272" s="14">
        <v>6.25798473825891E-3</v>
      </c>
      <c r="AX1272" s="14">
        <v>1.7763086042028101E-3</v>
      </c>
      <c r="AY1272" s="14"/>
      <c r="AZ1272" s="14">
        <v>3.9518531787947802E-3</v>
      </c>
      <c r="BA1272" s="14">
        <v>1.5387583042837501E-2</v>
      </c>
    </row>
    <row r="1273" spans="2:53" x14ac:dyDescent="0.35">
      <c r="B1273" t="s">
        <v>116</v>
      </c>
      <c r="C1273" s="14">
        <v>6.6719086520298301E-2</v>
      </c>
      <c r="D1273" s="14">
        <v>5.2545781650492097E-2</v>
      </c>
      <c r="E1273" s="14">
        <v>8.0754050442272296E-2</v>
      </c>
      <c r="F1273" s="14"/>
      <c r="G1273" s="14">
        <v>0</v>
      </c>
      <c r="H1273" s="14">
        <v>3.39917579237803E-2</v>
      </c>
      <c r="I1273" s="14">
        <v>5.1055632492849799E-2</v>
      </c>
      <c r="J1273" s="14">
        <v>8.2104332781055403E-2</v>
      </c>
      <c r="K1273" s="14">
        <v>7.2856039414736701E-2</v>
      </c>
      <c r="L1273" s="14">
        <v>0.18535806607726199</v>
      </c>
      <c r="M1273" s="14"/>
      <c r="N1273" s="14">
        <v>4.9455769735025502E-2</v>
      </c>
      <c r="O1273" s="14">
        <v>8.5146563030173095E-2</v>
      </c>
      <c r="P1273" s="14">
        <v>5.8540695954669701E-2</v>
      </c>
      <c r="Q1273" s="14">
        <v>7.9765143393305302E-2</v>
      </c>
      <c r="R1273" s="14"/>
      <c r="S1273" s="14">
        <v>3.6842154707573703E-2</v>
      </c>
      <c r="T1273" s="14">
        <v>6.5135039308968301E-2</v>
      </c>
      <c r="U1273" s="14">
        <v>6.6739361845171694E-2</v>
      </c>
      <c r="V1273" s="14">
        <v>0.14236778931837801</v>
      </c>
      <c r="W1273" s="14">
        <v>3.7212343586965999E-2</v>
      </c>
      <c r="X1273" s="14">
        <v>7.0008374091518305E-2</v>
      </c>
      <c r="Y1273" s="14">
        <v>9.3327105532161003E-2</v>
      </c>
      <c r="Z1273" s="14">
        <v>6.3356333281451793E-2</v>
      </c>
      <c r="AA1273" s="14">
        <v>3.8058199646907702E-2</v>
      </c>
      <c r="AB1273" s="14"/>
      <c r="AC1273" s="14">
        <v>0.10981107957160501</v>
      </c>
      <c r="AD1273" s="14">
        <v>5.3296129698239103E-2</v>
      </c>
      <c r="AE1273" s="14">
        <v>7.2750093881746497E-2</v>
      </c>
      <c r="AF1273" s="14">
        <v>2.7583172154755E-2</v>
      </c>
      <c r="AG1273" s="14">
        <v>4.1937460829337803E-2</v>
      </c>
      <c r="AH1273" s="14"/>
      <c r="AI1273" s="14">
        <v>5.1313885022737697E-2</v>
      </c>
      <c r="AJ1273" s="14">
        <v>3.6696343930493799E-2</v>
      </c>
      <c r="AK1273" s="14">
        <v>8.1442552562914397E-2</v>
      </c>
      <c r="AL1273" s="14">
        <v>9.5612198896876305E-2</v>
      </c>
      <c r="AM1273" s="14">
        <v>4.2294420658792901E-2</v>
      </c>
      <c r="AN1273" s="14">
        <v>0.132957933992608</v>
      </c>
      <c r="AO1273" s="14"/>
      <c r="AP1273" s="14">
        <v>5.7576803484071501E-2</v>
      </c>
      <c r="AQ1273" s="14">
        <v>7.53273002798973E-2</v>
      </c>
      <c r="AR1273" s="14"/>
      <c r="AS1273" s="14" t="s">
        <v>88</v>
      </c>
      <c r="AT1273" s="14">
        <v>0.100235476184577</v>
      </c>
      <c r="AU1273" s="14">
        <v>6.6101103459366498E-2</v>
      </c>
      <c r="AV1273" s="14"/>
      <c r="AW1273" s="14">
        <v>7.1848797860025307E-2</v>
      </c>
      <c r="AX1273" s="14">
        <v>1.54856681794883E-2</v>
      </c>
      <c r="AY1273" s="14"/>
      <c r="AZ1273" s="14">
        <v>5.72521664610584E-2</v>
      </c>
      <c r="BA1273" s="14">
        <v>0.103365407787047</v>
      </c>
    </row>
    <row r="1274" spans="2:53" x14ac:dyDescent="0.35"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</row>
    <row r="1275" spans="2:53" x14ac:dyDescent="0.35">
      <c r="B1275" s="6" t="s">
        <v>336</v>
      </c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</row>
    <row r="1276" spans="2:53" x14ac:dyDescent="0.35">
      <c r="B1276" s="30" t="s">
        <v>463</v>
      </c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</row>
    <row r="1277" spans="2:53" x14ac:dyDescent="0.35">
      <c r="B1277" t="s">
        <v>220</v>
      </c>
      <c r="C1277" s="14">
        <v>0.29723135383575</v>
      </c>
      <c r="D1277" s="14">
        <v>0.32825903622332198</v>
      </c>
      <c r="E1277" s="14">
        <v>0.26546310246086202</v>
      </c>
      <c r="F1277" s="14"/>
      <c r="G1277" s="14">
        <v>1</v>
      </c>
      <c r="H1277" s="14">
        <v>0.37241624887608599</v>
      </c>
      <c r="I1277" s="14">
        <v>0.314044020639693</v>
      </c>
      <c r="J1277" s="14">
        <v>0.26351380953905201</v>
      </c>
      <c r="K1277" s="14">
        <v>0.29288056483393898</v>
      </c>
      <c r="L1277" s="14">
        <v>0.25238469571774802</v>
      </c>
      <c r="M1277" s="14"/>
      <c r="N1277" s="14">
        <v>0.33988837001293198</v>
      </c>
      <c r="O1277" s="14">
        <v>0.29217607116539301</v>
      </c>
      <c r="P1277" s="14">
        <v>0.253859637555026</v>
      </c>
      <c r="Q1277" s="14">
        <v>0.29664590410414898</v>
      </c>
      <c r="R1277" s="14"/>
      <c r="S1277" s="14">
        <v>0.409667091401891</v>
      </c>
      <c r="T1277" s="14">
        <v>0.24667744157506999</v>
      </c>
      <c r="U1277" s="14">
        <v>0.243582915112146</v>
      </c>
      <c r="V1277" s="14">
        <v>0.26061117122968402</v>
      </c>
      <c r="W1277" s="14">
        <v>0.31728684492314702</v>
      </c>
      <c r="X1277" s="14">
        <v>0.22833547006631899</v>
      </c>
      <c r="Y1277" s="14">
        <v>0.32326288498821998</v>
      </c>
      <c r="Z1277" s="14">
        <v>0.33791808633586601</v>
      </c>
      <c r="AA1277" s="14">
        <v>0.29082222564937099</v>
      </c>
      <c r="AB1277" s="14"/>
      <c r="AC1277" s="14">
        <v>0.25026743589270201</v>
      </c>
      <c r="AD1277" s="14">
        <v>0.267452893997631</v>
      </c>
      <c r="AE1277" s="14">
        <v>0.31084244389253401</v>
      </c>
      <c r="AF1277" s="14">
        <v>0.40055234681959001</v>
      </c>
      <c r="AG1277" s="14">
        <v>0.42814654092316601</v>
      </c>
      <c r="AH1277" s="14"/>
      <c r="AI1277" s="14">
        <v>0.32779734312147002</v>
      </c>
      <c r="AJ1277" s="14">
        <v>0.27081650905163701</v>
      </c>
      <c r="AK1277" s="14">
        <v>0.31412350020148999</v>
      </c>
      <c r="AL1277" s="14">
        <v>0.30232862858982901</v>
      </c>
      <c r="AM1277" s="14">
        <v>0.32383840787725698</v>
      </c>
      <c r="AN1277" s="14">
        <v>0.22822285808829301</v>
      </c>
      <c r="AO1277" s="14"/>
      <c r="AP1277" s="14">
        <v>0.348724403546467</v>
      </c>
      <c r="AQ1277" s="14">
        <v>0.23646087009783501</v>
      </c>
      <c r="AR1277" s="14"/>
      <c r="AS1277" s="14" t="s">
        <v>88</v>
      </c>
      <c r="AT1277" s="14">
        <v>0.18504772659757199</v>
      </c>
      <c r="AU1277" s="14">
        <v>0.29929982189097598</v>
      </c>
      <c r="AV1277" s="14"/>
      <c r="AW1277" s="14">
        <v>0.270261024132191</v>
      </c>
      <c r="AX1277" s="14">
        <v>0.46878415390286099</v>
      </c>
      <c r="AY1277" s="14"/>
      <c r="AZ1277" s="14">
        <v>0.32223784059732202</v>
      </c>
      <c r="BA1277" s="14">
        <v>0.20272370212912</v>
      </c>
    </row>
    <row r="1278" spans="2:53" x14ac:dyDescent="0.35">
      <c r="B1278" t="s">
        <v>221</v>
      </c>
      <c r="C1278" s="14">
        <v>0.56354017996843597</v>
      </c>
      <c r="D1278" s="14">
        <v>0.56692337233902301</v>
      </c>
      <c r="E1278" s="14">
        <v>0.561276081396339</v>
      </c>
      <c r="F1278" s="14"/>
      <c r="G1278" s="14">
        <v>0</v>
      </c>
      <c r="H1278" s="14">
        <v>0.49026384132904599</v>
      </c>
      <c r="I1278" s="14">
        <v>0.53501006396803197</v>
      </c>
      <c r="J1278" s="14">
        <v>0.60374504727764799</v>
      </c>
      <c r="K1278" s="14">
        <v>0.587891678932566</v>
      </c>
      <c r="L1278" s="14">
        <v>0.591616236698984</v>
      </c>
      <c r="M1278" s="14"/>
      <c r="N1278" s="14">
        <v>0.54234051891052004</v>
      </c>
      <c r="O1278" s="14">
        <v>0.57620820565683795</v>
      </c>
      <c r="P1278" s="14">
        <v>0.56858036589428695</v>
      </c>
      <c r="Q1278" s="14">
        <v>0.56794120817810401</v>
      </c>
      <c r="R1278" s="14"/>
      <c r="S1278" s="14">
        <v>0.51730279771509602</v>
      </c>
      <c r="T1278" s="14">
        <v>0.58831681924825197</v>
      </c>
      <c r="U1278" s="14">
        <v>0.62923261411439002</v>
      </c>
      <c r="V1278" s="14">
        <v>0.55172452274196104</v>
      </c>
      <c r="W1278" s="14">
        <v>0.55911124256866296</v>
      </c>
      <c r="X1278" s="14">
        <v>0.61838061804929501</v>
      </c>
      <c r="Y1278" s="14">
        <v>0.525265512171878</v>
      </c>
      <c r="Z1278" s="14">
        <v>0.46977524269299697</v>
      </c>
      <c r="AA1278" s="14">
        <v>0.58573988077604899</v>
      </c>
      <c r="AB1278" s="14"/>
      <c r="AC1278" s="14">
        <v>0.57762850614313099</v>
      </c>
      <c r="AD1278" s="14">
        <v>0.59474626062539004</v>
      </c>
      <c r="AE1278" s="14">
        <v>0.56650088620882999</v>
      </c>
      <c r="AF1278" s="14">
        <v>0.49273482176876099</v>
      </c>
      <c r="AG1278" s="14">
        <v>0.53678354634236503</v>
      </c>
      <c r="AH1278" s="14"/>
      <c r="AI1278" s="14">
        <v>0.56138729970290402</v>
      </c>
      <c r="AJ1278" s="14">
        <v>0.63945667648879001</v>
      </c>
      <c r="AK1278" s="14">
        <v>0.545394531234491</v>
      </c>
      <c r="AL1278" s="14">
        <v>0.57386394725226797</v>
      </c>
      <c r="AM1278" s="14">
        <v>0.53550421152100702</v>
      </c>
      <c r="AN1278" s="14">
        <v>0.48630854602914902</v>
      </c>
      <c r="AO1278" s="14"/>
      <c r="AP1278" s="14">
        <v>0.52753994431472395</v>
      </c>
      <c r="AQ1278" s="14">
        <v>0.60557639514547301</v>
      </c>
      <c r="AR1278" s="14"/>
      <c r="AS1278" s="14" t="s">
        <v>88</v>
      </c>
      <c r="AT1278" s="14">
        <v>0</v>
      </c>
      <c r="AU1278" s="14">
        <v>0.57393086610328903</v>
      </c>
      <c r="AV1278" s="14"/>
      <c r="AW1278" s="14">
        <v>0.59682138155922504</v>
      </c>
      <c r="AX1278" s="14">
        <v>0.47444570960381199</v>
      </c>
      <c r="AY1278" s="14"/>
      <c r="AZ1278" s="14">
        <v>0.569432043878766</v>
      </c>
      <c r="BA1278" s="14">
        <v>0.53882090779043301</v>
      </c>
    </row>
    <row r="1279" spans="2:53" x14ac:dyDescent="0.35">
      <c r="B1279" t="s">
        <v>222</v>
      </c>
      <c r="C1279" s="14">
        <v>9.9600052776857101E-2</v>
      </c>
      <c r="D1279" s="14">
        <v>8.2356700204831101E-2</v>
      </c>
      <c r="E1279" s="14">
        <v>0.116709639638252</v>
      </c>
      <c r="F1279" s="14"/>
      <c r="G1279" s="14">
        <v>0</v>
      </c>
      <c r="H1279" s="14">
        <v>7.9324189166401493E-2</v>
      </c>
      <c r="I1279" s="14">
        <v>9.8859305972614595E-2</v>
      </c>
      <c r="J1279" s="14">
        <v>0.106835193257246</v>
      </c>
      <c r="K1279" s="14">
        <v>8.4118720280323106E-2</v>
      </c>
      <c r="L1279" s="14">
        <v>0.15599906758326901</v>
      </c>
      <c r="M1279" s="14"/>
      <c r="N1279" s="14">
        <v>8.2987652754637306E-2</v>
      </c>
      <c r="O1279" s="14">
        <v>9.2285038386228799E-2</v>
      </c>
      <c r="P1279" s="14">
        <v>0.13274010641703299</v>
      </c>
      <c r="Q1279" s="14">
        <v>9.4134468689549999E-2</v>
      </c>
      <c r="R1279" s="14"/>
      <c r="S1279" s="14">
        <v>4.98124875507285E-2</v>
      </c>
      <c r="T1279" s="14">
        <v>0.13722149398441899</v>
      </c>
      <c r="U1279" s="14">
        <v>0.106912982523189</v>
      </c>
      <c r="V1279" s="14">
        <v>0.14291666985246099</v>
      </c>
      <c r="W1279" s="14">
        <v>0.104265097451353</v>
      </c>
      <c r="X1279" s="14">
        <v>8.5998920418675906E-2</v>
      </c>
      <c r="Y1279" s="14">
        <v>0.10441419298308401</v>
      </c>
      <c r="Z1279" s="14">
        <v>0.12710266060322301</v>
      </c>
      <c r="AA1279" s="14">
        <v>6.4620066894877801E-2</v>
      </c>
      <c r="AB1279" s="14"/>
      <c r="AC1279" s="14">
        <v>0.12729704644755499</v>
      </c>
      <c r="AD1279" s="14">
        <v>9.6291766904399195E-2</v>
      </c>
      <c r="AE1279" s="14">
        <v>7.7220043573021493E-2</v>
      </c>
      <c r="AF1279" s="14">
        <v>8.1923647830101906E-2</v>
      </c>
      <c r="AG1279" s="14">
        <v>3.5069912734469202E-2</v>
      </c>
      <c r="AH1279" s="14"/>
      <c r="AI1279" s="14">
        <v>8.0246186129607502E-2</v>
      </c>
      <c r="AJ1279" s="14">
        <v>7.6948250428852297E-2</v>
      </c>
      <c r="AK1279" s="14">
        <v>7.2638556136538607E-2</v>
      </c>
      <c r="AL1279" s="14">
        <v>9.2391352474285704E-2</v>
      </c>
      <c r="AM1279" s="14">
        <v>0.120283750145823</v>
      </c>
      <c r="AN1279" s="14">
        <v>0.24232169521833899</v>
      </c>
      <c r="AO1279" s="14"/>
      <c r="AP1279" s="14">
        <v>9.4894154790615803E-2</v>
      </c>
      <c r="AQ1279" s="14">
        <v>0.105503824619343</v>
      </c>
      <c r="AR1279" s="14"/>
      <c r="AS1279" s="14" t="s">
        <v>88</v>
      </c>
      <c r="AT1279" s="14">
        <v>0.25089234549807599</v>
      </c>
      <c r="AU1279" s="14">
        <v>9.6810489966310601E-2</v>
      </c>
      <c r="AV1279" s="14"/>
      <c r="AW1279" s="14">
        <v>8.9620312978105396E-2</v>
      </c>
      <c r="AX1279" s="14">
        <v>5.1128302489947201E-2</v>
      </c>
      <c r="AY1279" s="14"/>
      <c r="AZ1279" s="14">
        <v>8.2089266794376906E-2</v>
      </c>
      <c r="BA1279" s="14">
        <v>0.16726880880797099</v>
      </c>
    </row>
    <row r="1280" spans="2:53" x14ac:dyDescent="0.35">
      <c r="B1280" t="s">
        <v>223</v>
      </c>
      <c r="C1280" s="14">
        <v>1.0351607754637599E-2</v>
      </c>
      <c r="D1280" s="14">
        <v>2.0618200085715001E-3</v>
      </c>
      <c r="E1280" s="14">
        <v>1.85067436195991E-2</v>
      </c>
      <c r="F1280" s="14"/>
      <c r="G1280" s="14">
        <v>0</v>
      </c>
      <c r="H1280" s="14">
        <v>2.2712001553658798E-2</v>
      </c>
      <c r="I1280" s="14">
        <v>1.5223660177657399E-2</v>
      </c>
      <c r="J1280" s="14">
        <v>3.4379758909173302E-3</v>
      </c>
      <c r="K1280" s="14">
        <v>8.6099336397298196E-3</v>
      </c>
      <c r="L1280" s="14">
        <v>0</v>
      </c>
      <c r="M1280" s="14"/>
      <c r="N1280" s="14">
        <v>7.3713948908988598E-3</v>
      </c>
      <c r="O1280" s="14">
        <v>1.2113074705657E-2</v>
      </c>
      <c r="P1280" s="14">
        <v>9.2050687843527792E-3</v>
      </c>
      <c r="Q1280" s="14">
        <v>1.3815825780865199E-2</v>
      </c>
      <c r="R1280" s="14"/>
      <c r="S1280" s="14">
        <v>0</v>
      </c>
      <c r="T1280" s="14">
        <v>6.5754253353359797E-3</v>
      </c>
      <c r="U1280" s="14">
        <v>0</v>
      </c>
      <c r="V1280" s="14">
        <v>0</v>
      </c>
      <c r="W1280" s="14">
        <v>1.26538501809832E-2</v>
      </c>
      <c r="X1280" s="14">
        <v>2.7695844376419299E-2</v>
      </c>
      <c r="Y1280" s="14">
        <v>1.1993685729086901E-2</v>
      </c>
      <c r="Z1280" s="14">
        <v>2.08053941789514E-2</v>
      </c>
      <c r="AA1280" s="14">
        <v>2.2901443434013801E-2</v>
      </c>
      <c r="AB1280" s="14"/>
      <c r="AC1280" s="14">
        <v>1.3045450540140001E-2</v>
      </c>
      <c r="AD1280" s="14">
        <v>3.1670785388842999E-3</v>
      </c>
      <c r="AE1280" s="14">
        <v>1.14683771626806E-2</v>
      </c>
      <c r="AF1280" s="14">
        <v>0</v>
      </c>
      <c r="AG1280" s="14">
        <v>0</v>
      </c>
      <c r="AH1280" s="14"/>
      <c r="AI1280" s="14">
        <v>1.33471439110794E-2</v>
      </c>
      <c r="AJ1280" s="14">
        <v>0</v>
      </c>
      <c r="AK1280" s="14">
        <v>9.1617982984362901E-3</v>
      </c>
      <c r="AL1280" s="14">
        <v>3.21342797368116E-3</v>
      </c>
      <c r="AM1280" s="14">
        <v>0</v>
      </c>
      <c r="AN1280" s="14">
        <v>0</v>
      </c>
      <c r="AO1280" s="14"/>
      <c r="AP1280" s="14">
        <v>6.1513078265014098E-3</v>
      </c>
      <c r="AQ1280" s="14">
        <v>1.5328750749561301E-2</v>
      </c>
      <c r="AR1280" s="14"/>
      <c r="AS1280" s="14" t="s">
        <v>88</v>
      </c>
      <c r="AT1280" s="14">
        <v>0</v>
      </c>
      <c r="AU1280" s="14">
        <v>1.05424731285592E-2</v>
      </c>
      <c r="AV1280" s="14"/>
      <c r="AW1280" s="14">
        <v>1.25198313761291E-2</v>
      </c>
      <c r="AX1280" s="14">
        <v>0</v>
      </c>
      <c r="AY1280" s="14"/>
      <c r="AZ1280" s="14">
        <v>2.78404689902873E-3</v>
      </c>
      <c r="BA1280" s="14">
        <v>3.94374547819503E-2</v>
      </c>
    </row>
    <row r="1281" spans="2:53" x14ac:dyDescent="0.35">
      <c r="B1281" t="s">
        <v>116</v>
      </c>
      <c r="C1281" s="14">
        <v>1.84384706274732E-2</v>
      </c>
      <c r="D1281" s="14">
        <v>1.45260418377099E-2</v>
      </c>
      <c r="E1281" s="14">
        <v>2.23127512152991E-2</v>
      </c>
      <c r="F1281" s="14"/>
      <c r="G1281" s="14">
        <v>0</v>
      </c>
      <c r="H1281" s="14">
        <v>0</v>
      </c>
      <c r="I1281" s="14">
        <v>2.13110213079785E-2</v>
      </c>
      <c r="J1281" s="14">
        <v>1.8221698884299E-2</v>
      </c>
      <c r="K1281" s="14">
        <v>2.6499102313441901E-2</v>
      </c>
      <c r="L1281" s="14">
        <v>0</v>
      </c>
      <c r="M1281" s="14"/>
      <c r="N1281" s="14">
        <v>1.09684633395564E-2</v>
      </c>
      <c r="O1281" s="14">
        <v>2.03124261058804E-2</v>
      </c>
      <c r="P1281" s="14">
        <v>2.67103198763591E-2</v>
      </c>
      <c r="Q1281" s="14">
        <v>1.7248655812210099E-2</v>
      </c>
      <c r="R1281" s="14"/>
      <c r="S1281" s="14">
        <v>1.2115350851984501E-2</v>
      </c>
      <c r="T1281" s="14">
        <v>7.4787647930842803E-3</v>
      </c>
      <c r="U1281" s="14">
        <v>2.0271488250274899E-2</v>
      </c>
      <c r="V1281" s="14">
        <v>3.3933367760172597E-2</v>
      </c>
      <c r="W1281" s="14">
        <v>0</v>
      </c>
      <c r="X1281" s="14">
        <v>2.1062581333577999E-2</v>
      </c>
      <c r="Y1281" s="14">
        <v>1.7124904260319301E-2</v>
      </c>
      <c r="Z1281" s="14">
        <v>4.4398616188962597E-2</v>
      </c>
      <c r="AA1281" s="14">
        <v>2.5076280607406101E-2</v>
      </c>
      <c r="AB1281" s="14"/>
      <c r="AC1281" s="14">
        <v>3.17615609764706E-2</v>
      </c>
      <c r="AD1281" s="14">
        <v>1.2478638000570299E-2</v>
      </c>
      <c r="AE1281" s="14">
        <v>2.8688069271617E-2</v>
      </c>
      <c r="AF1281" s="14">
        <v>4.6762821160260997E-3</v>
      </c>
      <c r="AG1281" s="14">
        <v>0</v>
      </c>
      <c r="AH1281" s="14"/>
      <c r="AI1281" s="14">
        <v>1.37328358222973E-2</v>
      </c>
      <c r="AJ1281" s="14">
        <v>3.48449113743882E-3</v>
      </c>
      <c r="AK1281" s="14">
        <v>3.2217410928850998E-2</v>
      </c>
      <c r="AL1281" s="14">
        <v>1.79474117180425E-2</v>
      </c>
      <c r="AM1281" s="14">
        <v>0</v>
      </c>
      <c r="AN1281" s="14">
        <v>2.60380105080361E-2</v>
      </c>
      <c r="AO1281" s="14"/>
      <c r="AP1281" s="14">
        <v>9.9320887853145707E-3</v>
      </c>
      <c r="AQ1281" s="14">
        <v>2.85087039142814E-2</v>
      </c>
      <c r="AR1281" s="14"/>
      <c r="AS1281" s="14" t="s">
        <v>88</v>
      </c>
      <c r="AT1281" s="14">
        <v>0</v>
      </c>
      <c r="AU1281" s="14">
        <v>1.87784434775147E-2</v>
      </c>
      <c r="AV1281" s="14"/>
      <c r="AW1281" s="14">
        <v>1.82098514937757E-2</v>
      </c>
      <c r="AX1281" s="14">
        <v>0</v>
      </c>
      <c r="AY1281" s="14"/>
      <c r="AZ1281" s="14">
        <v>1.2758223295130201E-2</v>
      </c>
      <c r="BA1281" s="14">
        <v>4.0322094185370097E-2</v>
      </c>
    </row>
    <row r="1282" spans="2:53" x14ac:dyDescent="0.35">
      <c r="B1282" t="s">
        <v>224</v>
      </c>
      <c r="C1282" s="14">
        <v>0.86077153380418503</v>
      </c>
      <c r="D1282" s="14">
        <v>0.89518240856234499</v>
      </c>
      <c r="E1282" s="14">
        <v>0.82673918385720202</v>
      </c>
      <c r="F1282" s="14"/>
      <c r="G1282" s="14">
        <v>1</v>
      </c>
      <c r="H1282" s="14">
        <v>0.86268009020513203</v>
      </c>
      <c r="I1282" s="14">
        <v>0.84905408460772502</v>
      </c>
      <c r="J1282" s="14">
        <v>0.86725885681669901</v>
      </c>
      <c r="K1282" s="14">
        <v>0.88077224376650498</v>
      </c>
      <c r="L1282" s="14">
        <v>0.84400093241673102</v>
      </c>
      <c r="M1282" s="14"/>
      <c r="N1282" s="14">
        <v>0.88222888892345197</v>
      </c>
      <c r="O1282" s="14">
        <v>0.86838427682223096</v>
      </c>
      <c r="P1282" s="14">
        <v>0.82244000344931301</v>
      </c>
      <c r="Q1282" s="14">
        <v>0.86458711228225205</v>
      </c>
      <c r="R1282" s="14"/>
      <c r="S1282" s="14">
        <v>0.92696988911698697</v>
      </c>
      <c r="T1282" s="14">
        <v>0.83499426082332195</v>
      </c>
      <c r="U1282" s="14">
        <v>0.87281552922653605</v>
      </c>
      <c r="V1282" s="14">
        <v>0.81233569397164496</v>
      </c>
      <c r="W1282" s="14">
        <v>0.87639808749181003</v>
      </c>
      <c r="X1282" s="14">
        <v>0.84671608811561405</v>
      </c>
      <c r="Y1282" s="14">
        <v>0.84852839716009798</v>
      </c>
      <c r="Z1282" s="14">
        <v>0.80769332902886304</v>
      </c>
      <c r="AA1282" s="14">
        <v>0.87656210642541998</v>
      </c>
      <c r="AB1282" s="14"/>
      <c r="AC1282" s="14">
        <v>0.82789594203583405</v>
      </c>
      <c r="AD1282" s="14">
        <v>0.86219915462302099</v>
      </c>
      <c r="AE1282" s="14">
        <v>0.87734333010136401</v>
      </c>
      <c r="AF1282" s="14">
        <v>0.893287168588351</v>
      </c>
      <c r="AG1282" s="14">
        <v>0.96493008726553098</v>
      </c>
      <c r="AH1282" s="14"/>
      <c r="AI1282" s="14">
        <v>0.88918464282437404</v>
      </c>
      <c r="AJ1282" s="14">
        <v>0.91027318554042702</v>
      </c>
      <c r="AK1282" s="14">
        <v>0.85951803143598104</v>
      </c>
      <c r="AL1282" s="14">
        <v>0.87619257584209698</v>
      </c>
      <c r="AM1282" s="14">
        <v>0.85934261939826395</v>
      </c>
      <c r="AN1282" s="14">
        <v>0.71453140411744198</v>
      </c>
      <c r="AO1282" s="14"/>
      <c r="AP1282" s="14">
        <v>0.87626434786119101</v>
      </c>
      <c r="AQ1282" s="14">
        <v>0.84203726524330802</v>
      </c>
      <c r="AR1282" s="14"/>
      <c r="AS1282" s="14" t="s">
        <v>88</v>
      </c>
      <c r="AT1282" s="14">
        <v>0.18504772659757199</v>
      </c>
      <c r="AU1282" s="14">
        <v>0.87323068799426595</v>
      </c>
      <c r="AV1282" s="14"/>
      <c r="AW1282" s="14">
        <v>0.86708240569141604</v>
      </c>
      <c r="AX1282" s="14">
        <v>0.94322986350667304</v>
      </c>
      <c r="AY1282" s="14"/>
      <c r="AZ1282" s="14">
        <v>0.89166988447608797</v>
      </c>
      <c r="BA1282" s="14">
        <v>0.74154460991955395</v>
      </c>
    </row>
    <row r="1283" spans="2:53" x14ac:dyDescent="0.35">
      <c r="C1283" s="14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</row>
    <row r="1284" spans="2:53" x14ac:dyDescent="0.35">
      <c r="B1284" s="6" t="s">
        <v>337</v>
      </c>
      <c r="C1284" s="14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</row>
    <row r="1285" spans="2:53" x14ac:dyDescent="0.35">
      <c r="B1285" s="30" t="s">
        <v>463</v>
      </c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</row>
    <row r="1286" spans="2:53" x14ac:dyDescent="0.35">
      <c r="B1286" t="s">
        <v>226</v>
      </c>
      <c r="C1286" s="14">
        <v>0.197008668454873</v>
      </c>
      <c r="D1286" s="14">
        <v>0.23562958638641701</v>
      </c>
      <c r="E1286" s="14">
        <v>0.15947470939750499</v>
      </c>
      <c r="F1286" s="14"/>
      <c r="G1286" s="14">
        <v>0</v>
      </c>
      <c r="H1286" s="14">
        <v>0.33991993394824999</v>
      </c>
      <c r="I1286" s="14">
        <v>0.20937829874345801</v>
      </c>
      <c r="J1286" s="14">
        <v>0.16760152813663101</v>
      </c>
      <c r="K1286" s="14">
        <v>0.16822267657856299</v>
      </c>
      <c r="L1286" s="14">
        <v>8.1432030959912305E-2</v>
      </c>
      <c r="M1286" s="14"/>
      <c r="N1286" s="14">
        <v>0.220061058179572</v>
      </c>
      <c r="O1286" s="14">
        <v>0.20817148867968799</v>
      </c>
      <c r="P1286" s="14">
        <v>0.16315841978645801</v>
      </c>
      <c r="Q1286" s="14">
        <v>0.191529553741727</v>
      </c>
      <c r="R1286" s="14"/>
      <c r="S1286" s="14">
        <v>0.31947160757700599</v>
      </c>
      <c r="T1286" s="14">
        <v>0.16603345576280501</v>
      </c>
      <c r="U1286" s="14">
        <v>0.25525126774530799</v>
      </c>
      <c r="V1286" s="14">
        <v>0.15749662059761199</v>
      </c>
      <c r="W1286" s="14">
        <v>0.136809657595517</v>
      </c>
      <c r="X1286" s="14">
        <v>0.18752583609853701</v>
      </c>
      <c r="Y1286" s="14">
        <v>0.17759023190581799</v>
      </c>
      <c r="Z1286" s="14">
        <v>0.14493399710209301</v>
      </c>
      <c r="AA1286" s="14">
        <v>0.17166860208923401</v>
      </c>
      <c r="AB1286" s="14"/>
      <c r="AC1286" s="14">
        <v>0.13775342539362201</v>
      </c>
      <c r="AD1286" s="14">
        <v>0.16397254000807099</v>
      </c>
      <c r="AE1286" s="14">
        <v>0.195799243823015</v>
      </c>
      <c r="AF1286" s="14">
        <v>0.341348913090814</v>
      </c>
      <c r="AG1286" s="14">
        <v>0.42463517994613298</v>
      </c>
      <c r="AH1286" s="14"/>
      <c r="AI1286" s="14">
        <v>0.22373046585631101</v>
      </c>
      <c r="AJ1286" s="14">
        <v>0.24380274113519601</v>
      </c>
      <c r="AK1286" s="14">
        <v>0.19492909698597499</v>
      </c>
      <c r="AL1286" s="14">
        <v>0.187057642217343</v>
      </c>
      <c r="AM1286" s="14">
        <v>0.15278175398768801</v>
      </c>
      <c r="AN1286" s="14">
        <v>0.10854118673086199</v>
      </c>
      <c r="AO1286" s="14"/>
      <c r="AP1286" s="14">
        <v>0.22917100423027201</v>
      </c>
      <c r="AQ1286" s="14">
        <v>0.15859379742411001</v>
      </c>
      <c r="AR1286" s="14"/>
      <c r="AS1286" s="14" t="s">
        <v>88</v>
      </c>
      <c r="AT1286" s="14">
        <v>0.20293550164084601</v>
      </c>
      <c r="AU1286" s="14">
        <v>0.19689938811320801</v>
      </c>
      <c r="AV1286" s="14"/>
      <c r="AW1286" s="14">
        <v>0.16743695205752501</v>
      </c>
      <c r="AX1286" s="14">
        <v>0.38112609050019602</v>
      </c>
      <c r="AY1286" s="14"/>
      <c r="AZ1286" s="14">
        <v>0.224773103207905</v>
      </c>
      <c r="BA1286" s="14">
        <v>9.1433940923024898E-2</v>
      </c>
    </row>
    <row r="1287" spans="2:53" x14ac:dyDescent="0.35">
      <c r="B1287" t="s">
        <v>227</v>
      </c>
      <c r="C1287" s="14">
        <v>0.38072959735572498</v>
      </c>
      <c r="D1287" s="14">
        <v>0.41939108127553598</v>
      </c>
      <c r="E1287" s="14">
        <v>0.34350016739035699</v>
      </c>
      <c r="F1287" s="14"/>
      <c r="G1287" s="14">
        <v>1</v>
      </c>
      <c r="H1287" s="14">
        <v>0.37110573309487599</v>
      </c>
      <c r="I1287" s="14">
        <v>0.39471333116546597</v>
      </c>
      <c r="J1287" s="14">
        <v>0.35958041237833899</v>
      </c>
      <c r="K1287" s="14">
        <v>0.39200143788679997</v>
      </c>
      <c r="L1287" s="14">
        <v>0.42183029713903802</v>
      </c>
      <c r="M1287" s="14"/>
      <c r="N1287" s="14">
        <v>0.41986419428455402</v>
      </c>
      <c r="O1287" s="14">
        <v>0.33097318406784498</v>
      </c>
      <c r="P1287" s="14">
        <v>0.437035143418192</v>
      </c>
      <c r="Q1287" s="14">
        <v>0.32897456983513901</v>
      </c>
      <c r="R1287" s="14"/>
      <c r="S1287" s="14">
        <v>0.42763870477681099</v>
      </c>
      <c r="T1287" s="14">
        <v>0.36394479286224402</v>
      </c>
      <c r="U1287" s="14">
        <v>0.34339011887395599</v>
      </c>
      <c r="V1287" s="14">
        <v>0.30861358017826301</v>
      </c>
      <c r="W1287" s="14">
        <v>0.45142971943490501</v>
      </c>
      <c r="X1287" s="14">
        <v>0.36360530799082902</v>
      </c>
      <c r="Y1287" s="14">
        <v>0.39754623900224101</v>
      </c>
      <c r="Z1287" s="14">
        <v>0.42351130583251001</v>
      </c>
      <c r="AA1287" s="14">
        <v>0.36667568367484599</v>
      </c>
      <c r="AB1287" s="14"/>
      <c r="AC1287" s="14">
        <v>0.33212225548831698</v>
      </c>
      <c r="AD1287" s="14">
        <v>0.43425137479827702</v>
      </c>
      <c r="AE1287" s="14">
        <v>0.42300884870227901</v>
      </c>
      <c r="AF1287" s="14">
        <v>0.35994064009079901</v>
      </c>
      <c r="AG1287" s="14">
        <v>0.42588278218285602</v>
      </c>
      <c r="AH1287" s="14"/>
      <c r="AI1287" s="14">
        <v>0.40368734822392799</v>
      </c>
      <c r="AJ1287" s="14">
        <v>0.409656375840669</v>
      </c>
      <c r="AK1287" s="14">
        <v>0.39391323326781902</v>
      </c>
      <c r="AL1287" s="14">
        <v>0.322525667083437</v>
      </c>
      <c r="AM1287" s="14">
        <v>0.31095571781688303</v>
      </c>
      <c r="AN1287" s="14">
        <v>0.38136012425904398</v>
      </c>
      <c r="AO1287" s="14"/>
      <c r="AP1287" s="14">
        <v>0.42243490627505298</v>
      </c>
      <c r="AQ1287" s="14">
        <v>0.333110414074275</v>
      </c>
      <c r="AR1287" s="14"/>
      <c r="AS1287" s="14" t="s">
        <v>88</v>
      </c>
      <c r="AT1287" s="14">
        <v>0</v>
      </c>
      <c r="AU1287" s="14">
        <v>0.38774957905178498</v>
      </c>
      <c r="AV1287" s="14"/>
      <c r="AW1287" s="14">
        <v>0.380603468072228</v>
      </c>
      <c r="AX1287" s="14">
        <v>0.40892993719566401</v>
      </c>
      <c r="AY1287" s="14"/>
      <c r="AZ1287" s="14">
        <v>0.40970198712413902</v>
      </c>
      <c r="BA1287" s="14">
        <v>0.26656837693108698</v>
      </c>
    </row>
    <row r="1288" spans="2:53" x14ac:dyDescent="0.35">
      <c r="B1288" t="s">
        <v>228</v>
      </c>
      <c r="C1288" s="14">
        <v>0.26007438033114899</v>
      </c>
      <c r="D1288" s="14">
        <v>0.22409086150798799</v>
      </c>
      <c r="E1288" s="14">
        <v>0.29400238365847697</v>
      </c>
      <c r="F1288" s="14"/>
      <c r="G1288" s="14">
        <v>0</v>
      </c>
      <c r="H1288" s="14">
        <v>0.15821834334142901</v>
      </c>
      <c r="I1288" s="14">
        <v>0.24193190546135801</v>
      </c>
      <c r="J1288" s="14">
        <v>0.29864100819547601</v>
      </c>
      <c r="K1288" s="14">
        <v>0.24177452284030401</v>
      </c>
      <c r="L1288" s="14">
        <v>0.44188145990595101</v>
      </c>
      <c r="M1288" s="14"/>
      <c r="N1288" s="14">
        <v>0.20713821100100999</v>
      </c>
      <c r="O1288" s="14">
        <v>0.305308027892992</v>
      </c>
      <c r="P1288" s="14">
        <v>0.25942131260812901</v>
      </c>
      <c r="Q1288" s="14">
        <v>0.27397220229156999</v>
      </c>
      <c r="R1288" s="14"/>
      <c r="S1288" s="14">
        <v>0.15035515846985001</v>
      </c>
      <c r="T1288" s="14">
        <v>0.31442489063920398</v>
      </c>
      <c r="U1288" s="14">
        <v>0.25778273045815497</v>
      </c>
      <c r="V1288" s="14">
        <v>0.301341563461202</v>
      </c>
      <c r="W1288" s="14">
        <v>0.25263852230615602</v>
      </c>
      <c r="X1288" s="14">
        <v>0.293043525989307</v>
      </c>
      <c r="Y1288" s="14">
        <v>0.198480022854095</v>
      </c>
      <c r="Z1288" s="14">
        <v>0.30353620279397397</v>
      </c>
      <c r="AA1288" s="14">
        <v>0.29978354659654999</v>
      </c>
      <c r="AB1288" s="14"/>
      <c r="AC1288" s="14">
        <v>0.33433628664758802</v>
      </c>
      <c r="AD1288" s="14">
        <v>0.24021870267679599</v>
      </c>
      <c r="AE1288" s="14">
        <v>0.23673558587149501</v>
      </c>
      <c r="AF1288" s="14">
        <v>0.198555944763319</v>
      </c>
      <c r="AG1288" s="14">
        <v>7.1060646822450002E-2</v>
      </c>
      <c r="AH1288" s="14"/>
      <c r="AI1288" s="14">
        <v>0.23452031954791</v>
      </c>
      <c r="AJ1288" s="14">
        <v>0.21781867746208899</v>
      </c>
      <c r="AK1288" s="14">
        <v>0.215819061101962</v>
      </c>
      <c r="AL1288" s="14">
        <v>0.35110927159147898</v>
      </c>
      <c r="AM1288" s="14">
        <v>0.30321575367654002</v>
      </c>
      <c r="AN1288" s="14">
        <v>0.29341917620650598</v>
      </c>
      <c r="AO1288" s="14"/>
      <c r="AP1288" s="14">
        <v>0.228237500496697</v>
      </c>
      <c r="AQ1288" s="14">
        <v>0.298475385073525</v>
      </c>
      <c r="AR1288" s="14"/>
      <c r="AS1288" s="14" t="s">
        <v>88</v>
      </c>
      <c r="AT1288" s="14">
        <v>0.38047047962411101</v>
      </c>
      <c r="AU1288" s="14">
        <v>0.25785448878821798</v>
      </c>
      <c r="AV1288" s="14"/>
      <c r="AW1288" s="14">
        <v>0.29036627160154099</v>
      </c>
      <c r="AX1288" s="14">
        <v>0.149122272984994</v>
      </c>
      <c r="AY1288" s="14"/>
      <c r="AZ1288" s="14">
        <v>0.23194431225235099</v>
      </c>
      <c r="BA1288" s="14">
        <v>0.36926480195337402</v>
      </c>
    </row>
    <row r="1289" spans="2:53" x14ac:dyDescent="0.35">
      <c r="B1289" t="s">
        <v>229</v>
      </c>
      <c r="C1289" s="14">
        <v>0.11839203817614299</v>
      </c>
      <c r="D1289" s="14">
        <v>8.955398218657E-2</v>
      </c>
      <c r="E1289" s="14">
        <v>0.14691607906030199</v>
      </c>
      <c r="F1289" s="14"/>
      <c r="G1289" s="14">
        <v>0</v>
      </c>
      <c r="H1289" s="14">
        <v>7.0155454336987097E-2</v>
      </c>
      <c r="I1289" s="14">
        <v>0.115571752064117</v>
      </c>
      <c r="J1289" s="14">
        <v>0.13443352168317599</v>
      </c>
      <c r="K1289" s="14">
        <v>0.126400731441703</v>
      </c>
      <c r="L1289" s="14">
        <v>5.4856211995099401E-2</v>
      </c>
      <c r="M1289" s="14"/>
      <c r="N1289" s="14">
        <v>0.108186231074704</v>
      </c>
      <c r="O1289" s="14">
        <v>0.113663539111984</v>
      </c>
      <c r="P1289" s="14">
        <v>9.9022727031609206E-2</v>
      </c>
      <c r="Q1289" s="14">
        <v>0.157243414202001</v>
      </c>
      <c r="R1289" s="14"/>
      <c r="S1289" s="14">
        <v>6.4257308813775393E-2</v>
      </c>
      <c r="T1289" s="14">
        <v>0.125117414279624</v>
      </c>
      <c r="U1289" s="14">
        <v>0.106763361537332</v>
      </c>
      <c r="V1289" s="14">
        <v>0.14136464601422399</v>
      </c>
      <c r="W1289" s="14">
        <v>0.122541492002568</v>
      </c>
      <c r="X1289" s="14">
        <v>9.9676530804314004E-2</v>
      </c>
      <c r="Y1289" s="14">
        <v>0.173340769635137</v>
      </c>
      <c r="Z1289" s="14">
        <v>8.3619878082460602E-2</v>
      </c>
      <c r="AA1289" s="14">
        <v>0.14280632423602899</v>
      </c>
      <c r="AB1289" s="14"/>
      <c r="AC1289" s="14">
        <v>0.13009559115782601</v>
      </c>
      <c r="AD1289" s="14">
        <v>0.122457895358279</v>
      </c>
      <c r="AE1289" s="14">
        <v>0.10250357000279101</v>
      </c>
      <c r="AF1289" s="14">
        <v>6.7144938654452493E-2</v>
      </c>
      <c r="AG1289" s="14">
        <v>6.4802652180658102E-2</v>
      </c>
      <c r="AH1289" s="14"/>
      <c r="AI1289" s="14">
        <v>0.104265032963093</v>
      </c>
      <c r="AJ1289" s="14">
        <v>0.101356273684249</v>
      </c>
      <c r="AK1289" s="14">
        <v>0.114179705144521</v>
      </c>
      <c r="AL1289" s="14">
        <v>9.4924475221852406E-2</v>
      </c>
      <c r="AM1289" s="14">
        <v>0.208194977404386</v>
      </c>
      <c r="AN1289" s="14">
        <v>0.161109497255568</v>
      </c>
      <c r="AO1289" s="14"/>
      <c r="AP1289" s="14">
        <v>8.2333949600117196E-2</v>
      </c>
      <c r="AQ1289" s="14">
        <v>0.15883955665195401</v>
      </c>
      <c r="AR1289" s="14"/>
      <c r="AS1289" s="14" t="s">
        <v>88</v>
      </c>
      <c r="AT1289" s="14">
        <v>0</v>
      </c>
      <c r="AU1289" s="14">
        <v>0.12057497836973</v>
      </c>
      <c r="AV1289" s="14"/>
      <c r="AW1289" s="14">
        <v>0.11471418296901099</v>
      </c>
      <c r="AX1289" s="14">
        <v>4.6931959882179901E-2</v>
      </c>
      <c r="AY1289" s="14"/>
      <c r="AZ1289" s="14">
        <v>9.8549277091276893E-2</v>
      </c>
      <c r="BA1289" s="14">
        <v>0.19509925004874801</v>
      </c>
    </row>
    <row r="1290" spans="2:53" x14ac:dyDescent="0.35">
      <c r="B1290" t="s">
        <v>116</v>
      </c>
      <c r="C1290" s="14">
        <v>3.6475797855732003E-2</v>
      </c>
      <c r="D1290" s="14">
        <v>2.7177222036350299E-2</v>
      </c>
      <c r="E1290" s="14">
        <v>4.5669938537820601E-2</v>
      </c>
      <c r="F1290" s="14"/>
      <c r="G1290" s="14">
        <v>0</v>
      </c>
      <c r="H1290" s="14">
        <v>2.92943501056365E-2</v>
      </c>
      <c r="I1290" s="14">
        <v>3.0764276379206399E-2</v>
      </c>
      <c r="J1290" s="14">
        <v>3.5497254455539203E-2</v>
      </c>
      <c r="K1290" s="14">
        <v>7.1600631252629901E-2</v>
      </c>
      <c r="L1290" s="14">
        <v>0</v>
      </c>
      <c r="M1290" s="14"/>
      <c r="N1290" s="14">
        <v>3.1553837719707399E-2</v>
      </c>
      <c r="O1290" s="14">
        <v>4.1883760247490499E-2</v>
      </c>
      <c r="P1290" s="14">
        <v>3.62348556999414E-2</v>
      </c>
      <c r="Q1290" s="14">
        <v>3.8066322494440398E-2</v>
      </c>
      <c r="R1290" s="14"/>
      <c r="S1290" s="14">
        <v>3.2406742876575197E-2</v>
      </c>
      <c r="T1290" s="14">
        <v>2.2125799155761499E-2</v>
      </c>
      <c r="U1290" s="14">
        <v>3.6812521385249798E-2</v>
      </c>
      <c r="V1290" s="14">
        <v>8.0369321332977098E-2</v>
      </c>
      <c r="W1290" s="14">
        <v>2.9897643785001201E-2</v>
      </c>
      <c r="X1290" s="14">
        <v>4.2312529555112798E-2</v>
      </c>
      <c r="Y1290" s="14">
        <v>4.3496815184034199E-2</v>
      </c>
      <c r="Z1290" s="14">
        <v>4.4398616188962597E-2</v>
      </c>
      <c r="AA1290" s="14">
        <v>1.2338611054165E-2</v>
      </c>
      <c r="AB1290" s="14"/>
      <c r="AC1290" s="14">
        <v>6.3396398742437299E-2</v>
      </c>
      <c r="AD1290" s="14">
        <v>2.0915365696660599E-2</v>
      </c>
      <c r="AE1290" s="14">
        <v>4.1952751600419801E-2</v>
      </c>
      <c r="AF1290" s="14">
        <v>1.2896661935095101E-2</v>
      </c>
      <c r="AG1290" s="14">
        <v>1.36187388679025E-2</v>
      </c>
      <c r="AH1290" s="14"/>
      <c r="AI1290" s="14">
        <v>3.2001711658009899E-2</v>
      </c>
      <c r="AJ1290" s="14">
        <v>1.9780887897328899E-2</v>
      </c>
      <c r="AK1290" s="14">
        <v>5.4694700299529497E-2</v>
      </c>
      <c r="AL1290" s="14">
        <v>3.9383767907613401E-2</v>
      </c>
      <c r="AM1290" s="14">
        <v>2.4851797114502701E-2</v>
      </c>
      <c r="AN1290" s="14">
        <v>3.84611253918365E-2</v>
      </c>
      <c r="AO1290" s="14"/>
      <c r="AP1290" s="14">
        <v>2.9254114843306901E-2</v>
      </c>
      <c r="AQ1290" s="14">
        <v>4.5102641433582301E-2</v>
      </c>
      <c r="AR1290" s="14"/>
      <c r="AS1290" s="14" t="s">
        <v>88</v>
      </c>
      <c r="AT1290" s="14">
        <v>4.6896405605044302E-2</v>
      </c>
      <c r="AU1290" s="14">
        <v>3.6283660243710103E-2</v>
      </c>
      <c r="AV1290" s="14"/>
      <c r="AW1290" s="14">
        <v>3.9737013834704502E-2</v>
      </c>
      <c r="AX1290" s="14">
        <v>5.2115628562450604E-3</v>
      </c>
      <c r="AY1290" s="14"/>
      <c r="AZ1290" s="14">
        <v>2.7013460874556101E-2</v>
      </c>
      <c r="BA1290" s="14">
        <v>7.2958122184356697E-2</v>
      </c>
    </row>
    <row r="1291" spans="2:53" x14ac:dyDescent="0.35"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</row>
    <row r="1292" spans="2:53" x14ac:dyDescent="0.35">
      <c r="B1292" s="6" t="s">
        <v>338</v>
      </c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</row>
    <row r="1293" spans="2:53" x14ac:dyDescent="0.35">
      <c r="B1293" s="30" t="s">
        <v>463</v>
      </c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</row>
    <row r="1294" spans="2:53" x14ac:dyDescent="0.35">
      <c r="B1294" t="s">
        <v>231</v>
      </c>
      <c r="C1294" s="14">
        <v>9.7998854855435497E-2</v>
      </c>
      <c r="D1294" s="14">
        <v>9.18819559335292E-2</v>
      </c>
      <c r="E1294" s="14">
        <v>0.104185755774267</v>
      </c>
      <c r="F1294" s="14"/>
      <c r="G1294" s="14">
        <v>0</v>
      </c>
      <c r="H1294" s="14">
        <v>0.15964033877804701</v>
      </c>
      <c r="I1294" s="14">
        <v>0.113275653719834</v>
      </c>
      <c r="J1294" s="14">
        <v>8.8728177961333005E-2</v>
      </c>
      <c r="K1294" s="14">
        <v>5.0805254680522799E-2</v>
      </c>
      <c r="L1294" s="14">
        <v>0</v>
      </c>
      <c r="M1294" s="14"/>
      <c r="N1294" s="14">
        <v>9.8983936579955106E-2</v>
      </c>
      <c r="O1294" s="14">
        <v>9.5096815885208796E-2</v>
      </c>
      <c r="P1294" s="14">
        <v>0.12233130579264</v>
      </c>
      <c r="Q1294" s="14">
        <v>6.9169886550152895E-2</v>
      </c>
      <c r="R1294" s="14"/>
      <c r="S1294" s="14">
        <v>0.137068232178438</v>
      </c>
      <c r="T1294" s="14">
        <v>0.112229113524141</v>
      </c>
      <c r="U1294" s="14">
        <v>0.13987623880325101</v>
      </c>
      <c r="V1294" s="14">
        <v>7.0187850619837996E-2</v>
      </c>
      <c r="W1294" s="14">
        <v>4.9667520398827499E-2</v>
      </c>
      <c r="X1294" s="14">
        <v>0.108256555810921</v>
      </c>
      <c r="Y1294" s="14">
        <v>8.4511831896318196E-2</v>
      </c>
      <c r="Z1294" s="14">
        <v>7.5010540196460404E-2</v>
      </c>
      <c r="AA1294" s="14">
        <v>7.9527688739733704E-2</v>
      </c>
      <c r="AB1294" s="14"/>
      <c r="AC1294" s="14">
        <v>0.13583162610531299</v>
      </c>
      <c r="AD1294" s="14">
        <v>6.8084949614897403E-2</v>
      </c>
      <c r="AE1294" s="14">
        <v>6.5566746908326798E-2</v>
      </c>
      <c r="AF1294" s="14">
        <v>0.154934771012291</v>
      </c>
      <c r="AG1294" s="14">
        <v>0.14630982847368501</v>
      </c>
      <c r="AH1294" s="14"/>
      <c r="AI1294" s="14">
        <v>0.10851452685660801</v>
      </c>
      <c r="AJ1294" s="14">
        <v>9.1764367939868002E-2</v>
      </c>
      <c r="AK1294" s="14">
        <v>0.11088280717931499</v>
      </c>
      <c r="AL1294" s="14">
        <v>4.2588858136286198E-2</v>
      </c>
      <c r="AM1294" s="14">
        <v>9.6208488065818207E-2</v>
      </c>
      <c r="AN1294" s="14">
        <v>0.118764118698829</v>
      </c>
      <c r="AO1294" s="14"/>
      <c r="AP1294" s="14">
        <v>9.6692284251957E-2</v>
      </c>
      <c r="AQ1294" s="14">
        <v>9.9899815628219299E-2</v>
      </c>
      <c r="AR1294" s="14"/>
      <c r="AS1294" s="14" t="s">
        <v>88</v>
      </c>
      <c r="AT1294" s="14">
        <v>6.10356316474936E-2</v>
      </c>
      <c r="AU1294" s="14">
        <v>9.8680391442423396E-2</v>
      </c>
      <c r="AV1294" s="14"/>
      <c r="AW1294" s="14">
        <v>8.4227412050341899E-2</v>
      </c>
      <c r="AX1294" s="14">
        <v>0.13461489046905001</v>
      </c>
      <c r="AY1294" s="14"/>
      <c r="AZ1294" s="14">
        <v>9.9580132507906996E-2</v>
      </c>
      <c r="BA1294" s="14">
        <v>9.2406128041972194E-2</v>
      </c>
    </row>
    <row r="1295" spans="2:53" x14ac:dyDescent="0.35">
      <c r="B1295" t="s">
        <v>232</v>
      </c>
      <c r="C1295" s="14">
        <v>0.75649802963884005</v>
      </c>
      <c r="D1295" s="14">
        <v>0.77346180751208904</v>
      </c>
      <c r="E1295" s="14">
        <v>0.73939311204465097</v>
      </c>
      <c r="F1295" s="14"/>
      <c r="G1295" s="14">
        <v>1</v>
      </c>
      <c r="H1295" s="14">
        <v>0.67521872148678497</v>
      </c>
      <c r="I1295" s="14">
        <v>0.70336844877521998</v>
      </c>
      <c r="J1295" s="14">
        <v>0.807349398336352</v>
      </c>
      <c r="K1295" s="14">
        <v>0.81489895646312605</v>
      </c>
      <c r="L1295" s="14">
        <v>0.85509124976545603</v>
      </c>
      <c r="M1295" s="14"/>
      <c r="N1295" s="14">
        <v>0.77391444425708</v>
      </c>
      <c r="O1295" s="14">
        <v>0.74814432422442401</v>
      </c>
      <c r="P1295" s="14">
        <v>0.73283653885784605</v>
      </c>
      <c r="Q1295" s="14">
        <v>0.77343393018293605</v>
      </c>
      <c r="R1295" s="14"/>
      <c r="S1295" s="14">
        <v>0.72167171622920601</v>
      </c>
      <c r="T1295" s="14">
        <v>0.79847495182511197</v>
      </c>
      <c r="U1295" s="14">
        <v>0.74078833185224602</v>
      </c>
      <c r="V1295" s="14">
        <v>0.75413052431239402</v>
      </c>
      <c r="W1295" s="14">
        <v>0.72123312004465001</v>
      </c>
      <c r="X1295" s="14">
        <v>0.726641547284678</v>
      </c>
      <c r="Y1295" s="14">
        <v>0.792585970616413</v>
      </c>
      <c r="Z1295" s="14">
        <v>0.77260154274311699</v>
      </c>
      <c r="AA1295" s="14">
        <v>0.77214727132782102</v>
      </c>
      <c r="AB1295" s="14"/>
      <c r="AC1295" s="14">
        <v>0.68634408799551605</v>
      </c>
      <c r="AD1295" s="14">
        <v>0.81995132856245201</v>
      </c>
      <c r="AE1295" s="14">
        <v>0.75350100268934705</v>
      </c>
      <c r="AF1295" s="14">
        <v>0.71944653512538104</v>
      </c>
      <c r="AG1295" s="14">
        <v>0.76284054753256703</v>
      </c>
      <c r="AH1295" s="14"/>
      <c r="AI1295" s="14">
        <v>0.73714940973641996</v>
      </c>
      <c r="AJ1295" s="14">
        <v>0.78349265021771997</v>
      </c>
      <c r="AK1295" s="14">
        <v>0.77390662507664199</v>
      </c>
      <c r="AL1295" s="14">
        <v>0.82320590114315095</v>
      </c>
      <c r="AM1295" s="14">
        <v>0.78564747141057301</v>
      </c>
      <c r="AN1295" s="14">
        <v>0.62514214868671303</v>
      </c>
      <c r="AO1295" s="14"/>
      <c r="AP1295" s="14">
        <v>0.77671613213455604</v>
      </c>
      <c r="AQ1295" s="14">
        <v>0.73420918193902496</v>
      </c>
      <c r="AR1295" s="14"/>
      <c r="AS1295" s="14" t="s">
        <v>88</v>
      </c>
      <c r="AT1295" s="14">
        <v>0.83994819679074395</v>
      </c>
      <c r="AU1295" s="14">
        <v>0.75495935586614704</v>
      </c>
      <c r="AV1295" s="14"/>
      <c r="AW1295" s="14">
        <v>0.76653459837242</v>
      </c>
      <c r="AX1295" s="14">
        <v>0.75932637480032705</v>
      </c>
      <c r="AY1295" s="14"/>
      <c r="AZ1295" s="14">
        <v>0.76156863317459</v>
      </c>
      <c r="BA1295" s="14">
        <v>0.735863962982651</v>
      </c>
    </row>
    <row r="1296" spans="2:53" x14ac:dyDescent="0.35">
      <c r="B1296" t="s">
        <v>233</v>
      </c>
      <c r="C1296" s="14">
        <v>8.3638826951177206E-2</v>
      </c>
      <c r="D1296" s="14">
        <v>9.1846841166588603E-2</v>
      </c>
      <c r="E1296" s="14">
        <v>7.5740107709699106E-2</v>
      </c>
      <c r="F1296" s="14"/>
      <c r="G1296" s="14">
        <v>0</v>
      </c>
      <c r="H1296" s="14">
        <v>0.15386118336504601</v>
      </c>
      <c r="I1296" s="14">
        <v>0.120043548016063</v>
      </c>
      <c r="J1296" s="14">
        <v>3.8970906900412897E-2</v>
      </c>
      <c r="K1296" s="14">
        <v>5.6517312816085498E-2</v>
      </c>
      <c r="L1296" s="14">
        <v>4.8846179429424701E-2</v>
      </c>
      <c r="M1296" s="14"/>
      <c r="N1296" s="14">
        <v>7.5856447736435503E-2</v>
      </c>
      <c r="O1296" s="14">
        <v>6.4554264928568805E-2</v>
      </c>
      <c r="P1296" s="14">
        <v>9.2742462900328601E-2</v>
      </c>
      <c r="Q1296" s="14">
        <v>0.105961652156351</v>
      </c>
      <c r="R1296" s="14"/>
      <c r="S1296" s="14">
        <v>6.8678345182562203E-2</v>
      </c>
      <c r="T1296" s="14">
        <v>4.5070341869276997E-2</v>
      </c>
      <c r="U1296" s="14">
        <v>2.2140031932643401E-2</v>
      </c>
      <c r="V1296" s="14">
        <v>0.11048927514236501</v>
      </c>
      <c r="W1296" s="14">
        <v>0.174985111877066</v>
      </c>
      <c r="X1296" s="14">
        <v>0.12730596579765099</v>
      </c>
      <c r="Y1296" s="14">
        <v>6.45584638918765E-2</v>
      </c>
      <c r="Z1296" s="14">
        <v>7.3793548920208396E-2</v>
      </c>
      <c r="AA1296" s="14">
        <v>8.6482797441807202E-2</v>
      </c>
      <c r="AB1296" s="14"/>
      <c r="AC1296" s="14">
        <v>8.2093193282503599E-2</v>
      </c>
      <c r="AD1296" s="14">
        <v>4.9700174294662197E-2</v>
      </c>
      <c r="AE1296" s="14">
        <v>0.11655525527884</v>
      </c>
      <c r="AF1296" s="14">
        <v>9.7312282580871698E-2</v>
      </c>
      <c r="AG1296" s="14">
        <v>9.0849623993747505E-2</v>
      </c>
      <c r="AH1296" s="14"/>
      <c r="AI1296" s="14">
        <v>0.112629139764174</v>
      </c>
      <c r="AJ1296" s="14">
        <v>9.2943610935789095E-2</v>
      </c>
      <c r="AK1296" s="14">
        <v>8.1533683938906601E-2</v>
      </c>
      <c r="AL1296" s="14">
        <v>3.9690419618042101E-2</v>
      </c>
      <c r="AM1296" s="14">
        <v>7.02172362963078E-2</v>
      </c>
      <c r="AN1296" s="14">
        <v>7.9291594921182096E-2</v>
      </c>
      <c r="AO1296" s="14"/>
      <c r="AP1296" s="14">
        <v>8.0114983159514097E-2</v>
      </c>
      <c r="AQ1296" s="14">
        <v>8.80933630570577E-2</v>
      </c>
      <c r="AR1296" s="14"/>
      <c r="AS1296" s="14" t="s">
        <v>88</v>
      </c>
      <c r="AT1296" s="14">
        <v>0</v>
      </c>
      <c r="AU1296" s="14">
        <v>8.5180979277539606E-2</v>
      </c>
      <c r="AV1296" s="14"/>
      <c r="AW1296" s="14">
        <v>8.4683725180575903E-2</v>
      </c>
      <c r="AX1296" s="14">
        <v>7.4091252931683005E-2</v>
      </c>
      <c r="AY1296" s="14"/>
      <c r="AZ1296" s="14">
        <v>9.1716188093880505E-2</v>
      </c>
      <c r="BA1296" s="14">
        <v>5.3051965145585599E-2</v>
      </c>
    </row>
    <row r="1297" spans="2:53" x14ac:dyDescent="0.35">
      <c r="B1297" t="s">
        <v>116</v>
      </c>
      <c r="C1297" s="14">
        <v>6.1864288554547002E-2</v>
      </c>
      <c r="D1297" s="14">
        <v>4.2809395387793298E-2</v>
      </c>
      <c r="E1297" s="14">
        <v>8.0681024471383603E-2</v>
      </c>
      <c r="F1297" s="14"/>
      <c r="G1297" s="14">
        <v>0</v>
      </c>
      <c r="H1297" s="14">
        <v>1.12797563701215E-2</v>
      </c>
      <c r="I1297" s="14">
        <v>6.3312349488883493E-2</v>
      </c>
      <c r="J1297" s="14">
        <v>6.4951516801902004E-2</v>
      </c>
      <c r="K1297" s="14">
        <v>7.7778476040265707E-2</v>
      </c>
      <c r="L1297" s="14">
        <v>9.6062570805119596E-2</v>
      </c>
      <c r="M1297" s="14"/>
      <c r="N1297" s="14">
        <v>5.1245171426529602E-2</v>
      </c>
      <c r="O1297" s="14">
        <v>9.2204594961797906E-2</v>
      </c>
      <c r="P1297" s="14">
        <v>5.2089692449185099E-2</v>
      </c>
      <c r="Q1297" s="14">
        <v>5.1434531110559498E-2</v>
      </c>
      <c r="R1297" s="14"/>
      <c r="S1297" s="14">
        <v>7.2581706409793403E-2</v>
      </c>
      <c r="T1297" s="14">
        <v>4.4225592781470098E-2</v>
      </c>
      <c r="U1297" s="14">
        <v>9.7195397411859105E-2</v>
      </c>
      <c r="V1297" s="14">
        <v>6.5192349925403001E-2</v>
      </c>
      <c r="W1297" s="14">
        <v>5.4114247679457203E-2</v>
      </c>
      <c r="X1297" s="14">
        <v>3.7795931106751203E-2</v>
      </c>
      <c r="Y1297" s="14">
        <v>5.8343733595391897E-2</v>
      </c>
      <c r="Z1297" s="14">
        <v>7.8594368140213797E-2</v>
      </c>
      <c r="AA1297" s="14">
        <v>6.1842242490638397E-2</v>
      </c>
      <c r="AB1297" s="14"/>
      <c r="AC1297" s="14">
        <v>9.5731092616666694E-2</v>
      </c>
      <c r="AD1297" s="14">
        <v>6.2263547527988301E-2</v>
      </c>
      <c r="AE1297" s="14">
        <v>6.4376995123486505E-2</v>
      </c>
      <c r="AF1297" s="14">
        <v>2.8306411281455598E-2</v>
      </c>
      <c r="AG1297" s="14">
        <v>0</v>
      </c>
      <c r="AH1297" s="14"/>
      <c r="AI1297" s="14">
        <v>4.1706923642798099E-2</v>
      </c>
      <c r="AJ1297" s="14">
        <v>3.1799370906623201E-2</v>
      </c>
      <c r="AK1297" s="14">
        <v>3.3676883805136899E-2</v>
      </c>
      <c r="AL1297" s="14">
        <v>9.4514821102521004E-2</v>
      </c>
      <c r="AM1297" s="14">
        <v>4.7926804227301299E-2</v>
      </c>
      <c r="AN1297" s="14">
        <v>0.17680213769327499</v>
      </c>
      <c r="AO1297" s="14"/>
      <c r="AP1297" s="14">
        <v>4.6476600453972901E-2</v>
      </c>
      <c r="AQ1297" s="14">
        <v>7.7797639375698099E-2</v>
      </c>
      <c r="AR1297" s="14"/>
      <c r="AS1297" s="14" t="s">
        <v>88</v>
      </c>
      <c r="AT1297" s="14">
        <v>9.9016171561762595E-2</v>
      </c>
      <c r="AU1297" s="14">
        <v>6.1179273413890199E-2</v>
      </c>
      <c r="AV1297" s="14"/>
      <c r="AW1297" s="14">
        <v>6.4554264396662397E-2</v>
      </c>
      <c r="AX1297" s="14">
        <v>3.1967481798939199E-2</v>
      </c>
      <c r="AY1297" s="14"/>
      <c r="AZ1297" s="14">
        <v>4.7135046223622398E-2</v>
      </c>
      <c r="BA1297" s="14">
        <v>0.11867794382979099</v>
      </c>
    </row>
    <row r="1298" spans="2:53" x14ac:dyDescent="0.35"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</row>
    <row r="1299" spans="2:53" x14ac:dyDescent="0.35">
      <c r="B1299" s="6" t="s">
        <v>339</v>
      </c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</row>
    <row r="1300" spans="2:53" x14ac:dyDescent="0.35">
      <c r="B1300" s="30" t="s">
        <v>463</v>
      </c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</row>
    <row r="1301" spans="2:53" x14ac:dyDescent="0.35">
      <c r="B1301" t="s">
        <v>235</v>
      </c>
      <c r="C1301" s="14">
        <v>0.50915295751372602</v>
      </c>
      <c r="D1301" s="14">
        <v>0.53318923541883101</v>
      </c>
      <c r="E1301" s="14">
        <v>0.486517644694549</v>
      </c>
      <c r="F1301" s="14"/>
      <c r="G1301" s="14">
        <v>0</v>
      </c>
      <c r="H1301" s="14">
        <v>0.566696802622917</v>
      </c>
      <c r="I1301" s="14">
        <v>0.48901797058842</v>
      </c>
      <c r="J1301" s="14">
        <v>0.50207015659940801</v>
      </c>
      <c r="K1301" s="14">
        <v>0.54552652763662302</v>
      </c>
      <c r="L1301" s="14">
        <v>0.59840305549083805</v>
      </c>
      <c r="M1301" s="14"/>
      <c r="N1301" s="14">
        <v>0.58905408322882202</v>
      </c>
      <c r="O1301" s="14">
        <v>0.55226369825041399</v>
      </c>
      <c r="P1301" s="14">
        <v>0.40735508231800599</v>
      </c>
      <c r="Q1301" s="14">
        <v>0.46592509328700199</v>
      </c>
      <c r="R1301" s="14"/>
      <c r="S1301" s="14">
        <v>0.63630092628753299</v>
      </c>
      <c r="T1301" s="14">
        <v>0.51178450977898504</v>
      </c>
      <c r="U1301" s="14">
        <v>0.57132115364386704</v>
      </c>
      <c r="V1301" s="14">
        <v>0.39476499089103301</v>
      </c>
      <c r="W1301" s="14">
        <v>0.48233420208302402</v>
      </c>
      <c r="X1301" s="14">
        <v>0.39656032781211398</v>
      </c>
      <c r="Y1301" s="14">
        <v>0.53963768107465704</v>
      </c>
      <c r="Z1301" s="14">
        <v>0.45298872369231002</v>
      </c>
      <c r="AA1301" s="14">
        <v>0.51398833411956402</v>
      </c>
      <c r="AB1301" s="14"/>
      <c r="AC1301" s="14">
        <v>0.45797633731276999</v>
      </c>
      <c r="AD1301" s="14">
        <v>0.51857178259236203</v>
      </c>
      <c r="AE1301" s="14">
        <v>0.52666151081061696</v>
      </c>
      <c r="AF1301" s="14">
        <v>0.55930909682108298</v>
      </c>
      <c r="AG1301" s="14">
        <v>0.53203777267267505</v>
      </c>
      <c r="AH1301" s="14"/>
      <c r="AI1301" s="14">
        <v>0.54832587651966802</v>
      </c>
      <c r="AJ1301" s="14">
        <v>0.51599706184067695</v>
      </c>
      <c r="AK1301" s="14">
        <v>0.46326291532513297</v>
      </c>
      <c r="AL1301" s="14">
        <v>0.47714634189529898</v>
      </c>
      <c r="AM1301" s="14">
        <v>0.39968611369233598</v>
      </c>
      <c r="AN1301" s="14">
        <v>0.53803552481911698</v>
      </c>
      <c r="AO1301" s="14"/>
      <c r="AP1301" s="14">
        <v>0.54820030076653103</v>
      </c>
      <c r="AQ1301" s="14">
        <v>0.46380456634685402</v>
      </c>
      <c r="AR1301" s="14"/>
      <c r="AS1301" s="14" t="s">
        <v>88</v>
      </c>
      <c r="AT1301" s="14">
        <v>0.54319485872311302</v>
      </c>
      <c r="AU1301" s="14">
        <v>0.508525284947557</v>
      </c>
      <c r="AV1301" s="14"/>
      <c r="AW1301" s="14">
        <v>0.49408119769824499</v>
      </c>
      <c r="AX1301" s="14">
        <v>0.62206874061698503</v>
      </c>
      <c r="AY1301" s="14"/>
      <c r="AZ1301" s="14">
        <v>0.52957824991761904</v>
      </c>
      <c r="BA1301" s="14">
        <v>0.43324868870129402</v>
      </c>
    </row>
    <row r="1302" spans="2:53" x14ac:dyDescent="0.35">
      <c r="B1302" t="s">
        <v>236</v>
      </c>
      <c r="C1302" s="14">
        <v>0.42126997957325402</v>
      </c>
      <c r="D1302" s="14">
        <v>0.412940056582911</v>
      </c>
      <c r="E1302" s="14">
        <v>0.42836041130769398</v>
      </c>
      <c r="F1302" s="14"/>
      <c r="G1302" s="14">
        <v>1</v>
      </c>
      <c r="H1302" s="14">
        <v>0.380533449822126</v>
      </c>
      <c r="I1302" s="14">
        <v>0.45242431786550302</v>
      </c>
      <c r="J1302" s="14">
        <v>0.41644360311333301</v>
      </c>
      <c r="K1302" s="14">
        <v>0.37648551679048198</v>
      </c>
      <c r="L1302" s="14">
        <v>0.308428175521893</v>
      </c>
      <c r="M1302" s="14"/>
      <c r="N1302" s="14">
        <v>0.36879132460980601</v>
      </c>
      <c r="O1302" s="14">
        <v>0.39945765495208102</v>
      </c>
      <c r="P1302" s="14">
        <v>0.49287867577317701</v>
      </c>
      <c r="Q1302" s="14">
        <v>0.438189848723196</v>
      </c>
      <c r="R1302" s="14"/>
      <c r="S1302" s="14">
        <v>0.31516304778684101</v>
      </c>
      <c r="T1302" s="14">
        <v>0.40760298500736097</v>
      </c>
      <c r="U1302" s="14">
        <v>0.36879726288889803</v>
      </c>
      <c r="V1302" s="14">
        <v>0.55936569699442895</v>
      </c>
      <c r="W1302" s="14">
        <v>0.44025290322154698</v>
      </c>
      <c r="X1302" s="14">
        <v>0.52275969377661302</v>
      </c>
      <c r="Y1302" s="14">
        <v>0.383328407750123</v>
      </c>
      <c r="Z1302" s="14">
        <v>0.42383751644516399</v>
      </c>
      <c r="AA1302" s="14">
        <v>0.417791818068801</v>
      </c>
      <c r="AB1302" s="14"/>
      <c r="AC1302" s="14">
        <v>0.46219253922446601</v>
      </c>
      <c r="AD1302" s="14">
        <v>0.41222201714388801</v>
      </c>
      <c r="AE1302" s="14">
        <v>0.41862286989075598</v>
      </c>
      <c r="AF1302" s="14">
        <v>0.36933040458009098</v>
      </c>
      <c r="AG1302" s="14">
        <v>0.38334143256723702</v>
      </c>
      <c r="AH1302" s="14"/>
      <c r="AI1302" s="14">
        <v>0.40616289225226698</v>
      </c>
      <c r="AJ1302" s="14">
        <v>0.41077706308329098</v>
      </c>
      <c r="AK1302" s="14">
        <v>0.48986194378520498</v>
      </c>
      <c r="AL1302" s="14">
        <v>0.42147485567392401</v>
      </c>
      <c r="AM1302" s="14">
        <v>0.52149734749994203</v>
      </c>
      <c r="AN1302" s="14">
        <v>0.39336131086031101</v>
      </c>
      <c r="AO1302" s="14"/>
      <c r="AP1302" s="14">
        <v>0.38374421495439598</v>
      </c>
      <c r="AQ1302" s="14">
        <v>0.46695977135597</v>
      </c>
      <c r="AR1302" s="14"/>
      <c r="AS1302" s="14" t="s">
        <v>88</v>
      </c>
      <c r="AT1302" s="14">
        <v>0.40346607069735402</v>
      </c>
      <c r="AU1302" s="14">
        <v>0.421598252224751</v>
      </c>
      <c r="AV1302" s="14"/>
      <c r="AW1302" s="14">
        <v>0.43636372697245601</v>
      </c>
      <c r="AX1302" s="14">
        <v>0.35014870029215001</v>
      </c>
      <c r="AY1302" s="14"/>
      <c r="AZ1302" s="14">
        <v>0.41175834476306999</v>
      </c>
      <c r="BA1302" s="14">
        <v>0.45496315003664201</v>
      </c>
    </row>
    <row r="1303" spans="2:53" x14ac:dyDescent="0.35">
      <c r="B1303" t="s">
        <v>237</v>
      </c>
      <c r="C1303" s="14">
        <v>5.5862599769271597E-2</v>
      </c>
      <c r="D1303" s="14">
        <v>4.2711719804105097E-2</v>
      </c>
      <c r="E1303" s="14">
        <v>6.8873791144894905E-2</v>
      </c>
      <c r="F1303" s="14"/>
      <c r="G1303" s="14">
        <v>0</v>
      </c>
      <c r="H1303" s="14">
        <v>5.2769747554956899E-2</v>
      </c>
      <c r="I1303" s="14">
        <v>4.9330796397213598E-2</v>
      </c>
      <c r="J1303" s="14">
        <v>6.7403168209725806E-2</v>
      </c>
      <c r="K1303" s="14">
        <v>3.7474376744785501E-2</v>
      </c>
      <c r="L1303" s="14">
        <v>9.3168768987268599E-2</v>
      </c>
      <c r="M1303" s="14"/>
      <c r="N1303" s="14">
        <v>3.7472379092254503E-2</v>
      </c>
      <c r="O1303" s="14">
        <v>3.51105911536959E-2</v>
      </c>
      <c r="P1303" s="14">
        <v>7.1887181482085505E-2</v>
      </c>
      <c r="Q1303" s="14">
        <v>8.5407971529131196E-2</v>
      </c>
      <c r="R1303" s="14"/>
      <c r="S1303" s="14">
        <v>3.4462127108077202E-2</v>
      </c>
      <c r="T1303" s="14">
        <v>6.53889541206151E-2</v>
      </c>
      <c r="U1303" s="14">
        <v>4.10998001537018E-2</v>
      </c>
      <c r="V1303" s="14">
        <v>3.5244019573600002E-2</v>
      </c>
      <c r="W1303" s="14">
        <v>7.74128946954286E-2</v>
      </c>
      <c r="X1303" s="14">
        <v>8.0679978411273404E-2</v>
      </c>
      <c r="Y1303" s="14">
        <v>5.7055774483498203E-2</v>
      </c>
      <c r="Z1303" s="14">
        <v>7.8775143673563405E-2</v>
      </c>
      <c r="AA1303" s="14">
        <v>5.5067891159012901E-2</v>
      </c>
      <c r="AB1303" s="14"/>
      <c r="AC1303" s="14">
        <v>4.4660343771441201E-2</v>
      </c>
      <c r="AD1303" s="14">
        <v>6.9206200263749601E-2</v>
      </c>
      <c r="AE1303" s="14">
        <v>3.5041220141360803E-2</v>
      </c>
      <c r="AF1303" s="14">
        <v>7.1360498598825803E-2</v>
      </c>
      <c r="AG1303" s="14">
        <v>8.4620794760087797E-2</v>
      </c>
      <c r="AH1303" s="14"/>
      <c r="AI1303" s="14">
        <v>4.3088192440746603E-2</v>
      </c>
      <c r="AJ1303" s="14">
        <v>6.2921413256251502E-2</v>
      </c>
      <c r="AK1303" s="14">
        <v>3.2068359487817902E-2</v>
      </c>
      <c r="AL1303" s="14">
        <v>6.7413317897028702E-2</v>
      </c>
      <c r="AM1303" s="14">
        <v>7.8816538807722006E-2</v>
      </c>
      <c r="AN1303" s="14">
        <v>6.8603164320572105E-2</v>
      </c>
      <c r="AO1303" s="14"/>
      <c r="AP1303" s="14">
        <v>5.4622829364175701E-2</v>
      </c>
      <c r="AQ1303" s="14">
        <v>5.51388139881826E-2</v>
      </c>
      <c r="AR1303" s="14"/>
      <c r="AS1303" s="14" t="s">
        <v>88</v>
      </c>
      <c r="AT1303" s="14">
        <v>5.3339070579532299E-2</v>
      </c>
      <c r="AU1303" s="14">
        <v>5.5909129192895299E-2</v>
      </c>
      <c r="AV1303" s="14"/>
      <c r="AW1303" s="14">
        <v>5.3667632497226198E-2</v>
      </c>
      <c r="AX1303" s="14">
        <v>2.7782559090864901E-2</v>
      </c>
      <c r="AY1303" s="14"/>
      <c r="AZ1303" s="14">
        <v>4.8976055763174701E-2</v>
      </c>
      <c r="BA1303" s="14">
        <v>8.2555800426564893E-2</v>
      </c>
    </row>
    <row r="1304" spans="2:53" x14ac:dyDescent="0.35">
      <c r="B1304" t="s">
        <v>238</v>
      </c>
      <c r="C1304" s="14">
        <v>2.0604388167112702E-3</v>
      </c>
      <c r="D1304" s="14">
        <v>6.1849271290541504E-4</v>
      </c>
      <c r="E1304" s="14">
        <v>3.4794502763898501E-3</v>
      </c>
      <c r="F1304" s="14"/>
      <c r="G1304" s="14">
        <v>0</v>
      </c>
      <c r="H1304" s="14">
        <v>0</v>
      </c>
      <c r="I1304" s="14">
        <v>3.2083720336466E-3</v>
      </c>
      <c r="J1304" s="14">
        <v>2.0867785440507698E-3</v>
      </c>
      <c r="K1304" s="14">
        <v>0</v>
      </c>
      <c r="L1304" s="14">
        <v>0</v>
      </c>
      <c r="M1304" s="14"/>
      <c r="N1304" s="14">
        <v>1.0660674741116299E-3</v>
      </c>
      <c r="O1304" s="14">
        <v>3.2253469128576098E-3</v>
      </c>
      <c r="P1304" s="14">
        <v>3.9710367023817099E-3</v>
      </c>
      <c r="Q1304" s="14">
        <v>0</v>
      </c>
      <c r="R1304" s="14"/>
      <c r="S1304" s="14">
        <v>1.9585479655639501E-3</v>
      </c>
      <c r="T1304" s="14">
        <v>0</v>
      </c>
      <c r="U1304" s="14">
        <v>0</v>
      </c>
      <c r="V1304" s="14">
        <v>0</v>
      </c>
      <c r="W1304" s="14">
        <v>0</v>
      </c>
      <c r="X1304" s="14">
        <v>0</v>
      </c>
      <c r="Y1304" s="14">
        <v>9.7156991275195899E-3</v>
      </c>
      <c r="Z1304" s="14">
        <v>0</v>
      </c>
      <c r="AA1304" s="14">
        <v>5.5005318483516896E-3</v>
      </c>
      <c r="AB1304" s="14"/>
      <c r="AC1304" s="14">
        <v>8.1589253676126704E-3</v>
      </c>
      <c r="AD1304" s="14">
        <v>0</v>
      </c>
      <c r="AE1304" s="14">
        <v>1.06901241400664E-3</v>
      </c>
      <c r="AF1304" s="14">
        <v>0</v>
      </c>
      <c r="AG1304" s="14">
        <v>0</v>
      </c>
      <c r="AH1304" s="14"/>
      <c r="AI1304" s="14">
        <v>8.9874626690362395E-4</v>
      </c>
      <c r="AJ1304" s="14">
        <v>4.0715877409209598E-3</v>
      </c>
      <c r="AK1304" s="14">
        <v>0</v>
      </c>
      <c r="AL1304" s="14">
        <v>6.0844604682900602E-3</v>
      </c>
      <c r="AM1304" s="14">
        <v>0</v>
      </c>
      <c r="AN1304" s="14">
        <v>0</v>
      </c>
      <c r="AO1304" s="14"/>
      <c r="AP1304" s="14">
        <v>3.2520399009634301E-3</v>
      </c>
      <c r="AQ1304" s="14">
        <v>6.6704973942257402E-4</v>
      </c>
      <c r="AR1304" s="14"/>
      <c r="AS1304" s="14" t="s">
        <v>88</v>
      </c>
      <c r="AT1304" s="14">
        <v>0</v>
      </c>
      <c r="AU1304" s="14">
        <v>2.0984296713220502E-3</v>
      </c>
      <c r="AV1304" s="14"/>
      <c r="AW1304" s="14">
        <v>2.7859963622246099E-3</v>
      </c>
      <c r="AX1304" s="14">
        <v>0</v>
      </c>
      <c r="AY1304" s="14"/>
      <c r="AZ1304" s="14">
        <v>2.6000491494536501E-3</v>
      </c>
      <c r="BA1304" s="14">
        <v>0</v>
      </c>
    </row>
    <row r="1305" spans="2:53" x14ac:dyDescent="0.35">
      <c r="B1305" t="s">
        <v>116</v>
      </c>
      <c r="C1305" s="14">
        <v>1.1654024327036499E-2</v>
      </c>
      <c r="D1305" s="14">
        <v>1.0540495481247801E-2</v>
      </c>
      <c r="E1305" s="14">
        <v>1.27687025764726E-2</v>
      </c>
      <c r="F1305" s="14"/>
      <c r="G1305" s="14">
        <v>0</v>
      </c>
      <c r="H1305" s="14">
        <v>0</v>
      </c>
      <c r="I1305" s="14">
        <v>6.0185431152177202E-3</v>
      </c>
      <c r="J1305" s="14">
        <v>1.19962935334826E-2</v>
      </c>
      <c r="K1305" s="14">
        <v>4.0513578828109402E-2</v>
      </c>
      <c r="L1305" s="14">
        <v>0</v>
      </c>
      <c r="M1305" s="14"/>
      <c r="N1305" s="14">
        <v>3.6161455950059099E-3</v>
      </c>
      <c r="O1305" s="14">
        <v>9.9427087309519706E-3</v>
      </c>
      <c r="P1305" s="14">
        <v>2.3908023724350198E-2</v>
      </c>
      <c r="Q1305" s="14">
        <v>1.0477086460670099E-2</v>
      </c>
      <c r="R1305" s="14"/>
      <c r="S1305" s="14">
        <v>1.2115350851984501E-2</v>
      </c>
      <c r="T1305" s="14">
        <v>1.52235510930392E-2</v>
      </c>
      <c r="U1305" s="14">
        <v>1.87817833135334E-2</v>
      </c>
      <c r="V1305" s="14">
        <v>1.0625292540937701E-2</v>
      </c>
      <c r="W1305" s="14">
        <v>0</v>
      </c>
      <c r="X1305" s="14">
        <v>0</v>
      </c>
      <c r="Y1305" s="14">
        <v>1.0262437564202E-2</v>
      </c>
      <c r="Z1305" s="14">
        <v>4.4398616188962597E-2</v>
      </c>
      <c r="AA1305" s="14">
        <v>7.6514248042712204E-3</v>
      </c>
      <c r="AB1305" s="14"/>
      <c r="AC1305" s="14">
        <v>2.7011854323710401E-2</v>
      </c>
      <c r="AD1305" s="14">
        <v>0</v>
      </c>
      <c r="AE1305" s="14">
        <v>1.86053867432594E-2</v>
      </c>
      <c r="AF1305" s="14">
        <v>0</v>
      </c>
      <c r="AG1305" s="14">
        <v>0</v>
      </c>
      <c r="AH1305" s="14"/>
      <c r="AI1305" s="14">
        <v>1.52429252041472E-3</v>
      </c>
      <c r="AJ1305" s="14">
        <v>6.2328740788592796E-3</v>
      </c>
      <c r="AK1305" s="14">
        <v>1.48067814018437E-2</v>
      </c>
      <c r="AL1305" s="14">
        <v>2.7881024065458501E-2</v>
      </c>
      <c r="AM1305" s="14">
        <v>0</v>
      </c>
      <c r="AN1305" s="14">
        <v>0</v>
      </c>
      <c r="AO1305" s="14"/>
      <c r="AP1305" s="14">
        <v>1.01806150139334E-2</v>
      </c>
      <c r="AQ1305" s="14">
        <v>1.3429798569570699E-2</v>
      </c>
      <c r="AR1305" s="14"/>
      <c r="AS1305" s="14" t="s">
        <v>88</v>
      </c>
      <c r="AT1305" s="14">
        <v>0</v>
      </c>
      <c r="AU1305" s="14">
        <v>1.18689039634751E-2</v>
      </c>
      <c r="AV1305" s="14"/>
      <c r="AW1305" s="14">
        <v>1.3101446469847899E-2</v>
      </c>
      <c r="AX1305" s="14">
        <v>0</v>
      </c>
      <c r="AY1305" s="14"/>
      <c r="AZ1305" s="14">
        <v>7.0873004066828102E-3</v>
      </c>
      <c r="BA1305" s="14">
        <v>2.9232360835498499E-2</v>
      </c>
    </row>
    <row r="1306" spans="2:53" x14ac:dyDescent="0.35"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</row>
    <row r="1307" spans="2:53" x14ac:dyDescent="0.35">
      <c r="B1307" s="6" t="s">
        <v>340</v>
      </c>
      <c r="C1307" s="14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</row>
    <row r="1308" spans="2:53" x14ac:dyDescent="0.35">
      <c r="B1308" s="30" t="s">
        <v>463</v>
      </c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</row>
    <row r="1309" spans="2:53" x14ac:dyDescent="0.35">
      <c r="B1309" t="s">
        <v>220</v>
      </c>
      <c r="C1309" s="14">
        <v>0.33244259221753802</v>
      </c>
      <c r="D1309" s="14">
        <v>0.39655317292127901</v>
      </c>
      <c r="E1309" s="14">
        <v>0.27014649697683402</v>
      </c>
      <c r="F1309" s="14"/>
      <c r="G1309" s="14">
        <v>0</v>
      </c>
      <c r="H1309" s="14">
        <v>0.45915996257066199</v>
      </c>
      <c r="I1309" s="14">
        <v>0.35801764267038499</v>
      </c>
      <c r="J1309" s="14">
        <v>0.30159343174608999</v>
      </c>
      <c r="K1309" s="14">
        <v>0.29775701045266301</v>
      </c>
      <c r="L1309" s="14">
        <v>0.10821273261322099</v>
      </c>
      <c r="M1309" s="14"/>
      <c r="N1309" s="14">
        <v>0.41835843299560099</v>
      </c>
      <c r="O1309" s="14">
        <v>0.35082655654022898</v>
      </c>
      <c r="P1309" s="14">
        <v>0.28627617800176902</v>
      </c>
      <c r="Q1309" s="14">
        <v>0.25433520454236302</v>
      </c>
      <c r="R1309" s="14"/>
      <c r="S1309" s="14">
        <v>0.41828902398620099</v>
      </c>
      <c r="T1309" s="14">
        <v>0.31328827681932597</v>
      </c>
      <c r="U1309" s="14">
        <v>0.34238690712179398</v>
      </c>
      <c r="V1309" s="14">
        <v>0.29696254106382303</v>
      </c>
      <c r="W1309" s="14">
        <v>0.35687055464956402</v>
      </c>
      <c r="X1309" s="14">
        <v>0.31587229860697202</v>
      </c>
      <c r="Y1309" s="14">
        <v>0.317283123670765</v>
      </c>
      <c r="Z1309" s="14">
        <v>0.266846647218412</v>
      </c>
      <c r="AA1309" s="14">
        <v>0.31219286292424903</v>
      </c>
      <c r="AB1309" s="14"/>
      <c r="AC1309" s="14">
        <v>0.249138304585104</v>
      </c>
      <c r="AD1309" s="14">
        <v>0.302124887200512</v>
      </c>
      <c r="AE1309" s="14">
        <v>0.364752535834795</v>
      </c>
      <c r="AF1309" s="14">
        <v>0.47056206149193402</v>
      </c>
      <c r="AG1309" s="14">
        <v>0.52841843516674103</v>
      </c>
      <c r="AH1309" s="14"/>
      <c r="AI1309" s="14">
        <v>0.37934334460691399</v>
      </c>
      <c r="AJ1309" s="14">
        <v>0.361111472760476</v>
      </c>
      <c r="AK1309" s="14">
        <v>0.33865479594443798</v>
      </c>
      <c r="AL1309" s="14">
        <v>0.34826048321357</v>
      </c>
      <c r="AM1309" s="14">
        <v>0.253672184232553</v>
      </c>
      <c r="AN1309" s="14">
        <v>0.21719729802288301</v>
      </c>
      <c r="AO1309" s="14"/>
      <c r="AP1309" s="14">
        <v>0.365158882994218</v>
      </c>
      <c r="AQ1309" s="14">
        <v>0.29388044127523699</v>
      </c>
      <c r="AR1309" s="14"/>
      <c r="AS1309" s="14" t="s">
        <v>88</v>
      </c>
      <c r="AT1309" s="14">
        <v>0.31003288863608902</v>
      </c>
      <c r="AU1309" s="14">
        <v>0.332855787593071</v>
      </c>
      <c r="AV1309" s="14"/>
      <c r="AW1309" s="14">
        <v>0.306356340075496</v>
      </c>
      <c r="AX1309" s="14">
        <v>0.50813720503061399</v>
      </c>
      <c r="AY1309" s="14"/>
      <c r="AZ1309" s="14">
        <v>0.390369814079363</v>
      </c>
      <c r="BA1309" s="14">
        <v>0.111792882822248</v>
      </c>
    </row>
    <row r="1310" spans="2:53" x14ac:dyDescent="0.35">
      <c r="B1310" t="s">
        <v>221</v>
      </c>
      <c r="C1310" s="14">
        <v>0.46316425868035199</v>
      </c>
      <c r="D1310" s="14">
        <v>0.47319860315703599</v>
      </c>
      <c r="E1310" s="14">
        <v>0.45231021671254101</v>
      </c>
      <c r="F1310" s="14"/>
      <c r="G1310" s="14">
        <v>1</v>
      </c>
      <c r="H1310" s="14">
        <v>0.36073959237307401</v>
      </c>
      <c r="I1310" s="14">
        <v>0.419662619950741</v>
      </c>
      <c r="J1310" s="14">
        <v>0.50955957981480005</v>
      </c>
      <c r="K1310" s="14">
        <v>0.52271386288016597</v>
      </c>
      <c r="L1310" s="14">
        <v>0.52329708208034698</v>
      </c>
      <c r="M1310" s="14"/>
      <c r="N1310" s="14">
        <v>0.44416994407587301</v>
      </c>
      <c r="O1310" s="14">
        <v>0.44725122370845999</v>
      </c>
      <c r="P1310" s="14">
        <v>0.46816596089020901</v>
      </c>
      <c r="Q1310" s="14">
        <v>0.49663265931450901</v>
      </c>
      <c r="R1310" s="14"/>
      <c r="S1310" s="14">
        <v>0.44218477289143798</v>
      </c>
      <c r="T1310" s="14">
        <v>0.46194048941237897</v>
      </c>
      <c r="U1310" s="14">
        <v>0.4915782102388</v>
      </c>
      <c r="V1310" s="14">
        <v>0.47105053758100701</v>
      </c>
      <c r="W1310" s="14">
        <v>0.46169390868272497</v>
      </c>
      <c r="X1310" s="14">
        <v>0.47183530624873099</v>
      </c>
      <c r="Y1310" s="14">
        <v>0.376411006942723</v>
      </c>
      <c r="Z1310" s="14">
        <v>0.52392822077906198</v>
      </c>
      <c r="AA1310" s="14">
        <v>0.497898491739935</v>
      </c>
      <c r="AB1310" s="14"/>
      <c r="AC1310" s="14">
        <v>0.45869989555985702</v>
      </c>
      <c r="AD1310" s="14">
        <v>0.50461907887128399</v>
      </c>
      <c r="AE1310" s="14">
        <v>0.462465266072424</v>
      </c>
      <c r="AF1310" s="14">
        <v>0.40261250453926201</v>
      </c>
      <c r="AG1310" s="14">
        <v>0.42193850615974499</v>
      </c>
      <c r="AH1310" s="14"/>
      <c r="AI1310" s="14">
        <v>0.44802774983035099</v>
      </c>
      <c r="AJ1310" s="14">
        <v>0.493564950930519</v>
      </c>
      <c r="AK1310" s="14">
        <v>0.44961653530637102</v>
      </c>
      <c r="AL1310" s="14">
        <v>0.43919103246926899</v>
      </c>
      <c r="AM1310" s="14">
        <v>0.46852613954793598</v>
      </c>
      <c r="AN1310" s="14">
        <v>0.442998347303516</v>
      </c>
      <c r="AO1310" s="14"/>
      <c r="AP1310" s="14">
        <v>0.43771321160049997</v>
      </c>
      <c r="AQ1310" s="14">
        <v>0.49242340622215103</v>
      </c>
      <c r="AR1310" s="14"/>
      <c r="AS1310" s="14" t="s">
        <v>88</v>
      </c>
      <c r="AT1310" s="14">
        <v>0</v>
      </c>
      <c r="AU1310" s="14">
        <v>0.471704190014262</v>
      </c>
      <c r="AV1310" s="14"/>
      <c r="AW1310" s="14">
        <v>0.46751819972916198</v>
      </c>
      <c r="AX1310" s="14">
        <v>0.40504756584931001</v>
      </c>
      <c r="AY1310" s="14"/>
      <c r="AZ1310" s="14">
        <v>0.49186748764233201</v>
      </c>
      <c r="BA1310" s="14">
        <v>0.35043485127795398</v>
      </c>
    </row>
    <row r="1311" spans="2:53" x14ac:dyDescent="0.35">
      <c r="B1311" t="s">
        <v>222</v>
      </c>
      <c r="C1311" s="14">
        <v>0.15021432643063401</v>
      </c>
      <c r="D1311" s="14">
        <v>0.105751772720559</v>
      </c>
      <c r="E1311" s="14">
        <v>0.19413215004789899</v>
      </c>
      <c r="F1311" s="14"/>
      <c r="G1311" s="14">
        <v>0</v>
      </c>
      <c r="H1311" s="14">
        <v>0.12832136751499701</v>
      </c>
      <c r="I1311" s="14">
        <v>0.15821965540976399</v>
      </c>
      <c r="J1311" s="14">
        <v>0.13964837600845201</v>
      </c>
      <c r="K1311" s="14">
        <v>0.14983348481869399</v>
      </c>
      <c r="L1311" s="14">
        <v>0.27015033345438699</v>
      </c>
      <c r="M1311" s="14"/>
      <c r="N1311" s="14">
        <v>9.4023070672374198E-2</v>
      </c>
      <c r="O1311" s="14">
        <v>0.145989633790854</v>
      </c>
      <c r="P1311" s="14">
        <v>0.19241280474884301</v>
      </c>
      <c r="Q1311" s="14">
        <v>0.18368202367877701</v>
      </c>
      <c r="R1311" s="14"/>
      <c r="S1311" s="14">
        <v>0.104752687251829</v>
      </c>
      <c r="T1311" s="14">
        <v>0.145129736945251</v>
      </c>
      <c r="U1311" s="14">
        <v>0.126981613100623</v>
      </c>
      <c r="V1311" s="14">
        <v>0.18923519558469301</v>
      </c>
      <c r="W1311" s="14">
        <v>0.126142344364892</v>
      </c>
      <c r="X1311" s="14">
        <v>0.138208600792814</v>
      </c>
      <c r="Y1311" s="14">
        <v>0.256364188896609</v>
      </c>
      <c r="Z1311" s="14">
        <v>0.125063404542123</v>
      </c>
      <c r="AA1311" s="14">
        <v>0.14567424398642601</v>
      </c>
      <c r="AB1311" s="14"/>
      <c r="AC1311" s="14">
        <v>0.21523646049127701</v>
      </c>
      <c r="AD1311" s="14">
        <v>0.13332047602028901</v>
      </c>
      <c r="AE1311" s="14">
        <v>0.13138412433687999</v>
      </c>
      <c r="AF1311" s="14">
        <v>9.9505005379655703E-2</v>
      </c>
      <c r="AG1311" s="14">
        <v>3.5069912734469202E-2</v>
      </c>
      <c r="AH1311" s="14"/>
      <c r="AI1311" s="14">
        <v>0.13690279438646299</v>
      </c>
      <c r="AJ1311" s="14">
        <v>0.110388813048728</v>
      </c>
      <c r="AK1311" s="14">
        <v>0.13243973908277601</v>
      </c>
      <c r="AL1311" s="14">
        <v>0.123919991771446</v>
      </c>
      <c r="AM1311" s="14">
        <v>0.21082900586519299</v>
      </c>
      <c r="AN1311" s="14">
        <v>0.29029692980407001</v>
      </c>
      <c r="AO1311" s="14"/>
      <c r="AP1311" s="14">
        <v>0.14917728233806199</v>
      </c>
      <c r="AQ1311" s="14">
        <v>0.15199271567200701</v>
      </c>
      <c r="AR1311" s="14"/>
      <c r="AS1311" s="14" t="s">
        <v>88</v>
      </c>
      <c r="AT1311" s="14">
        <v>0.17739828699247201</v>
      </c>
      <c r="AU1311" s="14">
        <v>0.14971310218409201</v>
      </c>
      <c r="AV1311" s="14"/>
      <c r="AW1311" s="14">
        <v>0.16790624358124401</v>
      </c>
      <c r="AX1311" s="14">
        <v>6.4227950443732001E-2</v>
      </c>
      <c r="AY1311" s="14"/>
      <c r="AZ1311" s="14">
        <v>8.4855642174196194E-2</v>
      </c>
      <c r="BA1311" s="14">
        <v>0.40171419146408399</v>
      </c>
    </row>
    <row r="1312" spans="2:53" x14ac:dyDescent="0.35">
      <c r="B1312" t="s">
        <v>223</v>
      </c>
      <c r="C1312" s="14">
        <v>3.02097000536003E-2</v>
      </c>
      <c r="D1312" s="14">
        <v>7.3596763850747402E-3</v>
      </c>
      <c r="E1312" s="14">
        <v>5.2691710551369203E-2</v>
      </c>
      <c r="F1312" s="14"/>
      <c r="G1312" s="14">
        <v>0</v>
      </c>
      <c r="H1312" s="14">
        <v>1.07284792167623E-2</v>
      </c>
      <c r="I1312" s="14">
        <v>4.0097766922887697E-2</v>
      </c>
      <c r="J1312" s="14">
        <v>2.78188888857521E-2</v>
      </c>
      <c r="K1312" s="14">
        <v>5.1587021207633102E-3</v>
      </c>
      <c r="L1312" s="14">
        <v>9.8339851852044899E-2</v>
      </c>
      <c r="M1312" s="14"/>
      <c r="N1312" s="14">
        <v>1.96082391966504E-2</v>
      </c>
      <c r="O1312" s="14">
        <v>2.89074622648809E-2</v>
      </c>
      <c r="P1312" s="14">
        <v>2.79620494167627E-2</v>
      </c>
      <c r="Q1312" s="14">
        <v>4.5357908074592397E-2</v>
      </c>
      <c r="R1312" s="14"/>
      <c r="S1312" s="14">
        <v>1.7272680868937601E-2</v>
      </c>
      <c r="T1312" s="14">
        <v>4.7704179043817803E-2</v>
      </c>
      <c r="U1312" s="14">
        <v>2.0271486225248901E-2</v>
      </c>
      <c r="V1312" s="14">
        <v>2.1312164813818299E-2</v>
      </c>
      <c r="W1312" s="14">
        <v>4.2639340940755201E-2</v>
      </c>
      <c r="X1312" s="14">
        <v>2.20367666780301E-2</v>
      </c>
      <c r="Y1312" s="14">
        <v>2.3270854810909101E-2</v>
      </c>
      <c r="Z1312" s="14">
        <v>3.9763111271440603E-2</v>
      </c>
      <c r="AA1312" s="14">
        <v>3.7507169000213697E-2</v>
      </c>
      <c r="AB1312" s="14"/>
      <c r="AC1312" s="14">
        <v>5.6367871738237402E-2</v>
      </c>
      <c r="AD1312" s="14">
        <v>3.7945579953624499E-2</v>
      </c>
      <c r="AE1312" s="14">
        <v>5.9272417126877402E-3</v>
      </c>
      <c r="AF1312" s="14">
        <v>7.2258266890157102E-3</v>
      </c>
      <c r="AG1312" s="14">
        <v>1.45731459390446E-2</v>
      </c>
      <c r="AH1312" s="14"/>
      <c r="AI1312" s="14">
        <v>2.7431917829466398E-2</v>
      </c>
      <c r="AJ1312" s="14">
        <v>1.3317893467630799E-2</v>
      </c>
      <c r="AK1312" s="14">
        <v>2.5933078351693901E-2</v>
      </c>
      <c r="AL1312" s="14">
        <v>4.9032131163162303E-2</v>
      </c>
      <c r="AM1312" s="14">
        <v>4.6599039898405803E-2</v>
      </c>
      <c r="AN1312" s="14">
        <v>1.3018482286522101E-2</v>
      </c>
      <c r="AO1312" s="14"/>
      <c r="AP1312" s="14">
        <v>2.5314984582245299E-2</v>
      </c>
      <c r="AQ1312" s="14">
        <v>3.6077227409851802E-2</v>
      </c>
      <c r="AR1312" s="14"/>
      <c r="AS1312" s="14" t="s">
        <v>88</v>
      </c>
      <c r="AT1312" s="14">
        <v>0</v>
      </c>
      <c r="AU1312" s="14">
        <v>3.0766713595212599E-2</v>
      </c>
      <c r="AV1312" s="14"/>
      <c r="AW1312" s="14">
        <v>3.3329608177209501E-2</v>
      </c>
      <c r="AX1312" s="14">
        <v>1.39091020956224E-2</v>
      </c>
      <c r="AY1312" s="14"/>
      <c r="AZ1312" s="14">
        <v>1.0644635014817E-2</v>
      </c>
      <c r="BA1312" s="14">
        <v>0.10542452495389699</v>
      </c>
    </row>
    <row r="1313" spans="2:53" x14ac:dyDescent="0.35">
      <c r="B1313" t="s">
        <v>116</v>
      </c>
      <c r="C1313" s="14">
        <v>1.4689360731719E-2</v>
      </c>
      <c r="D1313" s="14">
        <v>1.2979508208911399E-2</v>
      </c>
      <c r="E1313" s="14">
        <v>1.63949698766718E-2</v>
      </c>
      <c r="F1313" s="14"/>
      <c r="G1313" s="14">
        <v>0</v>
      </c>
      <c r="H1313" s="14">
        <v>0</v>
      </c>
      <c r="I1313" s="14">
        <v>1.1999836477775199E-2</v>
      </c>
      <c r="J1313" s="14">
        <v>1.8827562315022299E-2</v>
      </c>
      <c r="K1313" s="14">
        <v>2.4536939727713401E-2</v>
      </c>
      <c r="L1313" s="14">
        <v>0</v>
      </c>
      <c r="M1313" s="14"/>
      <c r="N1313" s="14">
        <v>1.28255941507404E-2</v>
      </c>
      <c r="O1313" s="14">
        <v>2.01199397155736E-2</v>
      </c>
      <c r="P1313" s="14">
        <v>1.6278505469473799E-2</v>
      </c>
      <c r="Q1313" s="14">
        <v>9.7782669546365806E-3</v>
      </c>
      <c r="R1313" s="14"/>
      <c r="S1313" s="14">
        <v>6.3985625212945301E-3</v>
      </c>
      <c r="T1313" s="14">
        <v>1.8207262715387501E-2</v>
      </c>
      <c r="U1313" s="14">
        <v>1.87817833135334E-2</v>
      </c>
      <c r="V1313" s="14">
        <v>1.0625292540937701E-2</v>
      </c>
      <c r="W1313" s="14">
        <v>1.2653851362063699E-2</v>
      </c>
      <c r="X1313" s="14">
        <v>2.8270808488053099E-2</v>
      </c>
      <c r="Y1313" s="14">
        <v>1.7124904260319301E-2</v>
      </c>
      <c r="Z1313" s="14">
        <v>4.4398616188962597E-2</v>
      </c>
      <c r="AA1313" s="14">
        <v>0</v>
      </c>
      <c r="AB1313" s="14"/>
      <c r="AC1313" s="14">
        <v>1.8261425055314699E-2</v>
      </c>
      <c r="AD1313" s="14">
        <v>0</v>
      </c>
      <c r="AE1313" s="14">
        <v>3.22056606793805E-2</v>
      </c>
      <c r="AF1313" s="14">
        <v>4.4176987203939999E-3</v>
      </c>
      <c r="AG1313" s="14">
        <v>0</v>
      </c>
      <c r="AH1313" s="14"/>
      <c r="AI1313" s="14">
        <v>6.49907159605706E-3</v>
      </c>
      <c r="AJ1313" s="14">
        <v>9.7173653488174094E-3</v>
      </c>
      <c r="AK1313" s="14">
        <v>3.43294901235651E-2</v>
      </c>
      <c r="AL1313" s="14">
        <v>3.4597185404278703E-2</v>
      </c>
      <c r="AM1313" s="14">
        <v>0</v>
      </c>
      <c r="AN1313" s="14">
        <v>1.9380052426826101E-2</v>
      </c>
      <c r="AO1313" s="14"/>
      <c r="AP1313" s="14">
        <v>1.2520728774311899E-2</v>
      </c>
      <c r="AQ1313" s="14">
        <v>1.72938586398915E-2</v>
      </c>
      <c r="AR1313" s="14"/>
      <c r="AS1313" s="14" t="s">
        <v>88</v>
      </c>
      <c r="AT1313" s="14">
        <v>0</v>
      </c>
      <c r="AU1313" s="14">
        <v>1.49602066133622E-2</v>
      </c>
      <c r="AV1313" s="14"/>
      <c r="AW1313" s="14">
        <v>1.4250057610701999E-2</v>
      </c>
      <c r="AX1313" s="14">
        <v>0</v>
      </c>
      <c r="AY1313" s="14"/>
      <c r="AZ1313" s="14">
        <v>1.2802615177614499E-2</v>
      </c>
      <c r="BA1313" s="14">
        <v>2.1999668074320501E-2</v>
      </c>
    </row>
    <row r="1314" spans="2:53" x14ac:dyDescent="0.35">
      <c r="B1314" t="s">
        <v>224</v>
      </c>
      <c r="C1314" s="14">
        <v>0.79560685089788996</v>
      </c>
      <c r="D1314" s="14">
        <v>0.869751776078316</v>
      </c>
      <c r="E1314" s="14">
        <v>0.72245671368937403</v>
      </c>
      <c r="F1314" s="14"/>
      <c r="G1314" s="14">
        <v>1</v>
      </c>
      <c r="H1314" s="14">
        <v>0.81989955494373601</v>
      </c>
      <c r="I1314" s="14">
        <v>0.777680262621126</v>
      </c>
      <c r="J1314" s="14">
        <v>0.81115301156089004</v>
      </c>
      <c r="K1314" s="14">
        <v>0.82047087333282898</v>
      </c>
      <c r="L1314" s="14">
        <v>0.63150981469356804</v>
      </c>
      <c r="M1314" s="14"/>
      <c r="N1314" s="14">
        <v>0.86252837707147401</v>
      </c>
      <c r="O1314" s="14">
        <v>0.79807778024868903</v>
      </c>
      <c r="P1314" s="14">
        <v>0.75444213889197798</v>
      </c>
      <c r="Q1314" s="14">
        <v>0.75096786385687198</v>
      </c>
      <c r="R1314" s="14"/>
      <c r="S1314" s="14">
        <v>0.86047379687763803</v>
      </c>
      <c r="T1314" s="14">
        <v>0.775228766231705</v>
      </c>
      <c r="U1314" s="14">
        <v>0.83396511736059398</v>
      </c>
      <c r="V1314" s="14">
        <v>0.76801307864482904</v>
      </c>
      <c r="W1314" s="14">
        <v>0.81856446333228905</v>
      </c>
      <c r="X1314" s="14">
        <v>0.78770760485570301</v>
      </c>
      <c r="Y1314" s="14">
        <v>0.69369413061348795</v>
      </c>
      <c r="Z1314" s="14">
        <v>0.79077486799747398</v>
      </c>
      <c r="AA1314" s="14">
        <v>0.81009135466418403</v>
      </c>
      <c r="AB1314" s="14"/>
      <c r="AC1314" s="14">
        <v>0.70783820014496102</v>
      </c>
      <c r="AD1314" s="14">
        <v>0.80674396607179599</v>
      </c>
      <c r="AE1314" s="14">
        <v>0.82721780190721905</v>
      </c>
      <c r="AF1314" s="14">
        <v>0.87317456603119603</v>
      </c>
      <c r="AG1314" s="14">
        <v>0.95035694132648596</v>
      </c>
      <c r="AH1314" s="14"/>
      <c r="AI1314" s="14">
        <v>0.82737109443726597</v>
      </c>
      <c r="AJ1314" s="14">
        <v>0.85467642369099495</v>
      </c>
      <c r="AK1314" s="14">
        <v>0.78827133125080795</v>
      </c>
      <c r="AL1314" s="14">
        <v>0.787451515682839</v>
      </c>
      <c r="AM1314" s="14">
        <v>0.72219832378048898</v>
      </c>
      <c r="AN1314" s="14">
        <v>0.66019564532639896</v>
      </c>
      <c r="AO1314" s="14"/>
      <c r="AP1314" s="14">
        <v>0.80287209459471798</v>
      </c>
      <c r="AQ1314" s="14">
        <v>0.78630384749738802</v>
      </c>
      <c r="AR1314" s="14"/>
      <c r="AS1314" s="14" t="s">
        <v>88</v>
      </c>
      <c r="AT1314" s="14">
        <v>0.31003288863608902</v>
      </c>
      <c r="AU1314" s="14">
        <v>0.804559977607333</v>
      </c>
      <c r="AV1314" s="14"/>
      <c r="AW1314" s="14">
        <v>0.77387453980465803</v>
      </c>
      <c r="AX1314" s="14">
        <v>0.913184770879924</v>
      </c>
      <c r="AY1314" s="14"/>
      <c r="AZ1314" s="14">
        <v>0.88223730172169501</v>
      </c>
      <c r="BA1314" s="14">
        <v>0.46222773410020201</v>
      </c>
    </row>
    <row r="1315" spans="2:53" x14ac:dyDescent="0.35"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</row>
    <row r="1316" spans="2:53" x14ac:dyDescent="0.35">
      <c r="B1316" s="6" t="s">
        <v>341</v>
      </c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</row>
    <row r="1317" spans="2:53" x14ac:dyDescent="0.35">
      <c r="B1317" s="24" t="s">
        <v>101</v>
      </c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</row>
    <row r="1318" spans="2:53" x14ac:dyDescent="0.35">
      <c r="B1318" t="s">
        <v>154</v>
      </c>
      <c r="C1318" s="14">
        <v>0.68309723843463999</v>
      </c>
      <c r="D1318" s="14">
        <v>0.69304037485167502</v>
      </c>
      <c r="E1318" s="14">
        <v>0.67428250221206498</v>
      </c>
      <c r="F1318" s="14"/>
      <c r="G1318" s="14">
        <v>0.81714198225865298</v>
      </c>
      <c r="H1318" s="14">
        <v>0.63177879477508403</v>
      </c>
      <c r="I1318" s="14">
        <v>0.70635281466057898</v>
      </c>
      <c r="J1318" s="14">
        <v>0.67028778798370203</v>
      </c>
      <c r="K1318" s="14">
        <v>0.69432244790406294</v>
      </c>
      <c r="L1318" s="14">
        <v>0.60586885828311898</v>
      </c>
      <c r="M1318" s="14"/>
      <c r="N1318" s="14">
        <v>0.74498798144947198</v>
      </c>
      <c r="O1318" s="14">
        <v>0.68036105119423895</v>
      </c>
      <c r="P1318" s="14">
        <v>0.69259943035736804</v>
      </c>
      <c r="Q1318" s="14">
        <v>0.60996140342040905</v>
      </c>
      <c r="R1318" s="14"/>
      <c r="S1318" s="14">
        <v>0.73003800774858896</v>
      </c>
      <c r="T1318" s="14">
        <v>0.69945049094745304</v>
      </c>
      <c r="U1318" s="14">
        <v>0.70952864938348104</v>
      </c>
      <c r="V1318" s="14">
        <v>0.65369706404486505</v>
      </c>
      <c r="W1318" s="14">
        <v>0.66341562289352696</v>
      </c>
      <c r="X1318" s="14">
        <v>0.65839850720771198</v>
      </c>
      <c r="Y1318" s="14">
        <v>0.58386233942700005</v>
      </c>
      <c r="Z1318" s="14">
        <v>0.75720924320909999</v>
      </c>
      <c r="AA1318" s="14">
        <v>0.69781590577953401</v>
      </c>
      <c r="AB1318" s="14"/>
      <c r="AC1318" s="14">
        <v>0.59315831222036197</v>
      </c>
      <c r="AD1318" s="14">
        <v>0.686608706139195</v>
      </c>
      <c r="AE1318" s="14">
        <v>0.73724571316357501</v>
      </c>
      <c r="AF1318" s="14">
        <v>0.71501943880494001</v>
      </c>
      <c r="AG1318" s="14">
        <v>0.82442363901787896</v>
      </c>
      <c r="AH1318" s="14"/>
      <c r="AI1318" s="14">
        <v>0.70557174516522303</v>
      </c>
      <c r="AJ1318" s="14">
        <v>0.70007027412674905</v>
      </c>
      <c r="AK1318" s="14">
        <v>0.68258945176633001</v>
      </c>
      <c r="AL1318" s="14">
        <v>0.65841181536759497</v>
      </c>
      <c r="AM1318" s="14">
        <v>0.73358334963922001</v>
      </c>
      <c r="AN1318" s="14">
        <v>0.62474626492860896</v>
      </c>
      <c r="AO1318" s="14"/>
      <c r="AP1318" s="14">
        <v>0.71058739075778798</v>
      </c>
      <c r="AQ1318" s="14">
        <v>0.65192090816890502</v>
      </c>
      <c r="AR1318" s="14"/>
      <c r="AS1318" s="14" t="s">
        <v>88</v>
      </c>
      <c r="AT1318" s="14" t="s">
        <v>88</v>
      </c>
      <c r="AU1318" s="14">
        <v>0.68309723843463999</v>
      </c>
      <c r="AV1318" s="14"/>
      <c r="AW1318" s="14">
        <v>0.67846161912638303</v>
      </c>
      <c r="AX1318" s="14">
        <v>0.772330570754025</v>
      </c>
      <c r="AY1318" s="14"/>
      <c r="AZ1318" s="14">
        <v>0.71527778579146195</v>
      </c>
      <c r="BA1318" s="14">
        <v>0.56992007396681799</v>
      </c>
    </row>
    <row r="1319" spans="2:53" x14ac:dyDescent="0.35">
      <c r="B1319" t="s">
        <v>155</v>
      </c>
      <c r="C1319" s="14">
        <v>0.13843279869726699</v>
      </c>
      <c r="D1319" s="14">
        <v>0.142471801407038</v>
      </c>
      <c r="E1319" s="14">
        <v>0.133132752468198</v>
      </c>
      <c r="F1319" s="14"/>
      <c r="G1319" s="14">
        <v>0.182858017741347</v>
      </c>
      <c r="H1319" s="14">
        <v>0.212189597408525</v>
      </c>
      <c r="I1319" s="14">
        <v>0.131046797044681</v>
      </c>
      <c r="J1319" s="14">
        <v>0.13438031722958299</v>
      </c>
      <c r="K1319" s="14">
        <v>0.117945152471577</v>
      </c>
      <c r="L1319" s="14">
        <v>0.179761665871874</v>
      </c>
      <c r="M1319" s="14"/>
      <c r="N1319" s="14">
        <v>0.139581877380591</v>
      </c>
      <c r="O1319" s="14">
        <v>0.117555971871885</v>
      </c>
      <c r="P1319" s="14">
        <v>0.154006035954944</v>
      </c>
      <c r="Q1319" s="14">
        <v>0.14556988620042799</v>
      </c>
      <c r="R1319" s="14"/>
      <c r="S1319" s="14">
        <v>0.147670481121147</v>
      </c>
      <c r="T1319" s="14">
        <v>0.12892351193246099</v>
      </c>
      <c r="U1319" s="14">
        <v>0.14865934922084301</v>
      </c>
      <c r="V1319" s="14">
        <v>7.8671791061979898E-2</v>
      </c>
      <c r="W1319" s="14">
        <v>0.153747193264405</v>
      </c>
      <c r="X1319" s="14">
        <v>0.126803109186408</v>
      </c>
      <c r="Y1319" s="14">
        <v>0.19988000190776101</v>
      </c>
      <c r="Z1319" s="14">
        <v>0.11564202716701601</v>
      </c>
      <c r="AA1319" s="14">
        <v>0.14022827848165501</v>
      </c>
      <c r="AB1319" s="14"/>
      <c r="AC1319" s="14">
        <v>0.14508347123363999</v>
      </c>
      <c r="AD1319" s="14">
        <v>0.135027935010883</v>
      </c>
      <c r="AE1319" s="14">
        <v>0.145899930078291</v>
      </c>
      <c r="AF1319" s="14">
        <v>0.190123130509112</v>
      </c>
      <c r="AG1319" s="14">
        <v>0.13853177069821199</v>
      </c>
      <c r="AH1319" s="14"/>
      <c r="AI1319" s="14">
        <v>0.13254717476177599</v>
      </c>
      <c r="AJ1319" s="14">
        <v>0.20756170845635</v>
      </c>
      <c r="AK1319" s="14">
        <v>0.120059508910274</v>
      </c>
      <c r="AL1319" s="14">
        <v>0.109023029247139</v>
      </c>
      <c r="AM1319" s="14">
        <v>0.196356079407221</v>
      </c>
      <c r="AN1319" s="14">
        <v>5.2243086628022697E-2</v>
      </c>
      <c r="AO1319" s="14"/>
      <c r="AP1319" s="14">
        <v>0.13524437561755001</v>
      </c>
      <c r="AQ1319" s="14">
        <v>0.14278571458011699</v>
      </c>
      <c r="AR1319" s="14"/>
      <c r="AS1319" s="14" t="s">
        <v>88</v>
      </c>
      <c r="AT1319" s="14" t="s">
        <v>88</v>
      </c>
      <c r="AU1319" s="14">
        <v>0.13843279869726699</v>
      </c>
      <c r="AV1319" s="14"/>
      <c r="AW1319" s="14">
        <v>0.13382657030643499</v>
      </c>
      <c r="AX1319" s="14">
        <v>0.13152034988723901</v>
      </c>
      <c r="AY1319" s="14"/>
      <c r="AZ1319" s="14">
        <v>0.144981755261366</v>
      </c>
      <c r="BA1319" s="14">
        <v>0.116152306783309</v>
      </c>
    </row>
    <row r="1320" spans="2:53" x14ac:dyDescent="0.35">
      <c r="B1320" t="s">
        <v>116</v>
      </c>
      <c r="C1320" s="14">
        <v>0.178469962868093</v>
      </c>
      <c r="D1320" s="14">
        <v>0.16448782374128601</v>
      </c>
      <c r="E1320" s="14">
        <v>0.19258474531973699</v>
      </c>
      <c r="F1320" s="14"/>
      <c r="G1320" s="14">
        <v>0</v>
      </c>
      <c r="H1320" s="14">
        <v>0.156031607816391</v>
      </c>
      <c r="I1320" s="14">
        <v>0.16260038829473999</v>
      </c>
      <c r="J1320" s="14">
        <v>0.19533189478671401</v>
      </c>
      <c r="K1320" s="14">
        <v>0.18773239962436</v>
      </c>
      <c r="L1320" s="14">
        <v>0.21436947584500701</v>
      </c>
      <c r="M1320" s="14"/>
      <c r="N1320" s="14">
        <v>0.115430141169937</v>
      </c>
      <c r="O1320" s="14">
        <v>0.202082976933876</v>
      </c>
      <c r="P1320" s="14">
        <v>0.15339453368768799</v>
      </c>
      <c r="Q1320" s="14">
        <v>0.24446871037916301</v>
      </c>
      <c r="R1320" s="14"/>
      <c r="S1320" s="14">
        <v>0.122291511130265</v>
      </c>
      <c r="T1320" s="14">
        <v>0.171625997120086</v>
      </c>
      <c r="U1320" s="14">
        <v>0.14181200139567601</v>
      </c>
      <c r="V1320" s="14">
        <v>0.26763114489315498</v>
      </c>
      <c r="W1320" s="14">
        <v>0.18283718384206801</v>
      </c>
      <c r="X1320" s="14">
        <v>0.21479838360587999</v>
      </c>
      <c r="Y1320" s="14">
        <v>0.21625765866523899</v>
      </c>
      <c r="Z1320" s="14">
        <v>0.12714872962388399</v>
      </c>
      <c r="AA1320" s="14">
        <v>0.16195581573880999</v>
      </c>
      <c r="AB1320" s="14"/>
      <c r="AC1320" s="14">
        <v>0.26175821654599701</v>
      </c>
      <c r="AD1320" s="14">
        <v>0.17836335884992199</v>
      </c>
      <c r="AE1320" s="14">
        <v>0.11685435675813401</v>
      </c>
      <c r="AF1320" s="14">
        <v>9.4857430685947694E-2</v>
      </c>
      <c r="AG1320" s="14">
        <v>3.70445902839091E-2</v>
      </c>
      <c r="AH1320" s="14"/>
      <c r="AI1320" s="14">
        <v>0.161881080073001</v>
      </c>
      <c r="AJ1320" s="14">
        <v>9.2368017416900705E-2</v>
      </c>
      <c r="AK1320" s="14">
        <v>0.19735103932339601</v>
      </c>
      <c r="AL1320" s="14">
        <v>0.23256515538526701</v>
      </c>
      <c r="AM1320" s="14">
        <v>7.0060570953559304E-2</v>
      </c>
      <c r="AN1320" s="14">
        <v>0.32301064844336902</v>
      </c>
      <c r="AO1320" s="14"/>
      <c r="AP1320" s="14">
        <v>0.154168233624662</v>
      </c>
      <c r="AQ1320" s="14">
        <v>0.20529337725097799</v>
      </c>
      <c r="AR1320" s="14"/>
      <c r="AS1320" s="14" t="s">
        <v>88</v>
      </c>
      <c r="AT1320" s="14" t="s">
        <v>88</v>
      </c>
      <c r="AU1320" s="14">
        <v>0.178469962868093</v>
      </c>
      <c r="AV1320" s="14"/>
      <c r="AW1320" s="14">
        <v>0.187711810567182</v>
      </c>
      <c r="AX1320" s="14">
        <v>9.6149079358736303E-2</v>
      </c>
      <c r="AY1320" s="14"/>
      <c r="AZ1320" s="14">
        <v>0.13974045894717199</v>
      </c>
      <c r="BA1320" s="14">
        <v>0.313927619249873</v>
      </c>
    </row>
    <row r="1321" spans="2:53" x14ac:dyDescent="0.35"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</row>
    <row r="1322" spans="2:53" x14ac:dyDescent="0.35">
      <c r="B1322" s="6" t="s">
        <v>342</v>
      </c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</row>
    <row r="1323" spans="2:53" x14ac:dyDescent="0.35">
      <c r="B1323" s="30" t="s">
        <v>463</v>
      </c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</row>
    <row r="1324" spans="2:53" x14ac:dyDescent="0.35">
      <c r="B1324" t="s">
        <v>214</v>
      </c>
      <c r="C1324" s="14">
        <v>0.17447857519132201</v>
      </c>
      <c r="D1324" s="14">
        <v>0.19549316437286601</v>
      </c>
      <c r="E1324" s="14">
        <v>0.153090643518452</v>
      </c>
      <c r="F1324" s="14"/>
      <c r="G1324" s="14">
        <v>0</v>
      </c>
      <c r="H1324" s="14">
        <v>0.25582518265631499</v>
      </c>
      <c r="I1324" s="14">
        <v>0.22487996290352799</v>
      </c>
      <c r="J1324" s="14">
        <v>0.11111663894625901</v>
      </c>
      <c r="K1324" s="14">
        <v>0.15586210187687799</v>
      </c>
      <c r="L1324" s="14">
        <v>0.18984460238898701</v>
      </c>
      <c r="M1324" s="14"/>
      <c r="N1324" s="14">
        <v>0.179871511530039</v>
      </c>
      <c r="O1324" s="14">
        <v>0.15935187408439599</v>
      </c>
      <c r="P1324" s="14">
        <v>0.16551083456868401</v>
      </c>
      <c r="Q1324" s="14">
        <v>0.195786815853634</v>
      </c>
      <c r="R1324" s="14"/>
      <c r="S1324" s="14">
        <v>0.26168416133862499</v>
      </c>
      <c r="T1324" s="14">
        <v>0.11235508827172699</v>
      </c>
      <c r="U1324" s="14">
        <v>0.120979002994223</v>
      </c>
      <c r="V1324" s="14">
        <v>0.18004487350332801</v>
      </c>
      <c r="W1324" s="14">
        <v>0.116566842216351</v>
      </c>
      <c r="X1324" s="14">
        <v>0.246961107496177</v>
      </c>
      <c r="Y1324" s="14">
        <v>0.15927347325324701</v>
      </c>
      <c r="Z1324" s="14">
        <v>0.21676888433849101</v>
      </c>
      <c r="AA1324" s="14">
        <v>0.15687249070876499</v>
      </c>
      <c r="AB1324" s="14"/>
      <c r="AC1324" s="14">
        <v>0.180047156410339</v>
      </c>
      <c r="AD1324" s="14">
        <v>9.74384032404952E-2</v>
      </c>
      <c r="AE1324" s="14">
        <v>0.16998539077931901</v>
      </c>
      <c r="AF1324" s="14">
        <v>0.27945159331208103</v>
      </c>
      <c r="AG1324" s="14">
        <v>0.35308211600532702</v>
      </c>
      <c r="AH1324" s="14"/>
      <c r="AI1324" s="14">
        <v>0.23268088658432801</v>
      </c>
      <c r="AJ1324" s="14">
        <v>0.18448634154163901</v>
      </c>
      <c r="AK1324" s="14">
        <v>0.14712382620669701</v>
      </c>
      <c r="AL1324" s="14">
        <v>0.13513339069629701</v>
      </c>
      <c r="AM1324" s="14">
        <v>9.1853658018295398E-2</v>
      </c>
      <c r="AN1324" s="14">
        <v>9.2071849533071598E-2</v>
      </c>
      <c r="AO1324" s="14"/>
      <c r="AP1324" s="14">
        <v>0.19417166635208499</v>
      </c>
      <c r="AQ1324" s="14">
        <v>0.150776864648414</v>
      </c>
      <c r="AR1324" s="14"/>
      <c r="AS1324" s="14" t="s">
        <v>88</v>
      </c>
      <c r="AT1324" s="14" t="s">
        <v>88</v>
      </c>
      <c r="AU1324" s="14">
        <v>0.17447857519132201</v>
      </c>
      <c r="AV1324" s="14"/>
      <c r="AW1324" s="14">
        <v>0.16435800721105501</v>
      </c>
      <c r="AX1324" s="14">
        <v>0.235366376076526</v>
      </c>
      <c r="AY1324" s="14"/>
      <c r="AZ1324" s="14">
        <v>0.18961995679865601</v>
      </c>
      <c r="BA1324" s="14">
        <v>0.106536151818687</v>
      </c>
    </row>
    <row r="1325" spans="2:53" x14ac:dyDescent="0.35">
      <c r="B1325" t="s">
        <v>215</v>
      </c>
      <c r="C1325" s="14">
        <v>0.58479248217481306</v>
      </c>
      <c r="D1325" s="14">
        <v>0.57826553720943796</v>
      </c>
      <c r="E1325" s="14">
        <v>0.59143538400582396</v>
      </c>
      <c r="F1325" s="14"/>
      <c r="G1325" s="14">
        <v>0.53755186374684905</v>
      </c>
      <c r="H1325" s="14">
        <v>0.58141380870954595</v>
      </c>
      <c r="I1325" s="14">
        <v>0.56998398698336605</v>
      </c>
      <c r="J1325" s="14">
        <v>0.60920798472775695</v>
      </c>
      <c r="K1325" s="14">
        <v>0.54906329828138201</v>
      </c>
      <c r="L1325" s="14">
        <v>0.67207143161326199</v>
      </c>
      <c r="M1325" s="14"/>
      <c r="N1325" s="14">
        <v>0.60214132400940201</v>
      </c>
      <c r="O1325" s="14">
        <v>0.57609117069485205</v>
      </c>
      <c r="P1325" s="14">
        <v>0.59285073370343899</v>
      </c>
      <c r="Q1325" s="14">
        <v>0.56119940759666598</v>
      </c>
      <c r="R1325" s="14"/>
      <c r="S1325" s="14">
        <v>0.56157987906723605</v>
      </c>
      <c r="T1325" s="14">
        <v>0.58009648864511898</v>
      </c>
      <c r="U1325" s="14">
        <v>0.56411560189648802</v>
      </c>
      <c r="V1325" s="14">
        <v>0.57354256049933605</v>
      </c>
      <c r="W1325" s="14">
        <v>0.62791130870288503</v>
      </c>
      <c r="X1325" s="14">
        <v>0.50360934598819196</v>
      </c>
      <c r="Y1325" s="14">
        <v>0.63324763867164102</v>
      </c>
      <c r="Z1325" s="14">
        <v>0.63032040539185996</v>
      </c>
      <c r="AA1325" s="14">
        <v>0.62107586156845795</v>
      </c>
      <c r="AB1325" s="14"/>
      <c r="AC1325" s="14">
        <v>0.53951171918173602</v>
      </c>
      <c r="AD1325" s="14">
        <v>0.69002624950068503</v>
      </c>
      <c r="AE1325" s="14">
        <v>0.60895302734259105</v>
      </c>
      <c r="AF1325" s="14">
        <v>0.516415077620616</v>
      </c>
      <c r="AG1325" s="14">
        <v>0.48822612878395699</v>
      </c>
      <c r="AH1325" s="14"/>
      <c r="AI1325" s="14">
        <v>0.52908566445485405</v>
      </c>
      <c r="AJ1325" s="14">
        <v>0.58253597091610998</v>
      </c>
      <c r="AK1325" s="14">
        <v>0.61491271205264098</v>
      </c>
      <c r="AL1325" s="14">
        <v>0.61765266830747301</v>
      </c>
      <c r="AM1325" s="14">
        <v>0.66315583465192696</v>
      </c>
      <c r="AN1325" s="14">
        <v>0.61631565393232901</v>
      </c>
      <c r="AO1325" s="14"/>
      <c r="AP1325" s="14">
        <v>0.58233407203811505</v>
      </c>
      <c r="AQ1325" s="14">
        <v>0.58911515229710598</v>
      </c>
      <c r="AR1325" s="14"/>
      <c r="AS1325" s="14" t="s">
        <v>88</v>
      </c>
      <c r="AT1325" s="14" t="s">
        <v>88</v>
      </c>
      <c r="AU1325" s="14">
        <v>0.58479248217481306</v>
      </c>
      <c r="AV1325" s="14"/>
      <c r="AW1325" s="14">
        <v>0.58769254804377802</v>
      </c>
      <c r="AX1325" s="14">
        <v>0.59902544031428795</v>
      </c>
      <c r="AY1325" s="14"/>
      <c r="AZ1325" s="14">
        <v>0.59128154687040602</v>
      </c>
      <c r="BA1325" s="14">
        <v>0.55247146718975304</v>
      </c>
    </row>
    <row r="1326" spans="2:53" x14ac:dyDescent="0.35">
      <c r="B1326" t="s">
        <v>216</v>
      </c>
      <c r="C1326" s="14">
        <v>0.10354268707608801</v>
      </c>
      <c r="D1326" s="14">
        <v>9.1681141674833294E-2</v>
      </c>
      <c r="E1326" s="14">
        <v>0.115614963168904</v>
      </c>
      <c r="F1326" s="14"/>
      <c r="G1326" s="14">
        <v>0.46244813625315101</v>
      </c>
      <c r="H1326" s="14">
        <v>8.3894450832145306E-2</v>
      </c>
      <c r="I1326" s="14">
        <v>9.3970729608018194E-2</v>
      </c>
      <c r="J1326" s="14">
        <v>0.12611286385735501</v>
      </c>
      <c r="K1326" s="14">
        <v>8.6367735572809107E-2</v>
      </c>
      <c r="L1326" s="14">
        <v>0</v>
      </c>
      <c r="M1326" s="14"/>
      <c r="N1326" s="14">
        <v>8.1440127483729793E-2</v>
      </c>
      <c r="O1326" s="14">
        <v>9.2836627739790095E-2</v>
      </c>
      <c r="P1326" s="14">
        <v>0.13516746056461401</v>
      </c>
      <c r="Q1326" s="14">
        <v>0.113229646278607</v>
      </c>
      <c r="R1326" s="14"/>
      <c r="S1326" s="14">
        <v>5.2692130132471197E-2</v>
      </c>
      <c r="T1326" s="14">
        <v>0.142462951108836</v>
      </c>
      <c r="U1326" s="14">
        <v>8.4633765199468997E-2</v>
      </c>
      <c r="V1326" s="14">
        <v>0.121458472215883</v>
      </c>
      <c r="W1326" s="14">
        <v>6.6295901688677397E-2</v>
      </c>
      <c r="X1326" s="14">
        <v>0.13470216924284301</v>
      </c>
      <c r="Y1326" s="14">
        <v>0.12640883391822799</v>
      </c>
      <c r="Z1326" s="14">
        <v>4.4320332482169697E-2</v>
      </c>
      <c r="AA1326" s="14">
        <v>0.13372385958517599</v>
      </c>
      <c r="AB1326" s="14"/>
      <c r="AC1326" s="14">
        <v>9.7772168179810201E-2</v>
      </c>
      <c r="AD1326" s="14">
        <v>0.121137568957914</v>
      </c>
      <c r="AE1326" s="14">
        <v>8.9219721193193394E-2</v>
      </c>
      <c r="AF1326" s="14">
        <v>0.107978816105711</v>
      </c>
      <c r="AG1326" s="14">
        <v>2.3784902860441399E-2</v>
      </c>
      <c r="AH1326" s="14"/>
      <c r="AI1326" s="14">
        <v>0.134291923218603</v>
      </c>
      <c r="AJ1326" s="14">
        <v>9.7382573950325402E-2</v>
      </c>
      <c r="AK1326" s="14">
        <v>8.19385059142793E-2</v>
      </c>
      <c r="AL1326" s="14">
        <v>9.6928615448176103E-2</v>
      </c>
      <c r="AM1326" s="14">
        <v>2.9993659730281199E-2</v>
      </c>
      <c r="AN1326" s="14">
        <v>8.4320929956929497E-2</v>
      </c>
      <c r="AO1326" s="14"/>
      <c r="AP1326" s="14">
        <v>9.1499586223471902E-2</v>
      </c>
      <c r="AQ1326" s="14">
        <v>0.11907013680013</v>
      </c>
      <c r="AR1326" s="14"/>
      <c r="AS1326" s="14" t="s">
        <v>88</v>
      </c>
      <c r="AT1326" s="14" t="s">
        <v>88</v>
      </c>
      <c r="AU1326" s="14">
        <v>0.10354268707608801</v>
      </c>
      <c r="AV1326" s="14"/>
      <c r="AW1326" s="14">
        <v>0.100003177433912</v>
      </c>
      <c r="AX1326" s="14">
        <v>6.5160320582678302E-2</v>
      </c>
      <c r="AY1326" s="14"/>
      <c r="AZ1326" s="14">
        <v>9.8829553379826907E-2</v>
      </c>
      <c r="BA1326" s="14">
        <v>0.12572343727910701</v>
      </c>
    </row>
    <row r="1327" spans="2:53" x14ac:dyDescent="0.35">
      <c r="B1327" t="s">
        <v>217</v>
      </c>
      <c r="C1327" s="14">
        <v>1.14841328522993E-2</v>
      </c>
      <c r="D1327" s="14">
        <v>1.43966096578195E-2</v>
      </c>
      <c r="E1327" s="14">
        <v>8.5199133580636001E-3</v>
      </c>
      <c r="F1327" s="14"/>
      <c r="G1327" s="14">
        <v>0</v>
      </c>
      <c r="H1327" s="14">
        <v>1.03204032746972E-2</v>
      </c>
      <c r="I1327" s="14">
        <v>4.7552412931950103E-3</v>
      </c>
      <c r="J1327" s="14">
        <v>1.22838989052148E-2</v>
      </c>
      <c r="K1327" s="14">
        <v>3.31891546050515E-2</v>
      </c>
      <c r="L1327" s="14">
        <v>0</v>
      </c>
      <c r="M1327" s="14"/>
      <c r="N1327" s="14">
        <v>6.7543077624461299E-3</v>
      </c>
      <c r="O1327" s="14">
        <v>2.0127537857177798E-2</v>
      </c>
      <c r="P1327" s="14">
        <v>5.9142387214386003E-3</v>
      </c>
      <c r="Q1327" s="14">
        <v>1.03769329347987E-2</v>
      </c>
      <c r="R1327" s="14"/>
      <c r="S1327" s="14">
        <v>1.6846832694503499E-2</v>
      </c>
      <c r="T1327" s="14">
        <v>2.20009588388764E-2</v>
      </c>
      <c r="U1327" s="14">
        <v>0</v>
      </c>
      <c r="V1327" s="14">
        <v>0</v>
      </c>
      <c r="W1327" s="14">
        <v>3.8426078352961697E-2</v>
      </c>
      <c r="X1327" s="14">
        <v>7.8862003610779708E-3</v>
      </c>
      <c r="Y1327" s="14">
        <v>2.1027376295606999E-3</v>
      </c>
      <c r="Z1327" s="14">
        <v>0</v>
      </c>
      <c r="AA1327" s="14">
        <v>5.1300083390555303E-3</v>
      </c>
      <c r="AB1327" s="14"/>
      <c r="AC1327" s="14">
        <v>2.2246487728537701E-2</v>
      </c>
      <c r="AD1327" s="14">
        <v>4.6577623762908502E-3</v>
      </c>
      <c r="AE1327" s="14">
        <v>1.19030160650276E-2</v>
      </c>
      <c r="AF1327" s="14">
        <v>6.1023900477953598E-3</v>
      </c>
      <c r="AG1327" s="14">
        <v>0</v>
      </c>
      <c r="AH1327" s="14"/>
      <c r="AI1327" s="14">
        <v>1.04018585745623E-2</v>
      </c>
      <c r="AJ1327" s="14">
        <v>1.5138715374916401E-2</v>
      </c>
      <c r="AK1327" s="14">
        <v>1.70408787971532E-2</v>
      </c>
      <c r="AL1327" s="14">
        <v>5.5776199079683002E-3</v>
      </c>
      <c r="AM1327" s="14">
        <v>6.3353882378102801E-3</v>
      </c>
      <c r="AN1327" s="14">
        <v>0</v>
      </c>
      <c r="AO1327" s="14"/>
      <c r="AP1327" s="14">
        <v>1.1405653930037099E-2</v>
      </c>
      <c r="AQ1327" s="14">
        <v>1.16384238763656E-2</v>
      </c>
      <c r="AR1327" s="14"/>
      <c r="AS1327" s="14" t="s">
        <v>88</v>
      </c>
      <c r="AT1327" s="14" t="s">
        <v>88</v>
      </c>
      <c r="AU1327" s="14">
        <v>1.14841328522993E-2</v>
      </c>
      <c r="AV1327" s="14"/>
      <c r="AW1327" s="14">
        <v>9.5636074937706494E-3</v>
      </c>
      <c r="AX1327" s="14">
        <v>1.7272126526076601E-2</v>
      </c>
      <c r="AY1327" s="14"/>
      <c r="AZ1327" s="14">
        <v>8.3913190807845799E-3</v>
      </c>
      <c r="BA1327" s="14">
        <v>2.56702814586749E-2</v>
      </c>
    </row>
    <row r="1328" spans="2:53" x14ac:dyDescent="0.35">
      <c r="B1328" t="s">
        <v>116</v>
      </c>
      <c r="C1328" s="14">
        <v>5.8360141230945399E-2</v>
      </c>
      <c r="D1328" s="14">
        <v>3.8083997840274698E-2</v>
      </c>
      <c r="E1328" s="14">
        <v>7.8996507979901695E-2</v>
      </c>
      <c r="F1328" s="14"/>
      <c r="G1328" s="14">
        <v>0</v>
      </c>
      <c r="H1328" s="14">
        <v>0</v>
      </c>
      <c r="I1328" s="14">
        <v>5.5617329856479103E-2</v>
      </c>
      <c r="J1328" s="14">
        <v>6.8262568717675901E-2</v>
      </c>
      <c r="K1328" s="14">
        <v>6.9205476465487303E-2</v>
      </c>
      <c r="L1328" s="14">
        <v>8.7466368307799594E-2</v>
      </c>
      <c r="M1328" s="14"/>
      <c r="N1328" s="14">
        <v>4.6280945032020203E-2</v>
      </c>
      <c r="O1328" s="14">
        <v>0.101682967793624</v>
      </c>
      <c r="P1328" s="14">
        <v>3.8985243845811701E-2</v>
      </c>
      <c r="Q1328" s="14">
        <v>4.7879144661841101E-2</v>
      </c>
      <c r="R1328" s="14"/>
      <c r="S1328" s="14">
        <v>6.3257443501552199E-2</v>
      </c>
      <c r="T1328" s="14">
        <v>6.3197502296087102E-2</v>
      </c>
      <c r="U1328" s="14">
        <v>9.3836114315268004E-2</v>
      </c>
      <c r="V1328" s="14">
        <v>5.5542098671371998E-2</v>
      </c>
      <c r="W1328" s="14">
        <v>7.1073605974026594E-2</v>
      </c>
      <c r="X1328" s="14">
        <v>6.50072644182772E-2</v>
      </c>
      <c r="Y1328" s="14">
        <v>1.9649628075423201E-2</v>
      </c>
      <c r="Z1328" s="14">
        <v>6.4790939848293594E-2</v>
      </c>
      <c r="AA1328" s="14">
        <v>3.0801879087544701E-2</v>
      </c>
      <c r="AB1328" s="14"/>
      <c r="AC1328" s="14">
        <v>6.5935739669729307E-2</v>
      </c>
      <c r="AD1328" s="14">
        <v>4.5634755240124003E-2</v>
      </c>
      <c r="AE1328" s="14">
        <v>6.2542355428581997E-2</v>
      </c>
      <c r="AF1328" s="14">
        <v>3.7603297981535298E-2</v>
      </c>
      <c r="AG1328" s="14">
        <v>7.4577132913559302E-2</v>
      </c>
      <c r="AH1328" s="14"/>
      <c r="AI1328" s="14">
        <v>4.8323455979000098E-2</v>
      </c>
      <c r="AJ1328" s="14">
        <v>4.9512022147900403E-2</v>
      </c>
      <c r="AK1328" s="14">
        <v>6.0219680056269098E-2</v>
      </c>
      <c r="AL1328" s="14">
        <v>5.7233065593896001E-2</v>
      </c>
      <c r="AM1328" s="14">
        <v>4.6043727394270401E-2</v>
      </c>
      <c r="AN1328" s="14">
        <v>0.11330378482737399</v>
      </c>
      <c r="AO1328" s="14"/>
      <c r="AP1328" s="14">
        <v>4.7602857137498497E-2</v>
      </c>
      <c r="AQ1328" s="14">
        <v>6.8765355917189394E-2</v>
      </c>
      <c r="AR1328" s="14"/>
      <c r="AS1328" s="14" t="s">
        <v>88</v>
      </c>
      <c r="AT1328" s="14" t="s">
        <v>88</v>
      </c>
      <c r="AU1328" s="14">
        <v>5.8360141230945399E-2</v>
      </c>
      <c r="AV1328" s="14"/>
      <c r="AW1328" s="14">
        <v>6.7287076914061703E-2</v>
      </c>
      <c r="AX1328" s="14">
        <v>1.98092293170598E-2</v>
      </c>
      <c r="AY1328" s="14"/>
      <c r="AZ1328" s="14">
        <v>4.3602516522126898E-2</v>
      </c>
      <c r="BA1328" s="14">
        <v>0.12607385003820101</v>
      </c>
    </row>
    <row r="1329" spans="2:53" x14ac:dyDescent="0.35"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</row>
    <row r="1330" spans="2:53" x14ac:dyDescent="0.35">
      <c r="B1330" s="6" t="s">
        <v>343</v>
      </c>
      <c r="C1330" s="14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</row>
    <row r="1331" spans="2:53" x14ac:dyDescent="0.35">
      <c r="B1331" s="30" t="s">
        <v>463</v>
      </c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</row>
    <row r="1332" spans="2:53" x14ac:dyDescent="0.35">
      <c r="B1332" t="s">
        <v>220</v>
      </c>
      <c r="C1332" s="14">
        <v>0.23682646800823501</v>
      </c>
      <c r="D1332" s="14">
        <v>0.27807733542037899</v>
      </c>
      <c r="E1332" s="14">
        <v>0.19484274298578999</v>
      </c>
      <c r="F1332" s="14"/>
      <c r="G1332" s="14">
        <v>0</v>
      </c>
      <c r="H1332" s="14">
        <v>0.32808771183918001</v>
      </c>
      <c r="I1332" s="14">
        <v>0.23350670234771101</v>
      </c>
      <c r="J1332" s="14">
        <v>0.213684913295099</v>
      </c>
      <c r="K1332" s="14">
        <v>0.239975051054787</v>
      </c>
      <c r="L1332" s="14">
        <v>0.41838477419188103</v>
      </c>
      <c r="M1332" s="14"/>
      <c r="N1332" s="14">
        <v>0.29365383686194801</v>
      </c>
      <c r="O1332" s="14">
        <v>0.192040755332475</v>
      </c>
      <c r="P1332" s="14">
        <v>0.22721639068747099</v>
      </c>
      <c r="Q1332" s="14">
        <v>0.21444381563466799</v>
      </c>
      <c r="R1332" s="14"/>
      <c r="S1332" s="14">
        <v>0.34379599906767</v>
      </c>
      <c r="T1332" s="14">
        <v>0.209030497125714</v>
      </c>
      <c r="U1332" s="14">
        <v>0.201275185691702</v>
      </c>
      <c r="V1332" s="14">
        <v>0.31064876836285599</v>
      </c>
      <c r="W1332" s="14">
        <v>0.15743272007669501</v>
      </c>
      <c r="X1332" s="14">
        <v>0.23480685524776401</v>
      </c>
      <c r="Y1332" s="14">
        <v>0.22441662783445601</v>
      </c>
      <c r="Z1332" s="14">
        <v>0.18953603984537101</v>
      </c>
      <c r="AA1332" s="14">
        <v>0.19302581337074401</v>
      </c>
      <c r="AB1332" s="14"/>
      <c r="AC1332" s="14">
        <v>0.214079756715092</v>
      </c>
      <c r="AD1332" s="14">
        <v>0.192964990024516</v>
      </c>
      <c r="AE1332" s="14">
        <v>0.206849804819563</v>
      </c>
      <c r="AF1332" s="14">
        <v>0.34976419933851299</v>
      </c>
      <c r="AG1332" s="14">
        <v>0.413433972243061</v>
      </c>
      <c r="AH1332" s="14"/>
      <c r="AI1332" s="14">
        <v>0.26157961963536702</v>
      </c>
      <c r="AJ1332" s="14">
        <v>0.27201408167104901</v>
      </c>
      <c r="AK1332" s="14">
        <v>0.21870144673374101</v>
      </c>
      <c r="AL1332" s="14">
        <v>0.20892933345350001</v>
      </c>
      <c r="AM1332" s="14">
        <v>0.205535004608388</v>
      </c>
      <c r="AN1332" s="14">
        <v>0.14340428819384399</v>
      </c>
      <c r="AO1332" s="14"/>
      <c r="AP1332" s="14">
        <v>0.28917554791606898</v>
      </c>
      <c r="AQ1332" s="14">
        <v>0.171090097641938</v>
      </c>
      <c r="AR1332" s="14"/>
      <c r="AS1332" s="14" t="s">
        <v>88</v>
      </c>
      <c r="AT1332" s="14" t="s">
        <v>88</v>
      </c>
      <c r="AU1332" s="14">
        <v>0.23682646800823501</v>
      </c>
      <c r="AV1332" s="14"/>
      <c r="AW1332" s="14">
        <v>0.21788205747786901</v>
      </c>
      <c r="AX1332" s="14">
        <v>0.36812943045329499</v>
      </c>
      <c r="AY1332" s="14"/>
      <c r="AZ1332" s="14">
        <v>0.25429654852158701</v>
      </c>
      <c r="BA1332" s="14">
        <v>0.15866687571910401</v>
      </c>
    </row>
    <row r="1333" spans="2:53" x14ac:dyDescent="0.35">
      <c r="B1333" t="s">
        <v>221</v>
      </c>
      <c r="C1333" s="14">
        <v>0.51083447101697799</v>
      </c>
      <c r="D1333" s="14">
        <v>0.52281718049641701</v>
      </c>
      <c r="E1333" s="14">
        <v>0.49863887826053199</v>
      </c>
      <c r="F1333" s="14"/>
      <c r="G1333" s="14">
        <v>0</v>
      </c>
      <c r="H1333" s="14">
        <v>0.48630418304449102</v>
      </c>
      <c r="I1333" s="14">
        <v>0.51002034512653605</v>
      </c>
      <c r="J1333" s="14">
        <v>0.51790668288285102</v>
      </c>
      <c r="K1333" s="14">
        <v>0.51638070806566405</v>
      </c>
      <c r="L1333" s="14">
        <v>0.51797346218814999</v>
      </c>
      <c r="M1333" s="14"/>
      <c r="N1333" s="14">
        <v>0.48753357180449802</v>
      </c>
      <c r="O1333" s="14">
        <v>0.55373857779458702</v>
      </c>
      <c r="P1333" s="14">
        <v>0.49422494741531803</v>
      </c>
      <c r="Q1333" s="14">
        <v>0.51843271221679599</v>
      </c>
      <c r="R1333" s="14"/>
      <c r="S1333" s="14">
        <v>0.49411697918192699</v>
      </c>
      <c r="T1333" s="14">
        <v>0.54336663037327904</v>
      </c>
      <c r="U1333" s="14">
        <v>0.50132098941043801</v>
      </c>
      <c r="V1333" s="14">
        <v>0.44245486505113202</v>
      </c>
      <c r="W1333" s="14">
        <v>0.57514127202174403</v>
      </c>
      <c r="X1333" s="14">
        <v>0.50715997035893701</v>
      </c>
      <c r="Y1333" s="14">
        <v>0.47223439069117001</v>
      </c>
      <c r="Z1333" s="14">
        <v>0.52262525042183405</v>
      </c>
      <c r="AA1333" s="14">
        <v>0.53265392528344502</v>
      </c>
      <c r="AB1333" s="14"/>
      <c r="AC1333" s="14">
        <v>0.49389480307161998</v>
      </c>
      <c r="AD1333" s="14">
        <v>0.57374370872556302</v>
      </c>
      <c r="AE1333" s="14">
        <v>0.55980053929893903</v>
      </c>
      <c r="AF1333" s="14">
        <v>0.45043134650718197</v>
      </c>
      <c r="AG1333" s="14">
        <v>0.42549106975733297</v>
      </c>
      <c r="AH1333" s="14"/>
      <c r="AI1333" s="14">
        <v>0.53340161473408498</v>
      </c>
      <c r="AJ1333" s="14">
        <v>0.51646423687169896</v>
      </c>
      <c r="AK1333" s="14">
        <v>0.50536571314163903</v>
      </c>
      <c r="AL1333" s="14">
        <v>0.53052487190066899</v>
      </c>
      <c r="AM1333" s="14">
        <v>0.40300340768715898</v>
      </c>
      <c r="AN1333" s="14">
        <v>0.539061178487941</v>
      </c>
      <c r="AO1333" s="14"/>
      <c r="AP1333" s="14">
        <v>0.499679742348491</v>
      </c>
      <c r="AQ1333" s="14">
        <v>0.52725506240869102</v>
      </c>
      <c r="AR1333" s="14"/>
      <c r="AS1333" s="14" t="s">
        <v>88</v>
      </c>
      <c r="AT1333" s="14" t="s">
        <v>88</v>
      </c>
      <c r="AU1333" s="14">
        <v>0.51083447101697799</v>
      </c>
      <c r="AV1333" s="14"/>
      <c r="AW1333" s="14">
        <v>0.52246572291190596</v>
      </c>
      <c r="AX1333" s="14">
        <v>0.48567776213115599</v>
      </c>
      <c r="AY1333" s="14"/>
      <c r="AZ1333" s="14">
        <v>0.52215992424570101</v>
      </c>
      <c r="BA1333" s="14">
        <v>0.45596376198770699</v>
      </c>
    </row>
    <row r="1334" spans="2:53" x14ac:dyDescent="0.35">
      <c r="B1334" t="s">
        <v>222</v>
      </c>
      <c r="C1334" s="14">
        <v>0.146111344936663</v>
      </c>
      <c r="D1334" s="14">
        <v>0.111698344337629</v>
      </c>
      <c r="E1334" s="14">
        <v>0.181135722482763</v>
      </c>
      <c r="F1334" s="14"/>
      <c r="G1334" s="14">
        <v>1</v>
      </c>
      <c r="H1334" s="14">
        <v>0.13027457742825399</v>
      </c>
      <c r="I1334" s="14">
        <v>0.133368082985659</v>
      </c>
      <c r="J1334" s="14">
        <v>0.161285058422595</v>
      </c>
      <c r="K1334" s="14">
        <v>0.14555650893828401</v>
      </c>
      <c r="L1334" s="14">
        <v>6.3641763619969496E-2</v>
      </c>
      <c r="M1334" s="14"/>
      <c r="N1334" s="14">
        <v>0.11393329140406599</v>
      </c>
      <c r="O1334" s="14">
        <v>0.14227611468486001</v>
      </c>
      <c r="P1334" s="14">
        <v>0.16104982054063799</v>
      </c>
      <c r="Q1334" s="14">
        <v>0.176659854989584</v>
      </c>
      <c r="R1334" s="14"/>
      <c r="S1334" s="14">
        <v>0.10321558569465999</v>
      </c>
      <c r="T1334" s="14">
        <v>0.164427541858154</v>
      </c>
      <c r="U1334" s="14">
        <v>0.11618190311964301</v>
      </c>
      <c r="V1334" s="14">
        <v>0.117612823210528</v>
      </c>
      <c r="W1334" s="14">
        <v>0.13871841642630101</v>
      </c>
      <c r="X1334" s="14">
        <v>0.19532618936082899</v>
      </c>
      <c r="Y1334" s="14">
        <v>0.184674196969902</v>
      </c>
      <c r="Z1334" s="14">
        <v>0.16577028801844801</v>
      </c>
      <c r="AA1334" s="14">
        <v>0.15727045763999301</v>
      </c>
      <c r="AB1334" s="14"/>
      <c r="AC1334" s="14">
        <v>0.169367911832004</v>
      </c>
      <c r="AD1334" s="14">
        <v>0.15879162329822</v>
      </c>
      <c r="AE1334" s="14">
        <v>0.13850716873337901</v>
      </c>
      <c r="AF1334" s="14">
        <v>0.11810097066693399</v>
      </c>
      <c r="AG1334" s="14">
        <v>0.13793829546311001</v>
      </c>
      <c r="AH1334" s="14"/>
      <c r="AI1334" s="14">
        <v>0.113662646647902</v>
      </c>
      <c r="AJ1334" s="14">
        <v>0.12326045860932899</v>
      </c>
      <c r="AK1334" s="14">
        <v>0.15077444871899501</v>
      </c>
      <c r="AL1334" s="14">
        <v>0.151356409760521</v>
      </c>
      <c r="AM1334" s="14">
        <v>0.27503764076235598</v>
      </c>
      <c r="AN1334" s="14">
        <v>0.15144533762031401</v>
      </c>
      <c r="AO1334" s="14"/>
      <c r="AP1334" s="14">
        <v>0.102838400850063</v>
      </c>
      <c r="AQ1334" s="14">
        <v>0.20079414128435399</v>
      </c>
      <c r="AR1334" s="14"/>
      <c r="AS1334" s="14" t="s">
        <v>88</v>
      </c>
      <c r="AT1334" s="14" t="s">
        <v>88</v>
      </c>
      <c r="AU1334" s="14">
        <v>0.146111344936663</v>
      </c>
      <c r="AV1334" s="14"/>
      <c r="AW1334" s="14">
        <v>0.144142882398022</v>
      </c>
      <c r="AX1334" s="14">
        <v>0.10067732189749901</v>
      </c>
      <c r="AY1334" s="14"/>
      <c r="AZ1334" s="14">
        <v>0.13157936403607701</v>
      </c>
      <c r="BA1334" s="14">
        <v>0.21336922196386199</v>
      </c>
    </row>
    <row r="1335" spans="2:53" x14ac:dyDescent="0.35">
      <c r="B1335" t="s">
        <v>223</v>
      </c>
      <c r="C1335" s="14">
        <v>1.21130825618393E-2</v>
      </c>
      <c r="D1335" s="14">
        <v>5.8448121953427103E-3</v>
      </c>
      <c r="E1335" s="14">
        <v>1.8492714214284299E-2</v>
      </c>
      <c r="F1335" s="14"/>
      <c r="G1335" s="14">
        <v>0</v>
      </c>
      <c r="H1335" s="14">
        <v>0</v>
      </c>
      <c r="I1335" s="14">
        <v>2.8173911799935801E-2</v>
      </c>
      <c r="J1335" s="14">
        <v>2.13255608681037E-3</v>
      </c>
      <c r="K1335" s="14">
        <v>0</v>
      </c>
      <c r="L1335" s="14">
        <v>0</v>
      </c>
      <c r="M1335" s="14"/>
      <c r="N1335" s="14">
        <v>6.8224257753852604E-3</v>
      </c>
      <c r="O1335" s="14">
        <v>1.8912416097662098E-2</v>
      </c>
      <c r="P1335" s="14">
        <v>1.7690144286580198E-2</v>
      </c>
      <c r="Q1335" s="14">
        <v>5.8432124393479499E-3</v>
      </c>
      <c r="R1335" s="14"/>
      <c r="S1335" s="14">
        <v>9.6393076664278692E-3</v>
      </c>
      <c r="T1335" s="14">
        <v>0</v>
      </c>
      <c r="U1335" s="14">
        <v>0</v>
      </c>
      <c r="V1335" s="14">
        <v>1.39567358266633E-2</v>
      </c>
      <c r="W1335" s="14">
        <v>1.4739172506804E-2</v>
      </c>
      <c r="X1335" s="14">
        <v>1.37828873083977E-2</v>
      </c>
      <c r="Y1335" s="14">
        <v>6.8696291055587904E-3</v>
      </c>
      <c r="Z1335" s="14">
        <v>2.7221731739068201E-2</v>
      </c>
      <c r="AA1335" s="14">
        <v>3.12067182040652E-2</v>
      </c>
      <c r="AB1335" s="14"/>
      <c r="AC1335" s="14">
        <v>7.7935109011013403E-3</v>
      </c>
      <c r="AD1335" s="14">
        <v>5.9921718254742004E-3</v>
      </c>
      <c r="AE1335" s="14">
        <v>8.5846526690197406E-3</v>
      </c>
      <c r="AF1335" s="14">
        <v>1.3816272352766799E-2</v>
      </c>
      <c r="AG1335" s="14">
        <v>0</v>
      </c>
      <c r="AH1335" s="14"/>
      <c r="AI1335" s="14">
        <v>1.67394623066538E-2</v>
      </c>
      <c r="AJ1335" s="14">
        <v>8.1490157586216992E-3</v>
      </c>
      <c r="AK1335" s="14">
        <v>0</v>
      </c>
      <c r="AL1335" s="14">
        <v>4.2497222614585302E-3</v>
      </c>
      <c r="AM1335" s="14">
        <v>2.3541132138438801E-2</v>
      </c>
      <c r="AN1335" s="14">
        <v>0</v>
      </c>
      <c r="AO1335" s="14"/>
      <c r="AP1335" s="14">
        <v>1.3325267086932401E-2</v>
      </c>
      <c r="AQ1335" s="14">
        <v>1.0660899110221099E-2</v>
      </c>
      <c r="AR1335" s="14"/>
      <c r="AS1335" s="14" t="s">
        <v>88</v>
      </c>
      <c r="AT1335" s="14" t="s">
        <v>88</v>
      </c>
      <c r="AU1335" s="14">
        <v>1.21130825618393E-2</v>
      </c>
      <c r="AV1335" s="14"/>
      <c r="AW1335" s="14">
        <v>1.2634925563837799E-2</v>
      </c>
      <c r="AX1335" s="14">
        <v>7.7211322503758202E-3</v>
      </c>
      <c r="AY1335" s="14"/>
      <c r="AZ1335" s="14">
        <v>8.0596086939655493E-3</v>
      </c>
      <c r="BA1335" s="14">
        <v>3.0686388158930301E-2</v>
      </c>
    </row>
    <row r="1336" spans="2:53" x14ac:dyDescent="0.35">
      <c r="B1336" t="s">
        <v>116</v>
      </c>
      <c r="C1336" s="14">
        <v>3.0464478744186799E-2</v>
      </c>
      <c r="D1336" s="14">
        <v>1.68125288659253E-2</v>
      </c>
      <c r="E1336" s="14">
        <v>4.4358967409906101E-2</v>
      </c>
      <c r="F1336" s="14"/>
      <c r="G1336" s="14">
        <v>0</v>
      </c>
      <c r="H1336" s="14">
        <v>0</v>
      </c>
      <c r="I1336" s="14">
        <v>5.0059491513818298E-2</v>
      </c>
      <c r="J1336" s="14">
        <v>2.7558448577983799E-2</v>
      </c>
      <c r="K1336" s="14">
        <v>0</v>
      </c>
      <c r="L1336" s="14">
        <v>0</v>
      </c>
      <c r="M1336" s="14"/>
      <c r="N1336" s="14">
        <v>1.9501438456204001E-2</v>
      </c>
      <c r="O1336" s="14">
        <v>2.8211880148062501E-2</v>
      </c>
      <c r="P1336" s="14">
        <v>3.9128724370978002E-2</v>
      </c>
      <c r="Q1336" s="14">
        <v>3.9237869122640497E-2</v>
      </c>
      <c r="R1336" s="14"/>
      <c r="S1336" s="14">
        <v>1.4706265273221501E-2</v>
      </c>
      <c r="T1336" s="14">
        <v>2.8086212177037901E-2</v>
      </c>
      <c r="U1336" s="14">
        <v>6.0308071108571802E-2</v>
      </c>
      <c r="V1336" s="14">
        <v>4.5927964358538E-2</v>
      </c>
      <c r="W1336" s="14">
        <v>3.4242155903357399E-2</v>
      </c>
      <c r="X1336" s="14">
        <v>0</v>
      </c>
      <c r="Y1336" s="14">
        <v>3.6302849460121203E-2</v>
      </c>
      <c r="Z1336" s="14">
        <v>1.45998125387597E-2</v>
      </c>
      <c r="AA1336" s="14">
        <v>4.0332960660434999E-2</v>
      </c>
      <c r="AB1336" s="14"/>
      <c r="AC1336" s="14">
        <v>4.0421011616018097E-2</v>
      </c>
      <c r="AD1336" s="14">
        <v>2.66225553064902E-2</v>
      </c>
      <c r="AE1336" s="14">
        <v>1.8692761769956899E-2</v>
      </c>
      <c r="AF1336" s="14">
        <v>1.7974125200845899E-2</v>
      </c>
      <c r="AG1336" s="14">
        <v>0</v>
      </c>
      <c r="AH1336" s="14"/>
      <c r="AI1336" s="14">
        <v>2.5326380436819899E-2</v>
      </c>
      <c r="AJ1336" s="14">
        <v>1.2833581529117099E-2</v>
      </c>
      <c r="AK1336" s="14">
        <v>4.71654151115736E-2</v>
      </c>
      <c r="AL1336" s="14">
        <v>2.1823444910411199E-2</v>
      </c>
      <c r="AM1336" s="14">
        <v>1.4701863184440601E-2</v>
      </c>
      <c r="AN1336" s="14">
        <v>7.5633700498525205E-2</v>
      </c>
      <c r="AO1336" s="14"/>
      <c r="AP1336" s="14">
        <v>2.4297547284795301E-2</v>
      </c>
      <c r="AQ1336" s="14">
        <v>3.8304825669800598E-2</v>
      </c>
      <c r="AR1336" s="14"/>
      <c r="AS1336" s="14" t="s">
        <v>88</v>
      </c>
      <c r="AT1336" s="14" t="s">
        <v>88</v>
      </c>
      <c r="AU1336" s="14">
        <v>3.0464478744186799E-2</v>
      </c>
      <c r="AV1336" s="14"/>
      <c r="AW1336" s="14">
        <v>3.3414466247472303E-2</v>
      </c>
      <c r="AX1336" s="14">
        <v>0</v>
      </c>
      <c r="AY1336" s="14"/>
      <c r="AZ1336" s="14">
        <v>2.1204359360084801E-2</v>
      </c>
      <c r="BA1336" s="14">
        <v>7.2913258978020701E-2</v>
      </c>
    </row>
    <row r="1337" spans="2:53" x14ac:dyDescent="0.35">
      <c r="B1337" t="s">
        <v>224</v>
      </c>
      <c r="C1337" s="14">
        <v>0.74766093902521202</v>
      </c>
      <c r="D1337" s="14">
        <v>0.80089451591679695</v>
      </c>
      <c r="E1337" s="14">
        <v>0.69348162124632196</v>
      </c>
      <c r="F1337" s="14"/>
      <c r="G1337" s="14">
        <v>0</v>
      </c>
      <c r="H1337" s="14">
        <v>0.81439189488367103</v>
      </c>
      <c r="I1337" s="14">
        <v>0.74352704747424703</v>
      </c>
      <c r="J1337" s="14">
        <v>0.73159159617795</v>
      </c>
      <c r="K1337" s="14">
        <v>0.75635575912045105</v>
      </c>
      <c r="L1337" s="14">
        <v>0.93635823638003102</v>
      </c>
      <c r="M1337" s="14"/>
      <c r="N1337" s="14">
        <v>0.78118740866644698</v>
      </c>
      <c r="O1337" s="14">
        <v>0.74577933312706302</v>
      </c>
      <c r="P1337" s="14">
        <v>0.72144133810278999</v>
      </c>
      <c r="Q1337" s="14">
        <v>0.73287652785146395</v>
      </c>
      <c r="R1337" s="14"/>
      <c r="S1337" s="14">
        <v>0.83791297824959698</v>
      </c>
      <c r="T1337" s="14">
        <v>0.75239712749899301</v>
      </c>
      <c r="U1337" s="14">
        <v>0.70259617510214001</v>
      </c>
      <c r="V1337" s="14">
        <v>0.75310363341398801</v>
      </c>
      <c r="W1337" s="14">
        <v>0.73257399209843899</v>
      </c>
      <c r="X1337" s="14">
        <v>0.74196682560670102</v>
      </c>
      <c r="Y1337" s="14">
        <v>0.69665101852562605</v>
      </c>
      <c r="Z1337" s="14">
        <v>0.71216129026720498</v>
      </c>
      <c r="AA1337" s="14">
        <v>0.72567973865419</v>
      </c>
      <c r="AB1337" s="14"/>
      <c r="AC1337" s="14">
        <v>0.70797455978671198</v>
      </c>
      <c r="AD1337" s="14">
        <v>0.76670869875007897</v>
      </c>
      <c r="AE1337" s="14">
        <v>0.76665034411850297</v>
      </c>
      <c r="AF1337" s="14">
        <v>0.80019554584569497</v>
      </c>
      <c r="AG1337" s="14">
        <v>0.83892504200039397</v>
      </c>
      <c r="AH1337" s="14"/>
      <c r="AI1337" s="14">
        <v>0.79498123436945201</v>
      </c>
      <c r="AJ1337" s="14">
        <v>0.78847831854274697</v>
      </c>
      <c r="AK1337" s="14">
        <v>0.72406715987537995</v>
      </c>
      <c r="AL1337" s="14">
        <v>0.73945420535416895</v>
      </c>
      <c r="AM1337" s="14">
        <v>0.60853841229554795</v>
      </c>
      <c r="AN1337" s="14">
        <v>0.68246546668178498</v>
      </c>
      <c r="AO1337" s="14"/>
      <c r="AP1337" s="14">
        <v>0.78885529026456003</v>
      </c>
      <c r="AQ1337" s="14">
        <v>0.69834516005062897</v>
      </c>
      <c r="AR1337" s="14"/>
      <c r="AS1337" s="14" t="s">
        <v>88</v>
      </c>
      <c r="AT1337" s="14" t="s">
        <v>88</v>
      </c>
      <c r="AU1337" s="14">
        <v>0.74766093902521202</v>
      </c>
      <c r="AV1337" s="14"/>
      <c r="AW1337" s="14">
        <v>0.740347780389775</v>
      </c>
      <c r="AX1337" s="14">
        <v>0.85380719258445104</v>
      </c>
      <c r="AY1337" s="14"/>
      <c r="AZ1337" s="14">
        <v>0.77645647276728802</v>
      </c>
      <c r="BA1337" s="14">
        <v>0.61463063770681103</v>
      </c>
    </row>
    <row r="1338" spans="2:53" x14ac:dyDescent="0.35">
      <c r="C1338" s="14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</row>
    <row r="1339" spans="2:53" x14ac:dyDescent="0.35">
      <c r="B1339" s="6" t="s">
        <v>344</v>
      </c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</row>
    <row r="1340" spans="2:53" x14ac:dyDescent="0.35">
      <c r="B1340" s="30" t="s">
        <v>463</v>
      </c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</row>
    <row r="1341" spans="2:53" x14ac:dyDescent="0.35">
      <c r="B1341" t="s">
        <v>226</v>
      </c>
      <c r="C1341" s="14">
        <v>0.18018540036144901</v>
      </c>
      <c r="D1341" s="14">
        <v>0.22529880939383701</v>
      </c>
      <c r="E1341" s="14">
        <v>0.13427051230061701</v>
      </c>
      <c r="F1341" s="14"/>
      <c r="G1341" s="14">
        <v>0</v>
      </c>
      <c r="H1341" s="14">
        <v>0.25353840649020998</v>
      </c>
      <c r="I1341" s="14">
        <v>0.198461853472953</v>
      </c>
      <c r="J1341" s="14">
        <v>0.158952600702432</v>
      </c>
      <c r="K1341" s="14">
        <v>0.145798967306981</v>
      </c>
      <c r="L1341" s="14">
        <v>0.176809378576189</v>
      </c>
      <c r="M1341" s="14"/>
      <c r="N1341" s="14">
        <v>0.20848189090164801</v>
      </c>
      <c r="O1341" s="14">
        <v>0.16536889006913999</v>
      </c>
      <c r="P1341" s="14">
        <v>0.18056801319514201</v>
      </c>
      <c r="Q1341" s="14">
        <v>0.15893699400546099</v>
      </c>
      <c r="R1341" s="14"/>
      <c r="S1341" s="14">
        <v>0.30432454069157699</v>
      </c>
      <c r="T1341" s="14">
        <v>0.13376715976629999</v>
      </c>
      <c r="U1341" s="14">
        <v>0.13542899365243699</v>
      </c>
      <c r="V1341" s="14">
        <v>0.24121178215262501</v>
      </c>
      <c r="W1341" s="14">
        <v>0.171970257641233</v>
      </c>
      <c r="X1341" s="14">
        <v>0.122040100634112</v>
      </c>
      <c r="Y1341" s="14">
        <v>0.13636399267782401</v>
      </c>
      <c r="Z1341" s="14">
        <v>0.22961561407249301</v>
      </c>
      <c r="AA1341" s="14">
        <v>0.124558816412579</v>
      </c>
      <c r="AB1341" s="14"/>
      <c r="AC1341" s="14">
        <v>0.15619092492332101</v>
      </c>
      <c r="AD1341" s="14">
        <v>0.151789926011348</v>
      </c>
      <c r="AE1341" s="14">
        <v>0.15701929245249699</v>
      </c>
      <c r="AF1341" s="14">
        <v>0.29118418122609102</v>
      </c>
      <c r="AG1341" s="14">
        <v>0.41327246000032603</v>
      </c>
      <c r="AH1341" s="14"/>
      <c r="AI1341" s="14">
        <v>0.230638848705637</v>
      </c>
      <c r="AJ1341" s="14">
        <v>0.212243376462044</v>
      </c>
      <c r="AK1341" s="14">
        <v>0.15687534435436501</v>
      </c>
      <c r="AL1341" s="14">
        <v>0.12771285889251699</v>
      </c>
      <c r="AM1341" s="14">
        <v>0.176622857600647</v>
      </c>
      <c r="AN1341" s="14">
        <v>3.49531674507636E-2</v>
      </c>
      <c r="AO1341" s="14"/>
      <c r="AP1341" s="14">
        <v>0.209130514089655</v>
      </c>
      <c r="AQ1341" s="14">
        <v>0.14335744290159499</v>
      </c>
      <c r="AR1341" s="14"/>
      <c r="AS1341" s="14" t="s">
        <v>88</v>
      </c>
      <c r="AT1341" s="14" t="s">
        <v>88</v>
      </c>
      <c r="AU1341" s="14">
        <v>0.18018540036144901</v>
      </c>
      <c r="AV1341" s="14"/>
      <c r="AW1341" s="14">
        <v>0.16195147391784101</v>
      </c>
      <c r="AX1341" s="14">
        <v>0.28717427976458798</v>
      </c>
      <c r="AY1341" s="14"/>
      <c r="AZ1341" s="14">
        <v>0.20289923091418499</v>
      </c>
      <c r="BA1341" s="14">
        <v>7.7730722946599107E-2</v>
      </c>
    </row>
    <row r="1342" spans="2:53" x14ac:dyDescent="0.35">
      <c r="B1342" t="s">
        <v>227</v>
      </c>
      <c r="C1342" s="14">
        <v>0.39638562183943798</v>
      </c>
      <c r="D1342" s="14">
        <v>0.449788703397627</v>
      </c>
      <c r="E1342" s="14">
        <v>0.34203378799581502</v>
      </c>
      <c r="F1342" s="14"/>
      <c r="G1342" s="14">
        <v>0</v>
      </c>
      <c r="H1342" s="14">
        <v>0.42171435453344902</v>
      </c>
      <c r="I1342" s="14">
        <v>0.40243377452196</v>
      </c>
      <c r="J1342" s="14">
        <v>0.378603754987411</v>
      </c>
      <c r="K1342" s="14">
        <v>0.41401927027443802</v>
      </c>
      <c r="L1342" s="14">
        <v>0.45860409508916899</v>
      </c>
      <c r="M1342" s="14"/>
      <c r="N1342" s="14">
        <v>0.411864182167679</v>
      </c>
      <c r="O1342" s="14">
        <v>0.383258369482946</v>
      </c>
      <c r="P1342" s="14">
        <v>0.41559000705495602</v>
      </c>
      <c r="Q1342" s="14">
        <v>0.366218057221399</v>
      </c>
      <c r="R1342" s="14"/>
      <c r="S1342" s="14">
        <v>0.41060477260133699</v>
      </c>
      <c r="T1342" s="14">
        <v>0.42877660654898198</v>
      </c>
      <c r="U1342" s="14">
        <v>0.36508215272525302</v>
      </c>
      <c r="V1342" s="14">
        <v>0.31358792804487601</v>
      </c>
      <c r="W1342" s="14">
        <v>0.347818452178632</v>
      </c>
      <c r="X1342" s="14">
        <v>0.44642709421861099</v>
      </c>
      <c r="Y1342" s="14">
        <v>0.41277583250223099</v>
      </c>
      <c r="Z1342" s="14">
        <v>0.35228473165840501</v>
      </c>
      <c r="AA1342" s="14">
        <v>0.436806458690017</v>
      </c>
      <c r="AB1342" s="14"/>
      <c r="AC1342" s="14">
        <v>0.36586321740930799</v>
      </c>
      <c r="AD1342" s="14">
        <v>0.41602383375093799</v>
      </c>
      <c r="AE1342" s="14">
        <v>0.42011443431553103</v>
      </c>
      <c r="AF1342" s="14">
        <v>0.46093013568216801</v>
      </c>
      <c r="AG1342" s="14">
        <v>0.392588934708896</v>
      </c>
      <c r="AH1342" s="14"/>
      <c r="AI1342" s="14">
        <v>0.405919912393848</v>
      </c>
      <c r="AJ1342" s="14">
        <v>0.42831994420956798</v>
      </c>
      <c r="AK1342" s="14">
        <v>0.40662226458126799</v>
      </c>
      <c r="AL1342" s="14">
        <v>0.43146545978329398</v>
      </c>
      <c r="AM1342" s="14">
        <v>0.24076613805977801</v>
      </c>
      <c r="AN1342" s="14">
        <v>0.405835603388217</v>
      </c>
      <c r="AO1342" s="14"/>
      <c r="AP1342" s="14">
        <v>0.421109908759773</v>
      </c>
      <c r="AQ1342" s="14">
        <v>0.36749981683331601</v>
      </c>
      <c r="AR1342" s="14"/>
      <c r="AS1342" s="14" t="s">
        <v>88</v>
      </c>
      <c r="AT1342" s="14" t="s">
        <v>88</v>
      </c>
      <c r="AU1342" s="14">
        <v>0.39638562183943798</v>
      </c>
      <c r="AV1342" s="14"/>
      <c r="AW1342" s="14">
        <v>0.39161091264627301</v>
      </c>
      <c r="AX1342" s="14">
        <v>0.45722558159094401</v>
      </c>
      <c r="AY1342" s="14"/>
      <c r="AZ1342" s="14">
        <v>0.40764752284489397</v>
      </c>
      <c r="BA1342" s="14">
        <v>0.341056659466905</v>
      </c>
    </row>
    <row r="1343" spans="2:53" x14ac:dyDescent="0.35">
      <c r="B1343" t="s">
        <v>228</v>
      </c>
      <c r="C1343" s="14">
        <v>0.252790457426458</v>
      </c>
      <c r="D1343" s="14">
        <v>0.20213847746511299</v>
      </c>
      <c r="E1343" s="14">
        <v>0.30434231395574501</v>
      </c>
      <c r="F1343" s="14"/>
      <c r="G1343" s="14">
        <v>0.46244813625315101</v>
      </c>
      <c r="H1343" s="14">
        <v>0.24961645753647699</v>
      </c>
      <c r="I1343" s="14">
        <v>0.23873769166417</v>
      </c>
      <c r="J1343" s="14">
        <v>0.27258083611093098</v>
      </c>
      <c r="K1343" s="14">
        <v>0.219416581657953</v>
      </c>
      <c r="L1343" s="14">
        <v>0.364586526334642</v>
      </c>
      <c r="M1343" s="14"/>
      <c r="N1343" s="14">
        <v>0.20575176941609999</v>
      </c>
      <c r="O1343" s="14">
        <v>0.27016757002735903</v>
      </c>
      <c r="P1343" s="14">
        <v>0.25252319829575098</v>
      </c>
      <c r="Q1343" s="14">
        <v>0.29782176401327998</v>
      </c>
      <c r="R1343" s="14"/>
      <c r="S1343" s="14">
        <v>0.15791273048309201</v>
      </c>
      <c r="T1343" s="14">
        <v>0.23697127698786699</v>
      </c>
      <c r="U1343" s="14">
        <v>0.38002259478832201</v>
      </c>
      <c r="V1343" s="14">
        <v>0.26724876385140101</v>
      </c>
      <c r="W1343" s="14">
        <v>0.302887445239507</v>
      </c>
      <c r="X1343" s="14">
        <v>0.221203617230184</v>
      </c>
      <c r="Y1343" s="14">
        <v>0.30823428856745999</v>
      </c>
      <c r="Z1343" s="14">
        <v>0.21575775291041799</v>
      </c>
      <c r="AA1343" s="14">
        <v>0.246084724185516</v>
      </c>
      <c r="AB1343" s="14"/>
      <c r="AC1343" s="14">
        <v>0.30590968237803401</v>
      </c>
      <c r="AD1343" s="14">
        <v>0.26462033843986199</v>
      </c>
      <c r="AE1343" s="14">
        <v>0.25655788563118798</v>
      </c>
      <c r="AF1343" s="14">
        <v>0.132089614372843</v>
      </c>
      <c r="AG1343" s="14">
        <v>6.0628906643178403E-2</v>
      </c>
      <c r="AH1343" s="14"/>
      <c r="AI1343" s="14">
        <v>0.21380653121099299</v>
      </c>
      <c r="AJ1343" s="14">
        <v>0.22794895957237901</v>
      </c>
      <c r="AK1343" s="14">
        <v>0.18443459309776999</v>
      </c>
      <c r="AL1343" s="14">
        <v>0.27200803236878102</v>
      </c>
      <c r="AM1343" s="14">
        <v>0.31562474454594602</v>
      </c>
      <c r="AN1343" s="14">
        <v>0.33034811810784698</v>
      </c>
      <c r="AO1343" s="14"/>
      <c r="AP1343" s="14">
        <v>0.23804215415968499</v>
      </c>
      <c r="AQ1343" s="14">
        <v>0.27242477019609102</v>
      </c>
      <c r="AR1343" s="14"/>
      <c r="AS1343" s="14" t="s">
        <v>88</v>
      </c>
      <c r="AT1343" s="14" t="s">
        <v>88</v>
      </c>
      <c r="AU1343" s="14">
        <v>0.252790457426458</v>
      </c>
      <c r="AV1343" s="14"/>
      <c r="AW1343" s="14">
        <v>0.26743590533852202</v>
      </c>
      <c r="AX1343" s="14">
        <v>0.159685919595392</v>
      </c>
      <c r="AY1343" s="14"/>
      <c r="AZ1343" s="14">
        <v>0.24354197345811501</v>
      </c>
      <c r="BA1343" s="14">
        <v>0.29663961302658498</v>
      </c>
    </row>
    <row r="1344" spans="2:53" x14ac:dyDescent="0.35">
      <c r="B1344" t="s">
        <v>229</v>
      </c>
      <c r="C1344" s="14">
        <v>9.7421045716472296E-2</v>
      </c>
      <c r="D1344" s="14">
        <v>5.4509549267730703E-2</v>
      </c>
      <c r="E1344" s="14">
        <v>0.14109490229761201</v>
      </c>
      <c r="F1344" s="14"/>
      <c r="G1344" s="14">
        <v>0.53755186374684905</v>
      </c>
      <c r="H1344" s="14">
        <v>3.9424923316747303E-2</v>
      </c>
      <c r="I1344" s="14">
        <v>9.1785450746817501E-2</v>
      </c>
      <c r="J1344" s="14">
        <v>0.118992230002748</v>
      </c>
      <c r="K1344" s="14">
        <v>9.0975357584469396E-2</v>
      </c>
      <c r="L1344" s="14">
        <v>0</v>
      </c>
      <c r="M1344" s="14"/>
      <c r="N1344" s="14">
        <v>8.1900011921438795E-2</v>
      </c>
      <c r="O1344" s="14">
        <v>9.7252952650111593E-2</v>
      </c>
      <c r="P1344" s="14">
        <v>0.102465489500523</v>
      </c>
      <c r="Q1344" s="14">
        <v>0.11488764990120499</v>
      </c>
      <c r="R1344" s="14"/>
      <c r="S1344" s="14">
        <v>8.6889439097600996E-2</v>
      </c>
      <c r="T1344" s="14">
        <v>0.114278998933225</v>
      </c>
      <c r="U1344" s="14">
        <v>4.0214306813018803E-2</v>
      </c>
      <c r="V1344" s="14">
        <v>0.106010312540919</v>
      </c>
      <c r="W1344" s="14">
        <v>9.4455575760561503E-2</v>
      </c>
      <c r="X1344" s="14">
        <v>9.8788055817677703E-2</v>
      </c>
      <c r="Y1344" s="14">
        <v>8.6826648245681703E-2</v>
      </c>
      <c r="Z1344" s="14">
        <v>0.138477139830082</v>
      </c>
      <c r="AA1344" s="14">
        <v>0.117448277834516</v>
      </c>
      <c r="AB1344" s="14"/>
      <c r="AC1344" s="14">
        <v>0.109934557431483</v>
      </c>
      <c r="AD1344" s="14">
        <v>0.104592450587568</v>
      </c>
      <c r="AE1344" s="14">
        <v>9.1860807335597303E-2</v>
      </c>
      <c r="AF1344" s="14">
        <v>3.2473498788070203E-2</v>
      </c>
      <c r="AG1344" s="14">
        <v>4.5106319502634398E-2</v>
      </c>
      <c r="AH1344" s="14"/>
      <c r="AI1344" s="14">
        <v>9.6905089860890498E-2</v>
      </c>
      <c r="AJ1344" s="14">
        <v>4.67716317009155E-2</v>
      </c>
      <c r="AK1344" s="14">
        <v>0.102573594967168</v>
      </c>
      <c r="AL1344" s="14">
        <v>0.107353603194972</v>
      </c>
      <c r="AM1344" s="14">
        <v>0.17200851705626</v>
      </c>
      <c r="AN1344" s="14">
        <v>0.118648700279624</v>
      </c>
      <c r="AO1344" s="14"/>
      <c r="AP1344" s="14">
        <v>6.0430019513311499E-2</v>
      </c>
      <c r="AQ1344" s="14">
        <v>0.14073382054797801</v>
      </c>
      <c r="AR1344" s="14"/>
      <c r="AS1344" s="14" t="s">
        <v>88</v>
      </c>
      <c r="AT1344" s="14" t="s">
        <v>88</v>
      </c>
      <c r="AU1344" s="14">
        <v>9.7421045716472296E-2</v>
      </c>
      <c r="AV1344" s="14"/>
      <c r="AW1344" s="14">
        <v>0.100204513054372</v>
      </c>
      <c r="AX1344" s="14">
        <v>3.8703510497015099E-2</v>
      </c>
      <c r="AY1344" s="14"/>
      <c r="AZ1344" s="14">
        <v>7.44400003801199E-2</v>
      </c>
      <c r="BA1344" s="14">
        <v>0.202909759878313</v>
      </c>
    </row>
    <row r="1345" spans="2:53" x14ac:dyDescent="0.35">
      <c r="B1345" t="s">
        <v>116</v>
      </c>
      <c r="C1345" s="14">
        <v>2.9586006535001701E-2</v>
      </c>
      <c r="D1345" s="14">
        <v>1.5982832931850099E-2</v>
      </c>
      <c r="E1345" s="14">
        <v>4.3430852372574602E-2</v>
      </c>
      <c r="F1345" s="14"/>
      <c r="G1345" s="14">
        <v>0</v>
      </c>
      <c r="H1345" s="14">
        <v>0</v>
      </c>
      <c r="I1345" s="14">
        <v>3.8854897175302001E-2</v>
      </c>
      <c r="J1345" s="14">
        <v>2.7167160311847099E-2</v>
      </c>
      <c r="K1345" s="14">
        <v>2.9918869460196701E-2</v>
      </c>
      <c r="L1345" s="14">
        <v>0</v>
      </c>
      <c r="M1345" s="14"/>
      <c r="N1345" s="14">
        <v>3.9049349997468799E-2</v>
      </c>
      <c r="O1345" s="14">
        <v>3.7259457770053003E-2</v>
      </c>
      <c r="P1345" s="14">
        <v>2.7403738176585E-2</v>
      </c>
      <c r="Q1345" s="14">
        <v>1.0334127987198599E-2</v>
      </c>
      <c r="R1345" s="14"/>
      <c r="S1345" s="14">
        <v>2.3494025389210901E-2</v>
      </c>
      <c r="T1345" s="14">
        <v>2.8982352445586002E-2</v>
      </c>
      <c r="U1345" s="14">
        <v>1.6668068080895101E-2</v>
      </c>
      <c r="V1345" s="14">
        <v>4.59279644681009E-2</v>
      </c>
      <c r="W1345" s="14">
        <v>2.72501934325361E-2</v>
      </c>
      <c r="X1345" s="14">
        <v>3.9359151120970999E-2</v>
      </c>
      <c r="Y1345" s="14">
        <v>4.3172478901540599E-2</v>
      </c>
      <c r="Z1345" s="14">
        <v>2.0065323589416699E-2</v>
      </c>
      <c r="AA1345" s="14">
        <v>2.39500810130664E-2</v>
      </c>
      <c r="AB1345" s="14"/>
      <c r="AC1345" s="14">
        <v>9.2914432128808205E-3</v>
      </c>
      <c r="AD1345" s="14">
        <v>2.9543141532927499E-2</v>
      </c>
      <c r="AE1345" s="14">
        <v>3.2832665156810298E-2</v>
      </c>
      <c r="AF1345" s="14">
        <v>3.6892365321131902E-2</v>
      </c>
      <c r="AG1345" s="14">
        <v>7.4577132913559302E-2</v>
      </c>
      <c r="AH1345" s="14"/>
      <c r="AI1345" s="14">
        <v>2.11340617592575E-2</v>
      </c>
      <c r="AJ1345" s="14">
        <v>4.1799226190451497E-2</v>
      </c>
      <c r="AK1345" s="14">
        <v>5.5114348951135997E-2</v>
      </c>
      <c r="AL1345" s="14">
        <v>1.7619284742890599E-2</v>
      </c>
      <c r="AM1345" s="14">
        <v>1.4701863184440601E-2</v>
      </c>
      <c r="AN1345" s="14">
        <v>7.2596772421617606E-2</v>
      </c>
      <c r="AO1345" s="14"/>
      <c r="AP1345" s="14">
        <v>2.4098994729213698E-2</v>
      </c>
      <c r="AQ1345" s="14">
        <v>3.6574121279469102E-2</v>
      </c>
      <c r="AR1345" s="14"/>
      <c r="AS1345" s="14" t="s">
        <v>88</v>
      </c>
      <c r="AT1345" s="14" t="s">
        <v>88</v>
      </c>
      <c r="AU1345" s="14">
        <v>2.9586006535001701E-2</v>
      </c>
      <c r="AV1345" s="14"/>
      <c r="AW1345" s="14">
        <v>3.0862609956195001E-2</v>
      </c>
      <c r="AX1345" s="14">
        <v>1.08341854477678E-2</v>
      </c>
      <c r="AY1345" s="14"/>
      <c r="AZ1345" s="14">
        <v>2.4839542935907E-2</v>
      </c>
      <c r="BA1345" s="14">
        <v>5.1435331697709002E-2</v>
      </c>
    </row>
    <row r="1346" spans="2:53" x14ac:dyDescent="0.35">
      <c r="C1346" s="14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</row>
    <row r="1347" spans="2:53" x14ac:dyDescent="0.35">
      <c r="B1347" s="6" t="s">
        <v>345</v>
      </c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</row>
    <row r="1348" spans="2:53" x14ac:dyDescent="0.35">
      <c r="B1348" s="30" t="s">
        <v>463</v>
      </c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</row>
    <row r="1349" spans="2:53" x14ac:dyDescent="0.35">
      <c r="B1349" t="s">
        <v>231</v>
      </c>
      <c r="C1349" s="14">
        <v>0.117708657483918</v>
      </c>
      <c r="D1349" s="14">
        <v>0.11936662751518801</v>
      </c>
      <c r="E1349" s="14">
        <v>0.11602123217009799</v>
      </c>
      <c r="F1349" s="14"/>
      <c r="G1349" s="14">
        <v>0.53755186374684905</v>
      </c>
      <c r="H1349" s="14">
        <v>0.170651863526847</v>
      </c>
      <c r="I1349" s="14">
        <v>0.14139557296629801</v>
      </c>
      <c r="J1349" s="14">
        <v>8.0771213520080903E-2</v>
      </c>
      <c r="K1349" s="14">
        <v>0.101592941370496</v>
      </c>
      <c r="L1349" s="14">
        <v>0.18984460238898701</v>
      </c>
      <c r="M1349" s="14"/>
      <c r="N1349" s="14">
        <v>9.7767142407711796E-2</v>
      </c>
      <c r="O1349" s="14">
        <v>0.11981853959151401</v>
      </c>
      <c r="P1349" s="14">
        <v>0.162917434976277</v>
      </c>
      <c r="Q1349" s="14">
        <v>8.8404001332428706E-2</v>
      </c>
      <c r="R1349" s="14"/>
      <c r="S1349" s="14">
        <v>0.15328318223533199</v>
      </c>
      <c r="T1349" s="14">
        <v>0.10885716796448899</v>
      </c>
      <c r="U1349" s="14">
        <v>8.9395963431979197E-2</v>
      </c>
      <c r="V1349" s="14">
        <v>0.132804556190039</v>
      </c>
      <c r="W1349" s="14">
        <v>0.13099741945569299</v>
      </c>
      <c r="X1349" s="14">
        <v>9.4511802789773003E-2</v>
      </c>
      <c r="Y1349" s="14">
        <v>8.2113304155203501E-2</v>
      </c>
      <c r="Z1349" s="14">
        <v>0.13900152211463301</v>
      </c>
      <c r="AA1349" s="14">
        <v>0.116278400818967</v>
      </c>
      <c r="AB1349" s="14"/>
      <c r="AC1349" s="14">
        <v>9.5683499757756293E-2</v>
      </c>
      <c r="AD1349" s="14">
        <v>7.7105107836061504E-2</v>
      </c>
      <c r="AE1349" s="14">
        <v>9.6110698028122596E-2</v>
      </c>
      <c r="AF1349" s="14">
        <v>0.243322690303032</v>
      </c>
      <c r="AG1349" s="14">
        <v>0.12150978690557999</v>
      </c>
      <c r="AH1349" s="14"/>
      <c r="AI1349" s="14">
        <v>0.13767064992656999</v>
      </c>
      <c r="AJ1349" s="14">
        <v>8.4231248054310495E-2</v>
      </c>
      <c r="AK1349" s="14">
        <v>9.3781601292511896E-2</v>
      </c>
      <c r="AL1349" s="14">
        <v>0.100699956729872</v>
      </c>
      <c r="AM1349" s="14">
        <v>0.228195631779572</v>
      </c>
      <c r="AN1349" s="14">
        <v>0.145053644312678</v>
      </c>
      <c r="AO1349" s="14"/>
      <c r="AP1349" s="14">
        <v>0.104258866433327</v>
      </c>
      <c r="AQ1349" s="14">
        <v>0.13505996379232599</v>
      </c>
      <c r="AR1349" s="14"/>
      <c r="AS1349" s="14" t="s">
        <v>88</v>
      </c>
      <c r="AT1349" s="14" t="s">
        <v>88</v>
      </c>
      <c r="AU1349" s="14">
        <v>0.117708657483918</v>
      </c>
      <c r="AV1349" s="14"/>
      <c r="AW1349" s="14">
        <v>0.103371021130539</v>
      </c>
      <c r="AX1349" s="14">
        <v>0.17522135388056101</v>
      </c>
      <c r="AY1349" s="14"/>
      <c r="AZ1349" s="14">
        <v>0.123456867153542</v>
      </c>
      <c r="BA1349" s="14">
        <v>9.2251773936748202E-2</v>
      </c>
    </row>
    <row r="1350" spans="2:53" x14ac:dyDescent="0.35">
      <c r="B1350" t="s">
        <v>232</v>
      </c>
      <c r="C1350" s="14">
        <v>0.73409409049817897</v>
      </c>
      <c r="D1350" s="14">
        <v>0.768832112515343</v>
      </c>
      <c r="E1350" s="14">
        <v>0.69873891724519499</v>
      </c>
      <c r="F1350" s="14"/>
      <c r="G1350" s="14">
        <v>0.46244813625315101</v>
      </c>
      <c r="H1350" s="14">
        <v>0.58764533170327404</v>
      </c>
      <c r="I1350" s="14">
        <v>0.71832121530093596</v>
      </c>
      <c r="J1350" s="14">
        <v>0.76943760332035105</v>
      </c>
      <c r="K1350" s="14">
        <v>0.77343775392250502</v>
      </c>
      <c r="L1350" s="14">
        <v>0.72268902930321399</v>
      </c>
      <c r="M1350" s="14"/>
      <c r="N1350" s="14">
        <v>0.753187093217211</v>
      </c>
      <c r="O1350" s="14">
        <v>0.72973917049879899</v>
      </c>
      <c r="P1350" s="14">
        <v>0.69627174416095505</v>
      </c>
      <c r="Q1350" s="14">
        <v>0.76158253854462798</v>
      </c>
      <c r="R1350" s="14"/>
      <c r="S1350" s="14">
        <v>0.68620775739313</v>
      </c>
      <c r="T1350" s="14">
        <v>0.72733406634285502</v>
      </c>
      <c r="U1350" s="14">
        <v>0.70521702411644405</v>
      </c>
      <c r="V1350" s="14">
        <v>0.76495133469959797</v>
      </c>
      <c r="W1350" s="14">
        <v>0.75933568966404796</v>
      </c>
      <c r="X1350" s="14">
        <v>0.74971460734235396</v>
      </c>
      <c r="Y1350" s="14">
        <v>0.75387285083789302</v>
      </c>
      <c r="Z1350" s="14">
        <v>0.74355489724479995</v>
      </c>
      <c r="AA1350" s="14">
        <v>0.75130012812273705</v>
      </c>
      <c r="AB1350" s="14"/>
      <c r="AC1350" s="14">
        <v>0.76537489206195597</v>
      </c>
      <c r="AD1350" s="14">
        <v>0.78588911441150799</v>
      </c>
      <c r="AE1350" s="14">
        <v>0.75184148388275296</v>
      </c>
      <c r="AF1350" s="14">
        <v>0.62316712724172496</v>
      </c>
      <c r="AG1350" s="14">
        <v>0.72895559113116803</v>
      </c>
      <c r="AH1350" s="14"/>
      <c r="AI1350" s="14">
        <v>0.70184528831355697</v>
      </c>
      <c r="AJ1350" s="14">
        <v>0.76779782928973395</v>
      </c>
      <c r="AK1350" s="14">
        <v>0.76359624677242799</v>
      </c>
      <c r="AL1350" s="14">
        <v>0.79269727525883305</v>
      </c>
      <c r="AM1350" s="14">
        <v>0.65344683819663196</v>
      </c>
      <c r="AN1350" s="14">
        <v>0.64581398556028002</v>
      </c>
      <c r="AO1350" s="14"/>
      <c r="AP1350" s="14">
        <v>0.76820880754827303</v>
      </c>
      <c r="AQ1350" s="14">
        <v>0.69354054960199296</v>
      </c>
      <c r="AR1350" s="14"/>
      <c r="AS1350" s="14" t="s">
        <v>88</v>
      </c>
      <c r="AT1350" s="14" t="s">
        <v>88</v>
      </c>
      <c r="AU1350" s="14">
        <v>0.73409409049817897</v>
      </c>
      <c r="AV1350" s="14"/>
      <c r="AW1350" s="14">
        <v>0.75293966610957597</v>
      </c>
      <c r="AX1350" s="14">
        <v>0.67702964213671202</v>
      </c>
      <c r="AY1350" s="14"/>
      <c r="AZ1350" s="14">
        <v>0.74064108987426602</v>
      </c>
      <c r="BA1350" s="14">
        <v>0.70248480998732299</v>
      </c>
    </row>
    <row r="1351" spans="2:53" x14ac:dyDescent="0.35">
      <c r="B1351" t="s">
        <v>233</v>
      </c>
      <c r="C1351" s="14">
        <v>8.4717826991426007E-2</v>
      </c>
      <c r="D1351" s="14">
        <v>6.6941754674586601E-2</v>
      </c>
      <c r="E1351" s="14">
        <v>0.102809706725076</v>
      </c>
      <c r="F1351" s="14"/>
      <c r="G1351" s="14">
        <v>0</v>
      </c>
      <c r="H1351" s="14">
        <v>0.207625912147895</v>
      </c>
      <c r="I1351" s="14">
        <v>8.1130120780302406E-2</v>
      </c>
      <c r="J1351" s="14">
        <v>7.8220049776664899E-2</v>
      </c>
      <c r="K1351" s="14">
        <v>5.6593691728183702E-2</v>
      </c>
      <c r="L1351" s="14">
        <v>0</v>
      </c>
      <c r="M1351" s="14"/>
      <c r="N1351" s="14">
        <v>0.10177740414879299</v>
      </c>
      <c r="O1351" s="14">
        <v>5.5197301406269703E-2</v>
      </c>
      <c r="P1351" s="14">
        <v>8.83859706819069E-2</v>
      </c>
      <c r="Q1351" s="14">
        <v>8.7141444337299895E-2</v>
      </c>
      <c r="R1351" s="14"/>
      <c r="S1351" s="14">
        <v>0.105213088931395</v>
      </c>
      <c r="T1351" s="14">
        <v>8.6427862836190694E-2</v>
      </c>
      <c r="U1351" s="14">
        <v>0.133502180930749</v>
      </c>
      <c r="V1351" s="14">
        <v>4.4445786494062403E-2</v>
      </c>
      <c r="W1351" s="14">
        <v>6.0000701219062098E-2</v>
      </c>
      <c r="X1351" s="14">
        <v>0.112435413888943</v>
      </c>
      <c r="Y1351" s="14">
        <v>7.0859677829339093E-2</v>
      </c>
      <c r="Z1351" s="14">
        <v>3.4237903918938099E-2</v>
      </c>
      <c r="AA1351" s="14">
        <v>8.0974140352327001E-2</v>
      </c>
      <c r="AB1351" s="14"/>
      <c r="AC1351" s="14">
        <v>6.0176366889865301E-2</v>
      </c>
      <c r="AD1351" s="14">
        <v>8.3009751306133597E-2</v>
      </c>
      <c r="AE1351" s="14">
        <v>0.100100081554255</v>
      </c>
      <c r="AF1351" s="14">
        <v>8.1699720700931497E-2</v>
      </c>
      <c r="AG1351" s="14">
        <v>8.9124152916336893E-2</v>
      </c>
      <c r="AH1351" s="14"/>
      <c r="AI1351" s="14">
        <v>0.108474151686931</v>
      </c>
      <c r="AJ1351" s="14">
        <v>9.9469667628020397E-2</v>
      </c>
      <c r="AK1351" s="14">
        <v>9.3862190523829298E-2</v>
      </c>
      <c r="AL1351" s="14">
        <v>3.6164965922327097E-2</v>
      </c>
      <c r="AM1351" s="14">
        <v>5.0750976375376601E-2</v>
      </c>
      <c r="AN1351" s="14">
        <v>7.9352417089438895E-2</v>
      </c>
      <c r="AO1351" s="14"/>
      <c r="AP1351" s="14">
        <v>8.0681761747265199E-2</v>
      </c>
      <c r="AQ1351" s="14">
        <v>9.0167352308846302E-2</v>
      </c>
      <c r="AR1351" s="14"/>
      <c r="AS1351" s="14" t="s">
        <v>88</v>
      </c>
      <c r="AT1351" s="14" t="s">
        <v>88</v>
      </c>
      <c r="AU1351" s="14">
        <v>8.4717826991426007E-2</v>
      </c>
      <c r="AV1351" s="14"/>
      <c r="AW1351" s="14">
        <v>7.4525265968257204E-2</v>
      </c>
      <c r="AX1351" s="14">
        <v>0.116799064789195</v>
      </c>
      <c r="AY1351" s="14"/>
      <c r="AZ1351" s="14">
        <v>8.7529204921420398E-2</v>
      </c>
      <c r="BA1351" s="14">
        <v>7.2444662259412401E-2</v>
      </c>
    </row>
    <row r="1352" spans="2:53" x14ac:dyDescent="0.35">
      <c r="B1352" t="s">
        <v>116</v>
      </c>
      <c r="C1352" s="14">
        <v>6.3479425026476993E-2</v>
      </c>
      <c r="D1352" s="14">
        <v>4.4859505294882897E-2</v>
      </c>
      <c r="E1352" s="14">
        <v>8.2430143859630503E-2</v>
      </c>
      <c r="F1352" s="14"/>
      <c r="G1352" s="14">
        <v>0</v>
      </c>
      <c r="H1352" s="14">
        <v>3.40768926219834E-2</v>
      </c>
      <c r="I1352" s="14">
        <v>5.91530909524643E-2</v>
      </c>
      <c r="J1352" s="14">
        <v>7.1571133382903496E-2</v>
      </c>
      <c r="K1352" s="14">
        <v>6.8375612978815295E-2</v>
      </c>
      <c r="L1352" s="14">
        <v>8.7466368307799594E-2</v>
      </c>
      <c r="M1352" s="14"/>
      <c r="N1352" s="14">
        <v>4.72683602262838E-2</v>
      </c>
      <c r="O1352" s="14">
        <v>9.5244988503417505E-2</v>
      </c>
      <c r="P1352" s="14">
        <v>5.2424850180861002E-2</v>
      </c>
      <c r="Q1352" s="14">
        <v>6.2872015785643096E-2</v>
      </c>
      <c r="R1352" s="14"/>
      <c r="S1352" s="14">
        <v>5.5295971440143102E-2</v>
      </c>
      <c r="T1352" s="14">
        <v>7.7380902856464998E-2</v>
      </c>
      <c r="U1352" s="14">
        <v>7.1884831520827405E-2</v>
      </c>
      <c r="V1352" s="14">
        <v>5.7798322616301502E-2</v>
      </c>
      <c r="W1352" s="14">
        <v>4.9666189661197298E-2</v>
      </c>
      <c r="X1352" s="14">
        <v>4.3338175978929999E-2</v>
      </c>
      <c r="Y1352" s="14">
        <v>9.3154167177564001E-2</v>
      </c>
      <c r="Z1352" s="14">
        <v>8.3205676721628194E-2</v>
      </c>
      <c r="AA1352" s="14">
        <v>5.1447330705968998E-2</v>
      </c>
      <c r="AB1352" s="14"/>
      <c r="AC1352" s="14">
        <v>7.8765241290422602E-2</v>
      </c>
      <c r="AD1352" s="14">
        <v>5.3996026446297099E-2</v>
      </c>
      <c r="AE1352" s="14">
        <v>5.1947736534869601E-2</v>
      </c>
      <c r="AF1352" s="14">
        <v>5.1810461754311199E-2</v>
      </c>
      <c r="AG1352" s="14">
        <v>6.0410469046914897E-2</v>
      </c>
      <c r="AH1352" s="14"/>
      <c r="AI1352" s="14">
        <v>5.2009910072942797E-2</v>
      </c>
      <c r="AJ1352" s="14">
        <v>4.8501255027934898E-2</v>
      </c>
      <c r="AK1352" s="14">
        <v>4.87599614112307E-2</v>
      </c>
      <c r="AL1352" s="14">
        <v>7.0437802088968104E-2</v>
      </c>
      <c r="AM1352" s="14">
        <v>6.7606553648419901E-2</v>
      </c>
      <c r="AN1352" s="14">
        <v>0.12977995303760301</v>
      </c>
      <c r="AO1352" s="14"/>
      <c r="AP1352" s="14">
        <v>4.6850564271134897E-2</v>
      </c>
      <c r="AQ1352" s="14">
        <v>8.1232134296834194E-2</v>
      </c>
      <c r="AR1352" s="14"/>
      <c r="AS1352" s="14" t="s">
        <v>88</v>
      </c>
      <c r="AT1352" s="14" t="s">
        <v>88</v>
      </c>
      <c r="AU1352" s="14">
        <v>6.3479425026476993E-2</v>
      </c>
      <c r="AV1352" s="14"/>
      <c r="AW1352" s="14">
        <v>6.9164046791627298E-2</v>
      </c>
      <c r="AX1352" s="14">
        <v>3.0949939193532401E-2</v>
      </c>
      <c r="AY1352" s="14"/>
      <c r="AZ1352" s="14">
        <v>4.8372838050771902E-2</v>
      </c>
      <c r="BA1352" s="14">
        <v>0.13281875381651601</v>
      </c>
    </row>
    <row r="1353" spans="2:53" x14ac:dyDescent="0.35"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</row>
    <row r="1354" spans="2:53" x14ac:dyDescent="0.35">
      <c r="B1354" s="6" t="s">
        <v>346</v>
      </c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</row>
    <row r="1355" spans="2:53" x14ac:dyDescent="0.35">
      <c r="B1355" s="30" t="s">
        <v>463</v>
      </c>
      <c r="C1355" s="14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</row>
    <row r="1356" spans="2:53" x14ac:dyDescent="0.35">
      <c r="B1356" t="s">
        <v>235</v>
      </c>
      <c r="C1356" s="14">
        <v>0.35375207052644803</v>
      </c>
      <c r="D1356" s="14">
        <v>0.41157962782054702</v>
      </c>
      <c r="E1356" s="14">
        <v>0.29489715627947199</v>
      </c>
      <c r="F1356" s="14"/>
      <c r="G1356" s="14">
        <v>0</v>
      </c>
      <c r="H1356" s="14">
        <v>0.28156742980850702</v>
      </c>
      <c r="I1356" s="14">
        <v>0.37555463527521799</v>
      </c>
      <c r="J1356" s="14">
        <v>0.31776936554233898</v>
      </c>
      <c r="K1356" s="14">
        <v>0.43610433359442202</v>
      </c>
      <c r="L1356" s="14">
        <v>0.393966134365202</v>
      </c>
      <c r="M1356" s="14"/>
      <c r="N1356" s="14">
        <v>0.44292270418363</v>
      </c>
      <c r="O1356" s="14">
        <v>0.36256544002628599</v>
      </c>
      <c r="P1356" s="14">
        <v>0.30329126846608601</v>
      </c>
      <c r="Q1356" s="14">
        <v>0.27374950816973298</v>
      </c>
      <c r="R1356" s="14"/>
      <c r="S1356" s="14">
        <v>0.47843821585672303</v>
      </c>
      <c r="T1356" s="14">
        <v>0.32921349816869899</v>
      </c>
      <c r="U1356" s="14">
        <v>0.40018525975629698</v>
      </c>
      <c r="V1356" s="14">
        <v>0.32734566344407101</v>
      </c>
      <c r="W1356" s="14">
        <v>0.35153639915372598</v>
      </c>
      <c r="X1356" s="14">
        <v>0.300278251812445</v>
      </c>
      <c r="Y1356" s="14">
        <v>0.34259669795945902</v>
      </c>
      <c r="Z1356" s="14">
        <v>0.34773499032560501</v>
      </c>
      <c r="AA1356" s="14">
        <v>0.266634312617053</v>
      </c>
      <c r="AB1356" s="14"/>
      <c r="AC1356" s="14">
        <v>0.27681490103560102</v>
      </c>
      <c r="AD1356" s="14">
        <v>0.34606722078283803</v>
      </c>
      <c r="AE1356" s="14">
        <v>0.36557606244181501</v>
      </c>
      <c r="AF1356" s="14">
        <v>0.46174439823612301</v>
      </c>
      <c r="AG1356" s="14">
        <v>0.60261468172925303</v>
      </c>
      <c r="AH1356" s="14"/>
      <c r="AI1356" s="14">
        <v>0.41871539443017203</v>
      </c>
      <c r="AJ1356" s="14">
        <v>0.34786455433034902</v>
      </c>
      <c r="AK1356" s="14">
        <v>0.31584078783570002</v>
      </c>
      <c r="AL1356" s="14">
        <v>0.35175146397267698</v>
      </c>
      <c r="AM1356" s="14">
        <v>0.22796986812639899</v>
      </c>
      <c r="AN1356" s="14">
        <v>0.25802597300101099</v>
      </c>
      <c r="AO1356" s="14"/>
      <c r="AP1356" s="14">
        <v>0.38849201812155498</v>
      </c>
      <c r="AQ1356" s="14">
        <v>0.31055020327008198</v>
      </c>
      <c r="AR1356" s="14"/>
      <c r="AS1356" s="14" t="s">
        <v>88</v>
      </c>
      <c r="AT1356" s="14" t="s">
        <v>88</v>
      </c>
      <c r="AU1356" s="14">
        <v>0.35375207052644803</v>
      </c>
      <c r="AV1356" s="14"/>
      <c r="AW1356" s="14">
        <v>0.33195468369290598</v>
      </c>
      <c r="AX1356" s="14">
        <v>0.50335622185171003</v>
      </c>
      <c r="AY1356" s="14"/>
      <c r="AZ1356" s="14">
        <v>0.37524926045345802</v>
      </c>
      <c r="BA1356" s="14">
        <v>0.25798305542611399</v>
      </c>
    </row>
    <row r="1357" spans="2:53" x14ac:dyDescent="0.35">
      <c r="B1357" t="s">
        <v>236</v>
      </c>
      <c r="C1357" s="14">
        <v>0.530521179433037</v>
      </c>
      <c r="D1357" s="14">
        <v>0.48587876982153999</v>
      </c>
      <c r="E1357" s="14">
        <v>0.57595670035778401</v>
      </c>
      <c r="F1357" s="14"/>
      <c r="G1357" s="14">
        <v>0.46244813625315101</v>
      </c>
      <c r="H1357" s="14">
        <v>0.53573925808687195</v>
      </c>
      <c r="I1357" s="14">
        <v>0.51971336511281296</v>
      </c>
      <c r="J1357" s="14">
        <v>0.56458390296056704</v>
      </c>
      <c r="K1357" s="14">
        <v>0.47157733100390098</v>
      </c>
      <c r="L1357" s="14">
        <v>0.46274188951786499</v>
      </c>
      <c r="M1357" s="14"/>
      <c r="N1357" s="14">
        <v>0.49408286192094097</v>
      </c>
      <c r="O1357" s="14">
        <v>0.52519716284501905</v>
      </c>
      <c r="P1357" s="14">
        <v>0.54920739468382196</v>
      </c>
      <c r="Q1357" s="14">
        <v>0.56618722264174803</v>
      </c>
      <c r="R1357" s="14"/>
      <c r="S1357" s="14">
        <v>0.444056414370054</v>
      </c>
      <c r="T1357" s="14">
        <v>0.56337737575772295</v>
      </c>
      <c r="U1357" s="14">
        <v>0.51631530998665598</v>
      </c>
      <c r="V1357" s="14">
        <v>0.52729549442607604</v>
      </c>
      <c r="W1357" s="14">
        <v>0.46982254692986403</v>
      </c>
      <c r="X1357" s="14">
        <v>0.61693051524545095</v>
      </c>
      <c r="Y1357" s="14">
        <v>0.54998802685298398</v>
      </c>
      <c r="Z1357" s="14">
        <v>0.47788667833869602</v>
      </c>
      <c r="AA1357" s="14">
        <v>0.60036711886133398</v>
      </c>
      <c r="AB1357" s="14"/>
      <c r="AC1357" s="14">
        <v>0.57440103133572196</v>
      </c>
      <c r="AD1357" s="14">
        <v>0.53603139134066402</v>
      </c>
      <c r="AE1357" s="14">
        <v>0.53765301118228603</v>
      </c>
      <c r="AF1357" s="14">
        <v>0.44836646961632298</v>
      </c>
      <c r="AG1357" s="14">
        <v>0.39738531827074702</v>
      </c>
      <c r="AH1357" s="14"/>
      <c r="AI1357" s="14">
        <v>0.46225984839787398</v>
      </c>
      <c r="AJ1357" s="14">
        <v>0.52323634711165801</v>
      </c>
      <c r="AK1357" s="14">
        <v>0.61780209455353796</v>
      </c>
      <c r="AL1357" s="14">
        <v>0.54467376530339595</v>
      </c>
      <c r="AM1357" s="14">
        <v>0.606067145464526</v>
      </c>
      <c r="AN1357" s="14">
        <v>0.67100347102013902</v>
      </c>
      <c r="AO1357" s="14"/>
      <c r="AP1357" s="14">
        <v>0.50896592019263398</v>
      </c>
      <c r="AQ1357" s="14">
        <v>0.556712082523658</v>
      </c>
      <c r="AR1357" s="14"/>
      <c r="AS1357" s="14" t="s">
        <v>88</v>
      </c>
      <c r="AT1357" s="14" t="s">
        <v>88</v>
      </c>
      <c r="AU1357" s="14">
        <v>0.530521179433037</v>
      </c>
      <c r="AV1357" s="14"/>
      <c r="AW1357" s="14">
        <v>0.555400075166256</v>
      </c>
      <c r="AX1357" s="14">
        <v>0.42336597396477399</v>
      </c>
      <c r="AY1357" s="14"/>
      <c r="AZ1357" s="14">
        <v>0.52375309482768595</v>
      </c>
      <c r="BA1357" s="14">
        <v>0.55833157060206595</v>
      </c>
    </row>
    <row r="1358" spans="2:53" x14ac:dyDescent="0.35">
      <c r="B1358" t="s">
        <v>237</v>
      </c>
      <c r="C1358" s="14">
        <v>8.3539533144314296E-2</v>
      </c>
      <c r="D1358" s="14">
        <v>8.7020456104793906E-2</v>
      </c>
      <c r="E1358" s="14">
        <v>7.99967685537675E-2</v>
      </c>
      <c r="F1358" s="14"/>
      <c r="G1358" s="14">
        <v>0</v>
      </c>
      <c r="H1358" s="14">
        <v>0.13527981890302801</v>
      </c>
      <c r="I1358" s="14">
        <v>5.8198682336564403E-2</v>
      </c>
      <c r="J1358" s="14">
        <v>9.4913890998696696E-2</v>
      </c>
      <c r="K1358" s="14">
        <v>9.2318335401676804E-2</v>
      </c>
      <c r="L1358" s="14">
        <v>0.14329197611693301</v>
      </c>
      <c r="M1358" s="14"/>
      <c r="N1358" s="14">
        <v>4.3824579530852503E-2</v>
      </c>
      <c r="O1358" s="14">
        <v>9.0757362103061304E-2</v>
      </c>
      <c r="P1358" s="14">
        <v>0.114597833086016</v>
      </c>
      <c r="Q1358" s="14">
        <v>9.7934363066587996E-2</v>
      </c>
      <c r="R1358" s="14"/>
      <c r="S1358" s="14">
        <v>4.9368606500950402E-2</v>
      </c>
      <c r="T1358" s="14">
        <v>7.3113674873551499E-2</v>
      </c>
      <c r="U1358" s="14">
        <v>4.1651533319488003E-2</v>
      </c>
      <c r="V1358" s="14">
        <v>0.13164600092026599</v>
      </c>
      <c r="W1358" s="14">
        <v>0.136430286021411</v>
      </c>
      <c r="X1358" s="14">
        <v>7.6894545224913E-2</v>
      </c>
      <c r="Y1358" s="14">
        <v>6.4995193536851001E-2</v>
      </c>
      <c r="Z1358" s="14">
        <v>0.13709392291287301</v>
      </c>
      <c r="AA1358" s="14">
        <v>8.7523044730343197E-2</v>
      </c>
      <c r="AB1358" s="14"/>
      <c r="AC1358" s="14">
        <v>0.117888709389078</v>
      </c>
      <c r="AD1358" s="14">
        <v>9.4822893891258794E-2</v>
      </c>
      <c r="AE1358" s="14">
        <v>6.9984212368627605E-2</v>
      </c>
      <c r="AF1358" s="14">
        <v>7.4074476710501297E-2</v>
      </c>
      <c r="AG1358" s="14">
        <v>0</v>
      </c>
      <c r="AH1358" s="14"/>
      <c r="AI1358" s="14">
        <v>8.4362397047331297E-2</v>
      </c>
      <c r="AJ1358" s="14">
        <v>9.0988886539237798E-2</v>
      </c>
      <c r="AK1358" s="14">
        <v>6.6357117610762101E-2</v>
      </c>
      <c r="AL1358" s="14">
        <v>8.0675475159594306E-2</v>
      </c>
      <c r="AM1358" s="14">
        <v>0.117476480544841</v>
      </c>
      <c r="AN1358" s="14">
        <v>3.3369946191055599E-2</v>
      </c>
      <c r="AO1358" s="14"/>
      <c r="AP1358" s="14">
        <v>7.9308541258825596E-2</v>
      </c>
      <c r="AQ1358" s="14">
        <v>8.92263592379271E-2</v>
      </c>
      <c r="AR1358" s="14"/>
      <c r="AS1358" s="14" t="s">
        <v>88</v>
      </c>
      <c r="AT1358" s="14" t="s">
        <v>88</v>
      </c>
      <c r="AU1358" s="14">
        <v>8.3539533144314296E-2</v>
      </c>
      <c r="AV1358" s="14"/>
      <c r="AW1358" s="14">
        <v>8.1704362006390405E-2</v>
      </c>
      <c r="AX1358" s="14">
        <v>4.7209405307286803E-2</v>
      </c>
      <c r="AY1358" s="14"/>
      <c r="AZ1358" s="14">
        <v>7.65664143952028E-2</v>
      </c>
      <c r="BA1358" s="14">
        <v>0.115900772835677</v>
      </c>
    </row>
    <row r="1359" spans="2:53" x14ac:dyDescent="0.35">
      <c r="B1359" t="s">
        <v>238</v>
      </c>
      <c r="C1359" s="14">
        <v>1.5179204777771901E-2</v>
      </c>
      <c r="D1359" s="14">
        <v>9.3947293364846397E-3</v>
      </c>
      <c r="E1359" s="14">
        <v>2.1066446466527101E-2</v>
      </c>
      <c r="F1359" s="14"/>
      <c r="G1359" s="14">
        <v>0.53755186374684905</v>
      </c>
      <c r="H1359" s="14">
        <v>3.05540968501649E-2</v>
      </c>
      <c r="I1359" s="14">
        <v>1.9854621042413499E-2</v>
      </c>
      <c r="J1359" s="14">
        <v>9.3592093471145596E-3</v>
      </c>
      <c r="K1359" s="14">
        <v>0</v>
      </c>
      <c r="L1359" s="14">
        <v>0</v>
      </c>
      <c r="M1359" s="14"/>
      <c r="N1359" s="14">
        <v>6.6234200480829297E-3</v>
      </c>
      <c r="O1359" s="14">
        <v>1.03355567910162E-2</v>
      </c>
      <c r="P1359" s="14">
        <v>1.8996853817669801E-2</v>
      </c>
      <c r="Q1359" s="14">
        <v>2.8649588305604001E-2</v>
      </c>
      <c r="R1359" s="14"/>
      <c r="S1359" s="14">
        <v>2.3730252983003301E-2</v>
      </c>
      <c r="T1359" s="14">
        <v>9.6476674058739009E-3</v>
      </c>
      <c r="U1359" s="14">
        <v>2.5471094334899799E-2</v>
      </c>
      <c r="V1359" s="14">
        <v>0</v>
      </c>
      <c r="W1359" s="14">
        <v>2.9478345013607899E-2</v>
      </c>
      <c r="X1359" s="14">
        <v>0</v>
      </c>
      <c r="Y1359" s="14">
        <v>0</v>
      </c>
      <c r="Z1359" s="14">
        <v>0</v>
      </c>
      <c r="AA1359" s="14">
        <v>3.3500483429586801E-2</v>
      </c>
      <c r="AB1359" s="14"/>
      <c r="AC1359" s="14">
        <v>0</v>
      </c>
      <c r="AD1359" s="14">
        <v>1.68525459168394E-2</v>
      </c>
      <c r="AE1359" s="14">
        <v>1.23040443757737E-2</v>
      </c>
      <c r="AF1359" s="14">
        <v>9.4223376045168995E-3</v>
      </c>
      <c r="AG1359" s="14">
        <v>0</v>
      </c>
      <c r="AH1359" s="14"/>
      <c r="AI1359" s="14">
        <v>2.16282401904897E-2</v>
      </c>
      <c r="AJ1359" s="14">
        <v>1.4104997096541901E-2</v>
      </c>
      <c r="AK1359" s="14">
        <v>0</v>
      </c>
      <c r="AL1359" s="14">
        <v>1.4759134860845E-2</v>
      </c>
      <c r="AM1359" s="14">
        <v>4.8486505864233601E-2</v>
      </c>
      <c r="AN1359" s="14">
        <v>0</v>
      </c>
      <c r="AO1359" s="14"/>
      <c r="AP1359" s="14">
        <v>1.1580110724095399E-2</v>
      </c>
      <c r="AQ1359" s="14">
        <v>1.9742149019043701E-2</v>
      </c>
      <c r="AR1359" s="14"/>
      <c r="AS1359" s="14" t="s">
        <v>88</v>
      </c>
      <c r="AT1359" s="14" t="s">
        <v>88</v>
      </c>
      <c r="AU1359" s="14">
        <v>1.5179204777771901E-2</v>
      </c>
      <c r="AV1359" s="14"/>
      <c r="AW1359" s="14">
        <v>1.45665704973598E-2</v>
      </c>
      <c r="AX1359" s="14">
        <v>1.90265392414662E-2</v>
      </c>
      <c r="AY1359" s="14"/>
      <c r="AZ1359" s="14">
        <v>1.33002363055578E-2</v>
      </c>
      <c r="BA1359" s="14">
        <v>2.3851298482893201E-2</v>
      </c>
    </row>
    <row r="1360" spans="2:53" x14ac:dyDescent="0.35">
      <c r="B1360" t="s">
        <v>116</v>
      </c>
      <c r="C1360" s="14">
        <v>1.7008012118428801E-2</v>
      </c>
      <c r="D1360" s="14">
        <v>6.1264169166344402E-3</v>
      </c>
      <c r="E1360" s="14">
        <v>2.80829283424496E-2</v>
      </c>
      <c r="F1360" s="14"/>
      <c r="G1360" s="14">
        <v>0</v>
      </c>
      <c r="H1360" s="14">
        <v>1.6859396351428298E-2</v>
      </c>
      <c r="I1360" s="14">
        <v>2.6678696232991E-2</v>
      </c>
      <c r="J1360" s="14">
        <v>1.33736311512824E-2</v>
      </c>
      <c r="K1360" s="14">
        <v>0</v>
      </c>
      <c r="L1360" s="14">
        <v>0</v>
      </c>
      <c r="M1360" s="14"/>
      <c r="N1360" s="14">
        <v>1.25464343164941E-2</v>
      </c>
      <c r="O1360" s="14">
        <v>1.1144478234618E-2</v>
      </c>
      <c r="P1360" s="14">
        <v>1.39066499464057E-2</v>
      </c>
      <c r="Q1360" s="14">
        <v>3.3479317816327202E-2</v>
      </c>
      <c r="R1360" s="14"/>
      <c r="S1360" s="14">
        <v>4.4065102892693504E-3</v>
      </c>
      <c r="T1360" s="14">
        <v>2.4647783794152299E-2</v>
      </c>
      <c r="U1360" s="14">
        <v>1.6376802602659699E-2</v>
      </c>
      <c r="V1360" s="14">
        <v>1.37128412095878E-2</v>
      </c>
      <c r="W1360" s="14">
        <v>1.27324228813901E-2</v>
      </c>
      <c r="X1360" s="14">
        <v>5.8966877171912901E-3</v>
      </c>
      <c r="Y1360" s="14">
        <v>4.2420081650706001E-2</v>
      </c>
      <c r="Z1360" s="14">
        <v>3.72844084228263E-2</v>
      </c>
      <c r="AA1360" s="14">
        <v>1.19750403616832E-2</v>
      </c>
      <c r="AB1360" s="14"/>
      <c r="AC1360" s="14">
        <v>3.0895358239598499E-2</v>
      </c>
      <c r="AD1360" s="14">
        <v>6.2259480683997401E-3</v>
      </c>
      <c r="AE1360" s="14">
        <v>1.4482669631498401E-2</v>
      </c>
      <c r="AF1360" s="14">
        <v>6.3923178325366098E-3</v>
      </c>
      <c r="AG1360" s="14">
        <v>0</v>
      </c>
      <c r="AH1360" s="14"/>
      <c r="AI1360" s="14">
        <v>1.3034119934133099E-2</v>
      </c>
      <c r="AJ1360" s="14">
        <v>2.3805214922212801E-2</v>
      </c>
      <c r="AK1360" s="14">
        <v>0</v>
      </c>
      <c r="AL1360" s="14">
        <v>8.1401607034872307E-3</v>
      </c>
      <c r="AM1360" s="14">
        <v>0</v>
      </c>
      <c r="AN1360" s="14">
        <v>3.7600609787793997E-2</v>
      </c>
      <c r="AO1360" s="14"/>
      <c r="AP1360" s="14">
        <v>1.16534097028903E-2</v>
      </c>
      <c r="AQ1360" s="14">
        <v>2.37692059492896E-2</v>
      </c>
      <c r="AR1360" s="14"/>
      <c r="AS1360" s="14" t="s">
        <v>88</v>
      </c>
      <c r="AT1360" s="14" t="s">
        <v>88</v>
      </c>
      <c r="AU1360" s="14">
        <v>1.7008012118428801E-2</v>
      </c>
      <c r="AV1360" s="14"/>
      <c r="AW1360" s="14">
        <v>1.6374308637087699E-2</v>
      </c>
      <c r="AX1360" s="14">
        <v>7.0418596347631901E-3</v>
      </c>
      <c r="AY1360" s="14"/>
      <c r="AZ1360" s="14">
        <v>1.1130994018095501E-2</v>
      </c>
      <c r="BA1360" s="14">
        <v>4.3933302653250302E-2</v>
      </c>
    </row>
    <row r="1361" spans="2:53" x14ac:dyDescent="0.35"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</row>
    <row r="1362" spans="2:53" x14ac:dyDescent="0.35">
      <c r="B1362" s="6" t="s">
        <v>347</v>
      </c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</row>
    <row r="1363" spans="2:53" x14ac:dyDescent="0.35">
      <c r="B1363" s="30" t="s">
        <v>463</v>
      </c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</row>
    <row r="1364" spans="2:53" x14ac:dyDescent="0.35">
      <c r="B1364" t="s">
        <v>220</v>
      </c>
      <c r="C1364" s="14">
        <v>0.26605980182908701</v>
      </c>
      <c r="D1364" s="14">
        <v>0.32475684068816502</v>
      </c>
      <c r="E1364" s="14">
        <v>0.206319958919364</v>
      </c>
      <c r="F1364" s="14"/>
      <c r="G1364" s="14">
        <v>0.46244813625315101</v>
      </c>
      <c r="H1364" s="14">
        <v>0.31971589611994899</v>
      </c>
      <c r="I1364" s="14">
        <v>0.27437799256790701</v>
      </c>
      <c r="J1364" s="14">
        <v>0.240366274647033</v>
      </c>
      <c r="K1364" s="14">
        <v>0.293367456685662</v>
      </c>
      <c r="L1364" s="14">
        <v>0.17792257411294299</v>
      </c>
      <c r="M1364" s="14"/>
      <c r="N1364" s="14">
        <v>0.34110297020076802</v>
      </c>
      <c r="O1364" s="14">
        <v>0.28076006675102999</v>
      </c>
      <c r="P1364" s="14">
        <v>0.23277878805111801</v>
      </c>
      <c r="Q1364" s="14">
        <v>0.18356224390099801</v>
      </c>
      <c r="R1364" s="14"/>
      <c r="S1364" s="14">
        <v>0.41703356556071902</v>
      </c>
      <c r="T1364" s="14">
        <v>0.19573979759287399</v>
      </c>
      <c r="U1364" s="14">
        <v>0.23606431592272201</v>
      </c>
      <c r="V1364" s="14">
        <v>0.30598840253179899</v>
      </c>
      <c r="W1364" s="14">
        <v>0.22780385979078799</v>
      </c>
      <c r="X1364" s="14">
        <v>0.243315178531157</v>
      </c>
      <c r="Y1364" s="14">
        <v>0.229115024961907</v>
      </c>
      <c r="Z1364" s="14">
        <v>0.20765532595258801</v>
      </c>
      <c r="AA1364" s="14">
        <v>0.24922806357969199</v>
      </c>
      <c r="AB1364" s="14"/>
      <c r="AC1364" s="14">
        <v>0.197547048555789</v>
      </c>
      <c r="AD1364" s="14">
        <v>0.199390522457599</v>
      </c>
      <c r="AE1364" s="14">
        <v>0.274897328804664</v>
      </c>
      <c r="AF1364" s="14">
        <v>0.43449193123149199</v>
      </c>
      <c r="AG1364" s="14">
        <v>0.56388399865154704</v>
      </c>
      <c r="AH1364" s="14"/>
      <c r="AI1364" s="14">
        <v>0.30750670996562002</v>
      </c>
      <c r="AJ1364" s="14">
        <v>0.26773538521756701</v>
      </c>
      <c r="AK1364" s="14">
        <v>0.27642467456074399</v>
      </c>
      <c r="AL1364" s="14">
        <v>0.25942614571271699</v>
      </c>
      <c r="AM1364" s="14">
        <v>0.243988670165254</v>
      </c>
      <c r="AN1364" s="14">
        <v>0.19516447904349901</v>
      </c>
      <c r="AO1364" s="14"/>
      <c r="AP1364" s="14">
        <v>0.31860914372105098</v>
      </c>
      <c r="AQ1364" s="14">
        <v>0.201833554884432</v>
      </c>
      <c r="AR1364" s="14"/>
      <c r="AS1364" s="14" t="s">
        <v>88</v>
      </c>
      <c r="AT1364" s="14" t="s">
        <v>88</v>
      </c>
      <c r="AU1364" s="14">
        <v>0.26605980182908701</v>
      </c>
      <c r="AV1364" s="14"/>
      <c r="AW1364" s="14">
        <v>0.25984925717983398</v>
      </c>
      <c r="AX1364" s="14">
        <v>0.38465597928421602</v>
      </c>
      <c r="AY1364" s="14"/>
      <c r="AZ1364" s="14">
        <v>0.302434761550474</v>
      </c>
      <c r="BA1364" s="14">
        <v>0.101837152165203</v>
      </c>
    </row>
    <row r="1365" spans="2:53" x14ac:dyDescent="0.35">
      <c r="B1365" t="s">
        <v>221</v>
      </c>
      <c r="C1365" s="14">
        <v>0.48001556910583199</v>
      </c>
      <c r="D1365" s="14">
        <v>0.48617492832301201</v>
      </c>
      <c r="E1365" s="14">
        <v>0.47374678350418897</v>
      </c>
      <c r="F1365" s="14"/>
      <c r="G1365" s="14">
        <v>0</v>
      </c>
      <c r="H1365" s="14">
        <v>0.45509011039278802</v>
      </c>
      <c r="I1365" s="14">
        <v>0.48091876623393898</v>
      </c>
      <c r="J1365" s="14">
        <v>0.489479214189245</v>
      </c>
      <c r="K1365" s="14">
        <v>0.47221052272325498</v>
      </c>
      <c r="L1365" s="14">
        <v>0.489384903153602</v>
      </c>
      <c r="M1365" s="14"/>
      <c r="N1365" s="14">
        <v>0.45727708156290697</v>
      </c>
      <c r="O1365" s="14">
        <v>0.43610683599722599</v>
      </c>
      <c r="P1365" s="14">
        <v>0.54617993202278103</v>
      </c>
      <c r="Q1365" s="14">
        <v>0.48791880332275001</v>
      </c>
      <c r="R1365" s="14"/>
      <c r="S1365" s="14">
        <v>0.39686596922580603</v>
      </c>
      <c r="T1365" s="14">
        <v>0.55085467540719801</v>
      </c>
      <c r="U1365" s="14">
        <v>0.47528030061176102</v>
      </c>
      <c r="V1365" s="14">
        <v>0.46482763228486101</v>
      </c>
      <c r="W1365" s="14">
        <v>0.497694718322923</v>
      </c>
      <c r="X1365" s="14">
        <v>0.44147543494418301</v>
      </c>
      <c r="Y1365" s="14">
        <v>0.51879563274553198</v>
      </c>
      <c r="Z1365" s="14">
        <v>0.490306715848913</v>
      </c>
      <c r="AA1365" s="14">
        <v>0.49933355501993998</v>
      </c>
      <c r="AB1365" s="14"/>
      <c r="AC1365" s="14">
        <v>0.481210322514111</v>
      </c>
      <c r="AD1365" s="14">
        <v>0.57139662829409299</v>
      </c>
      <c r="AE1365" s="14">
        <v>0.48722052237063401</v>
      </c>
      <c r="AF1365" s="14">
        <v>0.402722473717323</v>
      </c>
      <c r="AG1365" s="14">
        <v>0.35954931079966501</v>
      </c>
      <c r="AH1365" s="14"/>
      <c r="AI1365" s="14">
        <v>0.46876307257380301</v>
      </c>
      <c r="AJ1365" s="14">
        <v>0.51865984714884505</v>
      </c>
      <c r="AK1365" s="14">
        <v>0.51439846890501095</v>
      </c>
      <c r="AL1365" s="14">
        <v>0.45640356331408799</v>
      </c>
      <c r="AM1365" s="14">
        <v>0.32422145855064</v>
      </c>
      <c r="AN1365" s="14">
        <v>0.51776360189519399</v>
      </c>
      <c r="AO1365" s="14"/>
      <c r="AP1365" s="14">
        <v>0.43456980949816099</v>
      </c>
      <c r="AQ1365" s="14">
        <v>0.53743226689855494</v>
      </c>
      <c r="AR1365" s="14"/>
      <c r="AS1365" s="14" t="s">
        <v>88</v>
      </c>
      <c r="AT1365" s="14" t="s">
        <v>88</v>
      </c>
      <c r="AU1365" s="14">
        <v>0.48001556910583199</v>
      </c>
      <c r="AV1365" s="14"/>
      <c r="AW1365" s="14">
        <v>0.46983856116352801</v>
      </c>
      <c r="AX1365" s="14">
        <v>0.45547632664130999</v>
      </c>
      <c r="AY1365" s="14"/>
      <c r="AZ1365" s="14">
        <v>0.490421849533836</v>
      </c>
      <c r="BA1365" s="14">
        <v>0.42913713861610803</v>
      </c>
    </row>
    <row r="1366" spans="2:53" x14ac:dyDescent="0.35">
      <c r="B1366" t="s">
        <v>222</v>
      </c>
      <c r="C1366" s="14">
        <v>0.13345069247653499</v>
      </c>
      <c r="D1366" s="14">
        <v>8.8879385016792503E-2</v>
      </c>
      <c r="E1366" s="14">
        <v>0.17881384805783401</v>
      </c>
      <c r="F1366" s="14"/>
      <c r="G1366" s="14">
        <v>0.53755186374684905</v>
      </c>
      <c r="H1366" s="14">
        <v>0.116846033905409</v>
      </c>
      <c r="I1366" s="14">
        <v>0.125846561940545</v>
      </c>
      <c r="J1366" s="14">
        <v>0.15853291838160399</v>
      </c>
      <c r="K1366" s="14">
        <v>8.0009090229045801E-2</v>
      </c>
      <c r="L1366" s="14">
        <v>0.16260755361439999</v>
      </c>
      <c r="M1366" s="14"/>
      <c r="N1366" s="14">
        <v>9.6842864707713194E-2</v>
      </c>
      <c r="O1366" s="14">
        <v>0.18287699838288801</v>
      </c>
      <c r="P1366" s="14">
        <v>0.12337940760921499</v>
      </c>
      <c r="Q1366" s="14">
        <v>0.136910366151962</v>
      </c>
      <c r="R1366" s="14"/>
      <c r="S1366" s="14">
        <v>0.114428071231384</v>
      </c>
      <c r="T1366" s="14">
        <v>0.122962917566645</v>
      </c>
      <c r="U1366" s="14">
        <v>0.13725730335466599</v>
      </c>
      <c r="V1366" s="14">
        <v>0.12669906756030799</v>
      </c>
      <c r="W1366" s="14">
        <v>0.126298861872646</v>
      </c>
      <c r="X1366" s="14">
        <v>0.18033177451544899</v>
      </c>
      <c r="Y1366" s="14">
        <v>0.12125451087759501</v>
      </c>
      <c r="Z1366" s="14">
        <v>0.18648456589287499</v>
      </c>
      <c r="AA1366" s="14">
        <v>0.12722116174916101</v>
      </c>
      <c r="AB1366" s="14"/>
      <c r="AC1366" s="14">
        <v>0.16026088638963801</v>
      </c>
      <c r="AD1366" s="14">
        <v>0.13305424847488301</v>
      </c>
      <c r="AE1366" s="14">
        <v>0.13373770435170201</v>
      </c>
      <c r="AF1366" s="14">
        <v>9.3514554494030303E-2</v>
      </c>
      <c r="AG1366" s="14">
        <v>4.7580976670674298E-2</v>
      </c>
      <c r="AH1366" s="14"/>
      <c r="AI1366" s="14">
        <v>0.11667757276226901</v>
      </c>
      <c r="AJ1366" s="14">
        <v>0.10761351183812599</v>
      </c>
      <c r="AK1366" s="14">
        <v>6.2385830822421197E-2</v>
      </c>
      <c r="AL1366" s="14">
        <v>0.159569310460872</v>
      </c>
      <c r="AM1366" s="14">
        <v>0.250202157053869</v>
      </c>
      <c r="AN1366" s="14">
        <v>0.14358233460488701</v>
      </c>
      <c r="AO1366" s="14"/>
      <c r="AP1366" s="14">
        <v>0.122591936016441</v>
      </c>
      <c r="AQ1366" s="14">
        <v>0.14764810376936199</v>
      </c>
      <c r="AR1366" s="14"/>
      <c r="AS1366" s="14" t="s">
        <v>88</v>
      </c>
      <c r="AT1366" s="14" t="s">
        <v>88</v>
      </c>
      <c r="AU1366" s="14">
        <v>0.13345069247653499</v>
      </c>
      <c r="AV1366" s="14"/>
      <c r="AW1366" s="14">
        <v>0.150235710987565</v>
      </c>
      <c r="AX1366" s="14">
        <v>6.1799407574025099E-2</v>
      </c>
      <c r="AY1366" s="14"/>
      <c r="AZ1366" s="14">
        <v>0.109299300640075</v>
      </c>
      <c r="BA1366" s="14">
        <v>0.244514698219227</v>
      </c>
    </row>
    <row r="1367" spans="2:53" x14ac:dyDescent="0.35">
      <c r="B1367" t="s">
        <v>223</v>
      </c>
      <c r="C1367" s="14">
        <v>3.8908277653512298E-2</v>
      </c>
      <c r="D1367" s="14">
        <v>1.9408594386121102E-2</v>
      </c>
      <c r="E1367" s="14">
        <v>5.8754389788402799E-2</v>
      </c>
      <c r="F1367" s="14"/>
      <c r="G1367" s="14">
        <v>0</v>
      </c>
      <c r="H1367" s="14">
        <v>3.9801805054558402E-2</v>
      </c>
      <c r="I1367" s="14">
        <v>5.1246841380475798E-2</v>
      </c>
      <c r="J1367" s="14">
        <v>2.93214387644984E-2</v>
      </c>
      <c r="K1367" s="14">
        <v>1.64932997411056E-2</v>
      </c>
      <c r="L1367" s="14">
        <v>0.11946737142910301</v>
      </c>
      <c r="M1367" s="14"/>
      <c r="N1367" s="14">
        <v>2.9153435163426299E-2</v>
      </c>
      <c r="O1367" s="14">
        <v>2.5507106075854699E-2</v>
      </c>
      <c r="P1367" s="14">
        <v>3.1482853732015502E-2</v>
      </c>
      <c r="Q1367" s="14">
        <v>7.6303334069958803E-2</v>
      </c>
      <c r="R1367" s="14"/>
      <c r="S1367" s="14">
        <v>3.2734201239190602E-2</v>
      </c>
      <c r="T1367" s="14">
        <v>5.0534986159569903E-2</v>
      </c>
      <c r="U1367" s="14">
        <v>3.9578521173446103E-2</v>
      </c>
      <c r="V1367" s="14">
        <v>9.8580267768498004E-3</v>
      </c>
      <c r="W1367" s="14">
        <v>5.39946851805536E-2</v>
      </c>
      <c r="X1367" s="14">
        <v>6.0433946093306302E-2</v>
      </c>
      <c r="Y1367" s="14">
        <v>4.4737860635408501E-2</v>
      </c>
      <c r="Z1367" s="14">
        <v>2.26845958840667E-2</v>
      </c>
      <c r="AA1367" s="14">
        <v>3.1972430441033303E-2</v>
      </c>
      <c r="AB1367" s="14"/>
      <c r="AC1367" s="14">
        <v>6.6658643792499597E-2</v>
      </c>
      <c r="AD1367" s="14">
        <v>3.3464129800288199E-2</v>
      </c>
      <c r="AE1367" s="14">
        <v>2.09251991762156E-2</v>
      </c>
      <c r="AF1367" s="14">
        <v>6.69060880634897E-3</v>
      </c>
      <c r="AG1367" s="14">
        <v>0</v>
      </c>
      <c r="AH1367" s="14"/>
      <c r="AI1367" s="14">
        <v>4.4171670549137398E-2</v>
      </c>
      <c r="AJ1367" s="14">
        <v>2.75924572735331E-2</v>
      </c>
      <c r="AK1367" s="14">
        <v>3.0071775921762699E-2</v>
      </c>
      <c r="AL1367" s="14">
        <v>4.47782740519546E-2</v>
      </c>
      <c r="AM1367" s="14">
        <v>8.1270004092371104E-2</v>
      </c>
      <c r="AN1367" s="14">
        <v>0</v>
      </c>
      <c r="AO1367" s="14"/>
      <c r="AP1367" s="14">
        <v>4.1358148011815199E-2</v>
      </c>
      <c r="AQ1367" s="14">
        <v>3.60442413964525E-2</v>
      </c>
      <c r="AR1367" s="14"/>
      <c r="AS1367" s="14" t="s">
        <v>88</v>
      </c>
      <c r="AT1367" s="14" t="s">
        <v>88</v>
      </c>
      <c r="AU1367" s="14">
        <v>3.8908277653512298E-2</v>
      </c>
      <c r="AV1367" s="14"/>
      <c r="AW1367" s="14">
        <v>4.0513612640258302E-2</v>
      </c>
      <c r="AX1367" s="14">
        <v>2.6781204427359501E-2</v>
      </c>
      <c r="AY1367" s="14"/>
      <c r="AZ1367" s="14">
        <v>2.0439718402792299E-2</v>
      </c>
      <c r="BA1367" s="14">
        <v>0.123426087703622</v>
      </c>
    </row>
    <row r="1368" spans="2:53" x14ac:dyDescent="0.35">
      <c r="B1368" t="s">
        <v>116</v>
      </c>
      <c r="C1368" s="14">
        <v>1.54224122844085E-2</v>
      </c>
      <c r="D1368" s="14">
        <v>5.7719603180536498E-3</v>
      </c>
      <c r="E1368" s="14">
        <v>2.5244312940453099E-2</v>
      </c>
      <c r="F1368" s="14"/>
      <c r="G1368" s="14">
        <v>0</v>
      </c>
      <c r="H1368" s="14">
        <v>0</v>
      </c>
      <c r="I1368" s="14">
        <v>1.56294168687592E-2</v>
      </c>
      <c r="J1368" s="14">
        <v>2.3361334973846199E-2</v>
      </c>
      <c r="K1368" s="14">
        <v>2.8538750084211801E-3</v>
      </c>
      <c r="L1368" s="14">
        <v>0</v>
      </c>
      <c r="M1368" s="14"/>
      <c r="N1368" s="14">
        <v>9.4767597667493007E-3</v>
      </c>
      <c r="O1368" s="14">
        <v>1.5940671845104198E-2</v>
      </c>
      <c r="P1368" s="14">
        <v>6.3287123576105699E-3</v>
      </c>
      <c r="Q1368" s="14">
        <v>3.3252131994691202E-2</v>
      </c>
      <c r="R1368" s="14"/>
      <c r="S1368" s="14">
        <v>1.3820200182572E-2</v>
      </c>
      <c r="T1368" s="14">
        <v>1.82849283989386E-2</v>
      </c>
      <c r="U1368" s="14">
        <v>1.6376802602659699E-2</v>
      </c>
      <c r="V1368" s="14">
        <v>1.3956738804993599E-2</v>
      </c>
      <c r="W1368" s="14">
        <v>1.44816117679914E-2</v>
      </c>
      <c r="X1368" s="14">
        <v>7.8862003610779708E-3</v>
      </c>
      <c r="Y1368" s="14">
        <v>6.8696294414193702E-3</v>
      </c>
      <c r="Z1368" s="14">
        <v>3.8480060462751299E-2</v>
      </c>
      <c r="AA1368" s="14">
        <v>1.6382883170950002E-2</v>
      </c>
      <c r="AB1368" s="14"/>
      <c r="AC1368" s="14">
        <v>2.16047396696635E-2</v>
      </c>
      <c r="AD1368" s="14">
        <v>1.0599151643991301E-2</v>
      </c>
      <c r="AE1368" s="14">
        <v>1.44823536543071E-2</v>
      </c>
      <c r="AF1368" s="14">
        <v>1.6118110593122001E-2</v>
      </c>
      <c r="AG1368" s="14">
        <v>0</v>
      </c>
      <c r="AH1368" s="14"/>
      <c r="AI1368" s="14">
        <v>1.25002135733225E-2</v>
      </c>
      <c r="AJ1368" s="14">
        <v>1.50242671154222E-2</v>
      </c>
      <c r="AK1368" s="14">
        <v>1.6172390326052302E-2</v>
      </c>
      <c r="AL1368" s="14">
        <v>1.24092426594347E-2</v>
      </c>
      <c r="AM1368" s="14">
        <v>0</v>
      </c>
      <c r="AN1368" s="14">
        <v>3.7600609787793997E-2</v>
      </c>
      <c r="AO1368" s="14"/>
      <c r="AP1368" s="14">
        <v>1.5468634848611299E-2</v>
      </c>
      <c r="AQ1368" s="14">
        <v>1.5440538879976E-2</v>
      </c>
      <c r="AR1368" s="14"/>
      <c r="AS1368" s="14" t="s">
        <v>88</v>
      </c>
      <c r="AT1368" s="14" t="s">
        <v>88</v>
      </c>
      <c r="AU1368" s="14">
        <v>1.54224122844085E-2</v>
      </c>
      <c r="AV1368" s="14"/>
      <c r="AW1368" s="14">
        <v>9.9531931462788908E-3</v>
      </c>
      <c r="AX1368" s="14">
        <v>1.73669894698124E-2</v>
      </c>
      <c r="AY1368" s="14"/>
      <c r="AZ1368" s="14">
        <v>9.565203996346E-3</v>
      </c>
      <c r="BA1368" s="14">
        <v>4.2246953955792199E-2</v>
      </c>
    </row>
    <row r="1369" spans="2:53" x14ac:dyDescent="0.35">
      <c r="B1369" t="s">
        <v>224</v>
      </c>
      <c r="C1369" s="14">
        <v>0.74607537093491905</v>
      </c>
      <c r="D1369" s="14">
        <v>0.81093176901117703</v>
      </c>
      <c r="E1369" s="14">
        <v>0.68006674242355303</v>
      </c>
      <c r="F1369" s="14"/>
      <c r="G1369" s="14">
        <v>0.46244813625315101</v>
      </c>
      <c r="H1369" s="14">
        <v>0.77480600651273601</v>
      </c>
      <c r="I1369" s="14">
        <v>0.75529675880184699</v>
      </c>
      <c r="J1369" s="14">
        <v>0.72984548883627898</v>
      </c>
      <c r="K1369" s="14">
        <v>0.76557797940891803</v>
      </c>
      <c r="L1369" s="14">
        <v>0.66730747726654505</v>
      </c>
      <c r="M1369" s="14"/>
      <c r="N1369" s="14">
        <v>0.79838005176367499</v>
      </c>
      <c r="O1369" s="14">
        <v>0.71686690274825504</v>
      </c>
      <c r="P1369" s="14">
        <v>0.77895872007389899</v>
      </c>
      <c r="Q1369" s="14">
        <v>0.67148104722374802</v>
      </c>
      <c r="R1369" s="14"/>
      <c r="S1369" s="14">
        <v>0.81389953478652499</v>
      </c>
      <c r="T1369" s="14">
        <v>0.74659447300007198</v>
      </c>
      <c r="U1369" s="14">
        <v>0.711344616534483</v>
      </c>
      <c r="V1369" s="14">
        <v>0.77081603481665995</v>
      </c>
      <c r="W1369" s="14">
        <v>0.72549857811371099</v>
      </c>
      <c r="X1369" s="14">
        <v>0.68479061347533898</v>
      </c>
      <c r="Y1369" s="14">
        <v>0.74791065770743903</v>
      </c>
      <c r="Z1369" s="14">
        <v>0.69796204180150101</v>
      </c>
      <c r="AA1369" s="14">
        <v>0.74856161859963199</v>
      </c>
      <c r="AB1369" s="14"/>
      <c r="AC1369" s="14">
        <v>0.67875737106990097</v>
      </c>
      <c r="AD1369" s="14">
        <v>0.77078715075169202</v>
      </c>
      <c r="AE1369" s="14">
        <v>0.76211785117529796</v>
      </c>
      <c r="AF1369" s="14">
        <v>0.83721440494881505</v>
      </c>
      <c r="AG1369" s="14">
        <v>0.92343330945121105</v>
      </c>
      <c r="AH1369" s="14"/>
      <c r="AI1369" s="14">
        <v>0.77626978253942203</v>
      </c>
      <c r="AJ1369" s="14">
        <v>0.78639523236641296</v>
      </c>
      <c r="AK1369" s="14">
        <v>0.790823143465755</v>
      </c>
      <c r="AL1369" s="14">
        <v>0.71582970902680598</v>
      </c>
      <c r="AM1369" s="14">
        <v>0.56821012871589405</v>
      </c>
      <c r="AN1369" s="14">
        <v>0.71292808093869298</v>
      </c>
      <c r="AO1369" s="14"/>
      <c r="AP1369" s="14">
        <v>0.75317895321921202</v>
      </c>
      <c r="AQ1369" s="14">
        <v>0.73926582178298805</v>
      </c>
      <c r="AR1369" s="14"/>
      <c r="AS1369" s="14" t="s">
        <v>88</v>
      </c>
      <c r="AT1369" s="14" t="s">
        <v>88</v>
      </c>
      <c r="AU1369" s="14">
        <v>0.74607537093491905</v>
      </c>
      <c r="AV1369" s="14"/>
      <c r="AW1369" s="14">
        <v>0.72968781834336205</v>
      </c>
      <c r="AX1369" s="14">
        <v>0.84013230592552501</v>
      </c>
      <c r="AY1369" s="14"/>
      <c r="AZ1369" s="14">
        <v>0.79285661108431005</v>
      </c>
      <c r="BA1369" s="14">
        <v>0.53097429078131098</v>
      </c>
    </row>
    <row r="1370" spans="2:53" x14ac:dyDescent="0.35">
      <c r="C1370" s="14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</row>
    <row r="1371" spans="2:53" x14ac:dyDescent="0.35">
      <c r="B1371" s="6" t="s">
        <v>348</v>
      </c>
      <c r="C1371" s="14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</row>
    <row r="1372" spans="2:53" x14ac:dyDescent="0.35">
      <c r="B1372" s="24" t="s">
        <v>101</v>
      </c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</row>
    <row r="1373" spans="2:53" x14ac:dyDescent="0.35">
      <c r="B1373" t="s">
        <v>154</v>
      </c>
      <c r="C1373" s="14">
        <v>0.59110211311500005</v>
      </c>
      <c r="D1373" s="14">
        <v>0.576369818243613</v>
      </c>
      <c r="E1373" s="14">
        <v>0.60507307304790203</v>
      </c>
      <c r="F1373" s="14"/>
      <c r="G1373" s="14">
        <v>0.81714198225865298</v>
      </c>
      <c r="H1373" s="14">
        <v>0.61639172107102502</v>
      </c>
      <c r="I1373" s="14">
        <v>0.62163289298242597</v>
      </c>
      <c r="J1373" s="14">
        <v>0.59791317092144602</v>
      </c>
      <c r="K1373" s="14">
        <v>0.47886592350542101</v>
      </c>
      <c r="L1373" s="14">
        <v>0.44405568190806799</v>
      </c>
      <c r="M1373" s="14"/>
      <c r="N1373" s="14">
        <v>0.64393009106251298</v>
      </c>
      <c r="O1373" s="14">
        <v>0.57950443598742096</v>
      </c>
      <c r="P1373" s="14">
        <v>0.63309124879930201</v>
      </c>
      <c r="Q1373" s="14">
        <v>0.50468292847626794</v>
      </c>
      <c r="R1373" s="14"/>
      <c r="S1373" s="14">
        <v>0.65852477471399695</v>
      </c>
      <c r="T1373" s="14">
        <v>0.57282373300979295</v>
      </c>
      <c r="U1373" s="14">
        <v>0.60012178966051499</v>
      </c>
      <c r="V1373" s="14">
        <v>0.58473566473212402</v>
      </c>
      <c r="W1373" s="14">
        <v>0.49890927306270499</v>
      </c>
      <c r="X1373" s="14">
        <v>0.55918063103779603</v>
      </c>
      <c r="Y1373" s="14">
        <v>0.57977578416866205</v>
      </c>
      <c r="Z1373" s="14">
        <v>0.695811479212879</v>
      </c>
      <c r="AA1373" s="14">
        <v>0.59356549160627503</v>
      </c>
      <c r="AB1373" s="14"/>
      <c r="AC1373" s="14">
        <v>0.49645071807734098</v>
      </c>
      <c r="AD1373" s="14">
        <v>0.64788482742586595</v>
      </c>
      <c r="AE1373" s="14">
        <v>0.62288933825236803</v>
      </c>
      <c r="AF1373" s="14">
        <v>0.67839510968096095</v>
      </c>
      <c r="AG1373" s="14">
        <v>0.79175546855594703</v>
      </c>
      <c r="AH1373" s="14"/>
      <c r="AI1373" s="14">
        <v>0.63378595488816503</v>
      </c>
      <c r="AJ1373" s="14">
        <v>0.62486559516269002</v>
      </c>
      <c r="AK1373" s="14">
        <v>0.57157583049598604</v>
      </c>
      <c r="AL1373" s="14">
        <v>0.52802989508863296</v>
      </c>
      <c r="AM1373" s="14">
        <v>0.65697548570272002</v>
      </c>
      <c r="AN1373" s="14">
        <v>0.52778877147937997</v>
      </c>
      <c r="AO1373" s="14"/>
      <c r="AP1373" s="14">
        <v>0.62668815831985902</v>
      </c>
      <c r="AQ1373" s="14">
        <v>0.552343809988048</v>
      </c>
      <c r="AR1373" s="14"/>
      <c r="AS1373" s="14" t="s">
        <v>88</v>
      </c>
      <c r="AT1373" s="14" t="s">
        <v>88</v>
      </c>
      <c r="AU1373" s="14">
        <v>0.59110211311500005</v>
      </c>
      <c r="AV1373" s="14"/>
      <c r="AW1373" s="14">
        <v>0.59144054086827402</v>
      </c>
      <c r="AX1373" s="14">
        <v>0.67231094795631197</v>
      </c>
      <c r="AY1373" s="14"/>
      <c r="AZ1373" s="14">
        <v>0.61966647384356999</v>
      </c>
      <c r="BA1373" s="14">
        <v>0.49005612317378799</v>
      </c>
    </row>
    <row r="1374" spans="2:53" x14ac:dyDescent="0.35">
      <c r="B1374" t="s">
        <v>155</v>
      </c>
      <c r="C1374" s="14">
        <v>0.147865952895225</v>
      </c>
      <c r="D1374" s="14">
        <v>0.19257402666905299</v>
      </c>
      <c r="E1374" s="14">
        <v>0.103818376594708</v>
      </c>
      <c r="F1374" s="14"/>
      <c r="G1374" s="14">
        <v>0.182858017741347</v>
      </c>
      <c r="H1374" s="14">
        <v>0.19115038303433399</v>
      </c>
      <c r="I1374" s="14">
        <v>0.13433864232656401</v>
      </c>
      <c r="J1374" s="14">
        <v>0.13779511824344801</v>
      </c>
      <c r="K1374" s="14">
        <v>0.15837135870591301</v>
      </c>
      <c r="L1374" s="14">
        <v>0.34772443065444097</v>
      </c>
      <c r="M1374" s="14"/>
      <c r="N1374" s="14">
        <v>0.155973489473681</v>
      </c>
      <c r="O1374" s="14">
        <v>0.12516061776401299</v>
      </c>
      <c r="P1374" s="14">
        <v>0.12490391457904999</v>
      </c>
      <c r="Q1374" s="14">
        <v>0.18609027524257599</v>
      </c>
      <c r="R1374" s="14"/>
      <c r="S1374" s="14">
        <v>0.15864508594504001</v>
      </c>
      <c r="T1374" s="14">
        <v>0.159638638532213</v>
      </c>
      <c r="U1374" s="14">
        <v>0.10154731039688</v>
      </c>
      <c r="V1374" s="14">
        <v>0.106399453614371</v>
      </c>
      <c r="W1374" s="14">
        <v>0.212576452411779</v>
      </c>
      <c r="X1374" s="14">
        <v>0.13717529265220299</v>
      </c>
      <c r="Y1374" s="14">
        <v>0.13322653734235901</v>
      </c>
      <c r="Z1374" s="14">
        <v>0.13822515876107699</v>
      </c>
      <c r="AA1374" s="14">
        <v>0.167198408386905</v>
      </c>
      <c r="AB1374" s="14"/>
      <c r="AC1374" s="14">
        <v>0.15478360640882</v>
      </c>
      <c r="AD1374" s="14">
        <v>0.123845419626558</v>
      </c>
      <c r="AE1374" s="14">
        <v>0.15162260510105699</v>
      </c>
      <c r="AF1374" s="14">
        <v>0.176995668321445</v>
      </c>
      <c r="AG1374" s="14">
        <v>0.121364064492103</v>
      </c>
      <c r="AH1374" s="14"/>
      <c r="AI1374" s="14">
        <v>0.11302053338958699</v>
      </c>
      <c r="AJ1374" s="14">
        <v>0.17633735165884101</v>
      </c>
      <c r="AK1374" s="14">
        <v>0.109732150467362</v>
      </c>
      <c r="AL1374" s="14">
        <v>0.20472660327009901</v>
      </c>
      <c r="AM1374" s="14">
        <v>0.188185076494295</v>
      </c>
      <c r="AN1374" s="14">
        <v>0.136698025533664</v>
      </c>
      <c r="AO1374" s="14"/>
      <c r="AP1374" s="14">
        <v>0.13813939829790201</v>
      </c>
      <c r="AQ1374" s="14">
        <v>0.15974733481762601</v>
      </c>
      <c r="AR1374" s="14"/>
      <c r="AS1374" s="14" t="s">
        <v>88</v>
      </c>
      <c r="AT1374" s="14" t="s">
        <v>88</v>
      </c>
      <c r="AU1374" s="14">
        <v>0.147865952895225</v>
      </c>
      <c r="AV1374" s="14"/>
      <c r="AW1374" s="14">
        <v>0.13522792242406101</v>
      </c>
      <c r="AX1374" s="14">
        <v>0.19777321657230101</v>
      </c>
      <c r="AY1374" s="14"/>
      <c r="AZ1374" s="14">
        <v>0.15679234951284901</v>
      </c>
      <c r="BA1374" s="14">
        <v>0.11704671853944</v>
      </c>
    </row>
    <row r="1375" spans="2:53" x14ac:dyDescent="0.35">
      <c r="B1375" t="s">
        <v>116</v>
      </c>
      <c r="C1375" s="14">
        <v>0.26103193398977498</v>
      </c>
      <c r="D1375" s="14">
        <v>0.23105615508733399</v>
      </c>
      <c r="E1375" s="14">
        <v>0.29110855035739103</v>
      </c>
      <c r="F1375" s="14"/>
      <c r="G1375" s="14">
        <v>0</v>
      </c>
      <c r="H1375" s="14">
        <v>0.19245789589464099</v>
      </c>
      <c r="I1375" s="14">
        <v>0.24402846469101</v>
      </c>
      <c r="J1375" s="14">
        <v>0.264291710835106</v>
      </c>
      <c r="K1375" s="14">
        <v>0.36276271778866698</v>
      </c>
      <c r="L1375" s="14">
        <v>0.20821988743749101</v>
      </c>
      <c r="M1375" s="14"/>
      <c r="N1375" s="14">
        <v>0.20009641946380699</v>
      </c>
      <c r="O1375" s="14">
        <v>0.29533494624856699</v>
      </c>
      <c r="P1375" s="14">
        <v>0.24200483662164801</v>
      </c>
      <c r="Q1375" s="14">
        <v>0.30922679628115601</v>
      </c>
      <c r="R1375" s="14"/>
      <c r="S1375" s="14">
        <v>0.18283013934096301</v>
      </c>
      <c r="T1375" s="14">
        <v>0.267537628457994</v>
      </c>
      <c r="U1375" s="14">
        <v>0.29833089994260398</v>
      </c>
      <c r="V1375" s="14">
        <v>0.30886488165350501</v>
      </c>
      <c r="W1375" s="14">
        <v>0.28851427452551698</v>
      </c>
      <c r="X1375" s="14">
        <v>0.30364407631000101</v>
      </c>
      <c r="Y1375" s="14">
        <v>0.286997678488979</v>
      </c>
      <c r="Z1375" s="14">
        <v>0.165963362026043</v>
      </c>
      <c r="AA1375" s="14">
        <v>0.23923610000682</v>
      </c>
      <c r="AB1375" s="14"/>
      <c r="AC1375" s="14">
        <v>0.34876567551383902</v>
      </c>
      <c r="AD1375" s="14">
        <v>0.22826975294757601</v>
      </c>
      <c r="AE1375" s="14">
        <v>0.22548805664657501</v>
      </c>
      <c r="AF1375" s="14">
        <v>0.14460922199759399</v>
      </c>
      <c r="AG1375" s="14">
        <v>8.6880466951949606E-2</v>
      </c>
      <c r="AH1375" s="14"/>
      <c r="AI1375" s="14">
        <v>0.25319351172224802</v>
      </c>
      <c r="AJ1375" s="14">
        <v>0.19879705317846899</v>
      </c>
      <c r="AK1375" s="14">
        <v>0.31869201903665201</v>
      </c>
      <c r="AL1375" s="14">
        <v>0.26724350164126898</v>
      </c>
      <c r="AM1375" s="14">
        <v>0.15483943780298501</v>
      </c>
      <c r="AN1375" s="14">
        <v>0.33551320298695603</v>
      </c>
      <c r="AO1375" s="14"/>
      <c r="AP1375" s="14">
        <v>0.235172443382239</v>
      </c>
      <c r="AQ1375" s="14">
        <v>0.28790885519432502</v>
      </c>
      <c r="AR1375" s="14"/>
      <c r="AS1375" s="14" t="s">
        <v>88</v>
      </c>
      <c r="AT1375" s="14" t="s">
        <v>88</v>
      </c>
      <c r="AU1375" s="14">
        <v>0.26103193398977498</v>
      </c>
      <c r="AV1375" s="14"/>
      <c r="AW1375" s="14">
        <v>0.27333153670766502</v>
      </c>
      <c r="AX1375" s="14">
        <v>0.12991583547138799</v>
      </c>
      <c r="AY1375" s="14"/>
      <c r="AZ1375" s="14">
        <v>0.223541176643581</v>
      </c>
      <c r="BA1375" s="14">
        <v>0.39289715828677202</v>
      </c>
    </row>
    <row r="1376" spans="2:53" x14ac:dyDescent="0.35">
      <c r="C1376" s="14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</row>
    <row r="1377" spans="2:53" x14ac:dyDescent="0.35">
      <c r="B1377" s="6" t="s">
        <v>349</v>
      </c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</row>
    <row r="1378" spans="2:53" x14ac:dyDescent="0.35">
      <c r="B1378" s="30" t="s">
        <v>463</v>
      </c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</row>
    <row r="1379" spans="2:53" x14ac:dyDescent="0.35">
      <c r="B1379" t="s">
        <v>214</v>
      </c>
      <c r="C1379" s="14">
        <v>0.15607334630497</v>
      </c>
      <c r="D1379" s="14">
        <v>0.18544843060632499</v>
      </c>
      <c r="E1379" s="14">
        <v>0.128754803086223</v>
      </c>
      <c r="F1379" s="14"/>
      <c r="G1379" s="14">
        <v>0</v>
      </c>
      <c r="H1379" s="14">
        <v>0.19794384207046001</v>
      </c>
      <c r="I1379" s="14">
        <v>0.19443352817057599</v>
      </c>
      <c r="J1379" s="14">
        <v>0.12147338028252</v>
      </c>
      <c r="K1379" s="14">
        <v>0.107395992757986</v>
      </c>
      <c r="L1379" s="14">
        <v>0.12843332365538701</v>
      </c>
      <c r="M1379" s="14"/>
      <c r="N1379" s="14">
        <v>0.16529463935473099</v>
      </c>
      <c r="O1379" s="14">
        <v>8.9557664744650503E-2</v>
      </c>
      <c r="P1379" s="14">
        <v>0.137189034785034</v>
      </c>
      <c r="Q1379" s="14">
        <v>0.245141048136722</v>
      </c>
      <c r="R1379" s="14"/>
      <c r="S1379" s="14">
        <v>0.221245281997975</v>
      </c>
      <c r="T1379" s="14">
        <v>0.117536754183533</v>
      </c>
      <c r="U1379" s="14">
        <v>0.125666339040366</v>
      </c>
      <c r="V1379" s="14">
        <v>0.20413466648578099</v>
      </c>
      <c r="W1379" s="14">
        <v>0.141525784588207</v>
      </c>
      <c r="X1379" s="14">
        <v>0.143655706433827</v>
      </c>
      <c r="Y1379" s="14">
        <v>0.16774550477332101</v>
      </c>
      <c r="Z1379" s="14">
        <v>0.14314993138211801</v>
      </c>
      <c r="AA1379" s="14">
        <v>0.112899125990747</v>
      </c>
      <c r="AB1379" s="14"/>
      <c r="AC1379" s="14">
        <v>0.20424831995140999</v>
      </c>
      <c r="AD1379" s="14">
        <v>8.3582963454334497E-2</v>
      </c>
      <c r="AE1379" s="14">
        <v>0.144259971014366</v>
      </c>
      <c r="AF1379" s="14">
        <v>0.25501705887202503</v>
      </c>
      <c r="AG1379" s="14">
        <v>0.36444354260534101</v>
      </c>
      <c r="AH1379" s="14"/>
      <c r="AI1379" s="14">
        <v>0.20721914003912001</v>
      </c>
      <c r="AJ1379" s="14">
        <v>0.15699960523190701</v>
      </c>
      <c r="AK1379" s="14">
        <v>0.19175352550466199</v>
      </c>
      <c r="AL1379" s="14">
        <v>8.8162736498212504E-2</v>
      </c>
      <c r="AM1379" s="14">
        <v>0.13163554732909899</v>
      </c>
      <c r="AN1379" s="14">
        <v>5.6221924396305203E-2</v>
      </c>
      <c r="AO1379" s="14"/>
      <c r="AP1379" s="14">
        <v>0.17644464909127799</v>
      </c>
      <c r="AQ1379" s="14">
        <v>0.12992668328728299</v>
      </c>
      <c r="AR1379" s="14"/>
      <c r="AS1379" s="14" t="s">
        <v>88</v>
      </c>
      <c r="AT1379" s="14" t="s">
        <v>88</v>
      </c>
      <c r="AU1379" s="14">
        <v>0.15607334630497</v>
      </c>
      <c r="AV1379" s="14"/>
      <c r="AW1379" s="14">
        <v>0.140521512612788</v>
      </c>
      <c r="AX1379" s="14">
        <v>0.21235721222168299</v>
      </c>
      <c r="AY1379" s="14"/>
      <c r="AZ1379" s="14">
        <v>0.168796351415545</v>
      </c>
      <c r="BA1379" s="14">
        <v>9.8774585490540606E-2</v>
      </c>
    </row>
    <row r="1380" spans="2:53" x14ac:dyDescent="0.35">
      <c r="B1380" t="s">
        <v>215</v>
      </c>
      <c r="C1380" s="14">
        <v>0.57446469435956504</v>
      </c>
      <c r="D1380" s="14">
        <v>0.57425565610183704</v>
      </c>
      <c r="E1380" s="14">
        <v>0.57609502361778697</v>
      </c>
      <c r="F1380" s="14"/>
      <c r="G1380" s="14">
        <v>0.53755186374684905</v>
      </c>
      <c r="H1380" s="14">
        <v>0.58608359929293097</v>
      </c>
      <c r="I1380" s="14">
        <v>0.58433688176285903</v>
      </c>
      <c r="J1380" s="14">
        <v>0.58112919977484401</v>
      </c>
      <c r="K1380" s="14">
        <v>0.48607345037090999</v>
      </c>
      <c r="L1380" s="14">
        <v>0.66153397279640502</v>
      </c>
      <c r="M1380" s="14"/>
      <c r="N1380" s="14">
        <v>0.56715756172292398</v>
      </c>
      <c r="O1380" s="14">
        <v>0.59661098327159601</v>
      </c>
      <c r="P1380" s="14">
        <v>0.64700028359485895</v>
      </c>
      <c r="Q1380" s="14">
        <v>0.46619399617688301</v>
      </c>
      <c r="R1380" s="14"/>
      <c r="S1380" s="14">
        <v>0.63012059966822798</v>
      </c>
      <c r="T1380" s="14">
        <v>0.56298240671922595</v>
      </c>
      <c r="U1380" s="14">
        <v>0.52764918566346897</v>
      </c>
      <c r="V1380" s="14">
        <v>0.55049853670787396</v>
      </c>
      <c r="W1380" s="14">
        <v>0.55148246120920996</v>
      </c>
      <c r="X1380" s="14">
        <v>0.65644658046564297</v>
      </c>
      <c r="Y1380" s="14">
        <v>0.59260936387763097</v>
      </c>
      <c r="Z1380" s="14">
        <v>0.51667982692213998</v>
      </c>
      <c r="AA1380" s="14">
        <v>0.53763765555716303</v>
      </c>
      <c r="AB1380" s="14"/>
      <c r="AC1380" s="14">
        <v>0.52842433411620604</v>
      </c>
      <c r="AD1380" s="14">
        <v>0.64555473889614501</v>
      </c>
      <c r="AE1380" s="14">
        <v>0.59597023986028697</v>
      </c>
      <c r="AF1380" s="14">
        <v>0.52115101870165503</v>
      </c>
      <c r="AG1380" s="14">
        <v>0.46628984169627502</v>
      </c>
      <c r="AH1380" s="14"/>
      <c r="AI1380" s="14">
        <v>0.52576220207291902</v>
      </c>
      <c r="AJ1380" s="14">
        <v>0.63942355352206204</v>
      </c>
      <c r="AK1380" s="14">
        <v>0.51937043998672405</v>
      </c>
      <c r="AL1380" s="14">
        <v>0.53865539813750096</v>
      </c>
      <c r="AM1380" s="14">
        <v>0.66474734158901605</v>
      </c>
      <c r="AN1380" s="14">
        <v>0.57655486213507501</v>
      </c>
      <c r="AO1380" s="14"/>
      <c r="AP1380" s="14">
        <v>0.57745554375694896</v>
      </c>
      <c r="AQ1380" s="14">
        <v>0.57167807502479895</v>
      </c>
      <c r="AR1380" s="14"/>
      <c r="AS1380" s="14" t="s">
        <v>88</v>
      </c>
      <c r="AT1380" s="14" t="s">
        <v>88</v>
      </c>
      <c r="AU1380" s="14">
        <v>0.57446469435956504</v>
      </c>
      <c r="AV1380" s="14"/>
      <c r="AW1380" s="14">
        <v>0.58029149971711103</v>
      </c>
      <c r="AX1380" s="14">
        <v>0.57964446512352397</v>
      </c>
      <c r="AY1380" s="14"/>
      <c r="AZ1380" s="14">
        <v>0.577941134811229</v>
      </c>
      <c r="BA1380" s="14">
        <v>0.55524879928028803</v>
      </c>
    </row>
    <row r="1381" spans="2:53" x14ac:dyDescent="0.35">
      <c r="B1381" t="s">
        <v>216</v>
      </c>
      <c r="C1381" s="14">
        <v>0.131814332427696</v>
      </c>
      <c r="D1381" s="14">
        <v>0.110492682220985</v>
      </c>
      <c r="E1381" s="14">
        <v>0.149759958424625</v>
      </c>
      <c r="F1381" s="14"/>
      <c r="G1381" s="14">
        <v>0</v>
      </c>
      <c r="H1381" s="14">
        <v>0.11510117121065699</v>
      </c>
      <c r="I1381" s="14">
        <v>0.114980763204793</v>
      </c>
      <c r="J1381" s="14">
        <v>0.14732935758836299</v>
      </c>
      <c r="K1381" s="14">
        <v>0.15115823683122401</v>
      </c>
      <c r="L1381" s="14">
        <v>0.177526451225891</v>
      </c>
      <c r="M1381" s="14"/>
      <c r="N1381" s="14">
        <v>0.115869248413989</v>
      </c>
      <c r="O1381" s="14">
        <v>0.14556012450781899</v>
      </c>
      <c r="P1381" s="14">
        <v>0.113853754669901</v>
      </c>
      <c r="Q1381" s="14">
        <v>0.1624613168322</v>
      </c>
      <c r="R1381" s="14"/>
      <c r="S1381" s="14">
        <v>7.5159639937320902E-2</v>
      </c>
      <c r="T1381" s="14">
        <v>0.16453904357142901</v>
      </c>
      <c r="U1381" s="14">
        <v>0.135584129632839</v>
      </c>
      <c r="V1381" s="14">
        <v>0.128615136085245</v>
      </c>
      <c r="W1381" s="14">
        <v>0.163356594490385</v>
      </c>
      <c r="X1381" s="14">
        <v>9.2588441847382297E-2</v>
      </c>
      <c r="Y1381" s="14">
        <v>9.67908578698186E-2</v>
      </c>
      <c r="Z1381" s="14">
        <v>0.155314523114926</v>
      </c>
      <c r="AA1381" s="14">
        <v>0.19363495824348401</v>
      </c>
      <c r="AB1381" s="14"/>
      <c r="AC1381" s="14">
        <v>0.11416817089218299</v>
      </c>
      <c r="AD1381" s="14">
        <v>0.14379956488790599</v>
      </c>
      <c r="AE1381" s="14">
        <v>0.14338595712368299</v>
      </c>
      <c r="AF1381" s="14">
        <v>9.6325840164094095E-2</v>
      </c>
      <c r="AG1381" s="14">
        <v>9.3084709999727094E-2</v>
      </c>
      <c r="AH1381" s="14"/>
      <c r="AI1381" s="14">
        <v>0.13423927966580501</v>
      </c>
      <c r="AJ1381" s="14">
        <v>0.14275876673261101</v>
      </c>
      <c r="AK1381" s="14">
        <v>0.119376989980643</v>
      </c>
      <c r="AL1381" s="14">
        <v>0.14752201257905101</v>
      </c>
      <c r="AM1381" s="14">
        <v>8.4950626525214998E-2</v>
      </c>
      <c r="AN1381" s="14">
        <v>0.13944107724830401</v>
      </c>
      <c r="AO1381" s="14"/>
      <c r="AP1381" s="14">
        <v>0.13064112493039801</v>
      </c>
      <c r="AQ1381" s="14">
        <v>0.131681126153536</v>
      </c>
      <c r="AR1381" s="14"/>
      <c r="AS1381" s="14" t="s">
        <v>88</v>
      </c>
      <c r="AT1381" s="14" t="s">
        <v>88</v>
      </c>
      <c r="AU1381" s="14">
        <v>0.131814332427696</v>
      </c>
      <c r="AV1381" s="14"/>
      <c r="AW1381" s="14">
        <v>0.137613025868249</v>
      </c>
      <c r="AX1381" s="14">
        <v>9.0393812424924599E-2</v>
      </c>
      <c r="AY1381" s="14"/>
      <c r="AZ1381" s="14">
        <v>0.123529573019647</v>
      </c>
      <c r="BA1381" s="14">
        <v>0.170900065531744</v>
      </c>
    </row>
    <row r="1382" spans="2:53" x14ac:dyDescent="0.35">
      <c r="B1382" t="s">
        <v>217</v>
      </c>
      <c r="C1382" s="14">
        <v>2.1448402006220699E-2</v>
      </c>
      <c r="D1382" s="14">
        <v>6.5656973132832298E-3</v>
      </c>
      <c r="E1382" s="14">
        <v>3.55399517319889E-2</v>
      </c>
      <c r="F1382" s="14"/>
      <c r="G1382" s="14">
        <v>0</v>
      </c>
      <c r="H1382" s="14">
        <v>1.5993441004050798E-2</v>
      </c>
      <c r="I1382" s="14">
        <v>1.8132833184774998E-2</v>
      </c>
      <c r="J1382" s="14">
        <v>2.14625875228379E-2</v>
      </c>
      <c r="K1382" s="14">
        <v>4.3517879604811002E-2</v>
      </c>
      <c r="L1382" s="14">
        <v>0</v>
      </c>
      <c r="M1382" s="14"/>
      <c r="N1382" s="14">
        <v>2.4179231575262899E-2</v>
      </c>
      <c r="O1382" s="14">
        <v>2.3518931400522799E-2</v>
      </c>
      <c r="P1382" s="14">
        <v>7.8421760770578993E-3</v>
      </c>
      <c r="Q1382" s="14">
        <v>3.1728805690297401E-2</v>
      </c>
      <c r="R1382" s="14"/>
      <c r="S1382" s="14">
        <v>1.40920853470295E-2</v>
      </c>
      <c r="T1382" s="14">
        <v>2.3797531275167001E-2</v>
      </c>
      <c r="U1382" s="14">
        <v>3.3626237869554598E-2</v>
      </c>
      <c r="V1382" s="14">
        <v>3.0601852782044098E-2</v>
      </c>
      <c r="W1382" s="14">
        <v>2.4194453792490699E-2</v>
      </c>
      <c r="X1382" s="14">
        <v>6.9429629264222198E-3</v>
      </c>
      <c r="Y1382" s="14">
        <v>6.9180497531793296E-3</v>
      </c>
      <c r="Z1382" s="14">
        <v>3.79889416530435E-2</v>
      </c>
      <c r="AA1382" s="14">
        <v>2.3929907278085801E-2</v>
      </c>
      <c r="AB1382" s="14"/>
      <c r="AC1382" s="14">
        <v>0</v>
      </c>
      <c r="AD1382" s="14">
        <v>2.2454610366170101E-2</v>
      </c>
      <c r="AE1382" s="14">
        <v>1.50826088848919E-2</v>
      </c>
      <c r="AF1382" s="14">
        <v>1.8497941895723201E-2</v>
      </c>
      <c r="AG1382" s="14">
        <v>1.43967234340191E-2</v>
      </c>
      <c r="AH1382" s="14"/>
      <c r="AI1382" s="14">
        <v>2.7061990765997301E-2</v>
      </c>
      <c r="AJ1382" s="14">
        <v>5.0803374277055601E-3</v>
      </c>
      <c r="AK1382" s="14">
        <v>9.4928058573880598E-3</v>
      </c>
      <c r="AL1382" s="14">
        <v>2.85664057334916E-2</v>
      </c>
      <c r="AM1382" s="14">
        <v>0</v>
      </c>
      <c r="AN1382" s="14">
        <v>6.6661772992830104E-2</v>
      </c>
      <c r="AO1382" s="14"/>
      <c r="AP1382" s="14">
        <v>1.9155055393109601E-2</v>
      </c>
      <c r="AQ1382" s="14">
        <v>2.4466356153874401E-2</v>
      </c>
      <c r="AR1382" s="14"/>
      <c r="AS1382" s="14" t="s">
        <v>88</v>
      </c>
      <c r="AT1382" s="14" t="s">
        <v>88</v>
      </c>
      <c r="AU1382" s="14">
        <v>2.1448402006220699E-2</v>
      </c>
      <c r="AV1382" s="14"/>
      <c r="AW1382" s="14">
        <v>1.8324486865830599E-2</v>
      </c>
      <c r="AX1382" s="14">
        <v>1.6416872152176801E-2</v>
      </c>
      <c r="AY1382" s="14"/>
      <c r="AZ1382" s="14">
        <v>1.8311566443707999E-2</v>
      </c>
      <c r="BA1382" s="14">
        <v>3.6030944667473502E-2</v>
      </c>
    </row>
    <row r="1383" spans="2:53" x14ac:dyDescent="0.35">
      <c r="B1383" t="s">
        <v>116</v>
      </c>
      <c r="C1383" s="14">
        <v>4.6106969190685201E-2</v>
      </c>
      <c r="D1383" s="14">
        <v>3.4983852451700499E-2</v>
      </c>
      <c r="E1383" s="14">
        <v>5.6713822668304402E-2</v>
      </c>
      <c r="F1383" s="14"/>
      <c r="G1383" s="14">
        <v>0</v>
      </c>
      <c r="H1383" s="14">
        <v>1.9204955023082799E-2</v>
      </c>
      <c r="I1383" s="14">
        <v>3.7221260275127697E-2</v>
      </c>
      <c r="J1383" s="14">
        <v>5.3306263034972899E-2</v>
      </c>
      <c r="K1383" s="14">
        <v>8.0667913612909897E-2</v>
      </c>
      <c r="L1383" s="14">
        <v>3.25062523223172E-2</v>
      </c>
      <c r="M1383" s="14"/>
      <c r="N1383" s="14">
        <v>5.0125695254447197E-2</v>
      </c>
      <c r="O1383" s="14">
        <v>5.8488588193598701E-2</v>
      </c>
      <c r="P1383" s="14">
        <v>5.0076532722438102E-2</v>
      </c>
      <c r="Q1383" s="14">
        <v>2.1580289886631899E-2</v>
      </c>
      <c r="R1383" s="14"/>
      <c r="S1383" s="14">
        <v>1.44088106873043E-2</v>
      </c>
      <c r="T1383" s="14">
        <v>4.0416544089087098E-2</v>
      </c>
      <c r="U1383" s="14">
        <v>8.5129311203607297E-2</v>
      </c>
      <c r="V1383" s="14">
        <v>5.0888060370989002E-2</v>
      </c>
      <c r="W1383" s="14">
        <v>4.5483571109045197E-2</v>
      </c>
      <c r="X1383" s="14">
        <v>2.9374589406288901E-2</v>
      </c>
      <c r="Y1383" s="14">
        <v>7.2517076834320904E-2</v>
      </c>
      <c r="Z1383" s="14">
        <v>7.7366647552197507E-2</v>
      </c>
      <c r="AA1383" s="14">
        <v>3.7664843296389403E-2</v>
      </c>
      <c r="AB1383" s="14"/>
      <c r="AC1383" s="14">
        <v>5.8527216009495897E-2</v>
      </c>
      <c r="AD1383" s="14">
        <v>4.6250110491532402E-2</v>
      </c>
      <c r="AE1383" s="14">
        <v>4.53515919257379E-2</v>
      </c>
      <c r="AF1383" s="14">
        <v>3.2090578610640498E-2</v>
      </c>
      <c r="AG1383" s="14">
        <v>1.4751186498254999E-2</v>
      </c>
      <c r="AH1383" s="14"/>
      <c r="AI1383" s="14">
        <v>3.1489579005480099E-2</v>
      </c>
      <c r="AJ1383" s="14">
        <v>2.3147222828323901E-2</v>
      </c>
      <c r="AK1383" s="14">
        <v>5.8393645125996201E-2</v>
      </c>
      <c r="AL1383" s="14">
        <v>9.1738105331926098E-2</v>
      </c>
      <c r="AM1383" s="14">
        <v>2.2046593036183199E-2</v>
      </c>
      <c r="AN1383" s="14">
        <v>0.11438838288374201</v>
      </c>
      <c r="AO1383" s="14"/>
      <c r="AP1383" s="14">
        <v>3.8885739092221601E-2</v>
      </c>
      <c r="AQ1383" s="14">
        <v>5.5568945808735802E-2</v>
      </c>
      <c r="AR1383" s="14"/>
      <c r="AS1383" s="14" t="s">
        <v>88</v>
      </c>
      <c r="AT1383" s="14" t="s">
        <v>88</v>
      </c>
      <c r="AU1383" s="14">
        <v>4.6106969190685201E-2</v>
      </c>
      <c r="AV1383" s="14"/>
      <c r="AW1383" s="14">
        <v>5.3789547108310298E-2</v>
      </c>
      <c r="AX1383" s="14">
        <v>2.3395873301884001E-2</v>
      </c>
      <c r="AY1383" s="14"/>
      <c r="AZ1383" s="14">
        <v>4.0377621041062899E-2</v>
      </c>
      <c r="BA1383" s="14">
        <v>7.2794305912277396E-2</v>
      </c>
    </row>
    <row r="1384" spans="2:53" x14ac:dyDescent="0.35">
      <c r="C1384" s="14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</row>
    <row r="1385" spans="2:53" x14ac:dyDescent="0.35">
      <c r="B1385" s="6" t="s">
        <v>350</v>
      </c>
      <c r="C1385" s="14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</row>
    <row r="1386" spans="2:53" x14ac:dyDescent="0.35">
      <c r="B1386" s="30" t="s">
        <v>463</v>
      </c>
      <c r="C1386" s="14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</row>
    <row r="1387" spans="2:53" x14ac:dyDescent="0.35">
      <c r="B1387" t="s">
        <v>220</v>
      </c>
      <c r="C1387" s="14">
        <v>0.202232381187752</v>
      </c>
      <c r="D1387" s="14">
        <v>0.247252285227784</v>
      </c>
      <c r="E1387" s="14">
        <v>0.15777732568647501</v>
      </c>
      <c r="F1387" s="14"/>
      <c r="G1387" s="14">
        <v>0</v>
      </c>
      <c r="H1387" s="14">
        <v>0.25297769770161299</v>
      </c>
      <c r="I1387" s="14">
        <v>0.21789459125847899</v>
      </c>
      <c r="J1387" s="14">
        <v>0.16637598795146</v>
      </c>
      <c r="K1387" s="14">
        <v>0.21766582455379899</v>
      </c>
      <c r="L1387" s="14">
        <v>0.34527978638520102</v>
      </c>
      <c r="M1387" s="14"/>
      <c r="N1387" s="14">
        <v>0.26124774591243</v>
      </c>
      <c r="O1387" s="14">
        <v>0.157675563381625</v>
      </c>
      <c r="P1387" s="14">
        <v>0.168985461506099</v>
      </c>
      <c r="Q1387" s="14">
        <v>0.210761646339232</v>
      </c>
      <c r="R1387" s="14"/>
      <c r="S1387" s="14">
        <v>0.29122553065818102</v>
      </c>
      <c r="T1387" s="14">
        <v>0.156187988383787</v>
      </c>
      <c r="U1387" s="14">
        <v>0.164258641042479</v>
      </c>
      <c r="V1387" s="14">
        <v>0.18906418844113901</v>
      </c>
      <c r="W1387" s="14">
        <v>0.10158549043331699</v>
      </c>
      <c r="X1387" s="14">
        <v>0.25151225786857201</v>
      </c>
      <c r="Y1387" s="14">
        <v>0.17416899901792099</v>
      </c>
      <c r="Z1387" s="14">
        <v>0.269816328485324</v>
      </c>
      <c r="AA1387" s="14">
        <v>0.196068970811971</v>
      </c>
      <c r="AB1387" s="14"/>
      <c r="AC1387" s="14">
        <v>0.16286530265964899</v>
      </c>
      <c r="AD1387" s="14">
        <v>0.14779352407445401</v>
      </c>
      <c r="AE1387" s="14">
        <v>0.16895849181071601</v>
      </c>
      <c r="AF1387" s="14">
        <v>0.32102361660165102</v>
      </c>
      <c r="AG1387" s="14">
        <v>0.50339238994410296</v>
      </c>
      <c r="AH1387" s="14"/>
      <c r="AI1387" s="14">
        <v>0.26579999673055499</v>
      </c>
      <c r="AJ1387" s="14">
        <v>0.206894811671476</v>
      </c>
      <c r="AK1387" s="14">
        <v>0.179519198598598</v>
      </c>
      <c r="AL1387" s="14">
        <v>0.12242057784285799</v>
      </c>
      <c r="AM1387" s="14">
        <v>0.27628755502258601</v>
      </c>
      <c r="AN1387" s="14">
        <v>5.7098315346840997E-2</v>
      </c>
      <c r="AO1387" s="14"/>
      <c r="AP1387" s="14">
        <v>0.232916362483329</v>
      </c>
      <c r="AQ1387" s="14">
        <v>0.16278667975571701</v>
      </c>
      <c r="AR1387" s="14"/>
      <c r="AS1387" s="14" t="s">
        <v>88</v>
      </c>
      <c r="AT1387" s="14" t="s">
        <v>88</v>
      </c>
      <c r="AU1387" s="14">
        <v>0.202232381187752</v>
      </c>
      <c r="AV1387" s="14"/>
      <c r="AW1387" s="14">
        <v>0.18628102821707099</v>
      </c>
      <c r="AX1387" s="14">
        <v>0.33424394975477301</v>
      </c>
      <c r="AY1387" s="14"/>
      <c r="AZ1387" s="14">
        <v>0.22955284425671199</v>
      </c>
      <c r="BA1387" s="14">
        <v>7.81826630845813E-2</v>
      </c>
    </row>
    <row r="1388" spans="2:53" x14ac:dyDescent="0.35">
      <c r="B1388" t="s">
        <v>221</v>
      </c>
      <c r="C1388" s="14">
        <v>0.54271816490353797</v>
      </c>
      <c r="D1388" s="14">
        <v>0.54313792212475898</v>
      </c>
      <c r="E1388" s="14">
        <v>0.54367618563501896</v>
      </c>
      <c r="F1388" s="14"/>
      <c r="G1388" s="14">
        <v>0.53755186374684905</v>
      </c>
      <c r="H1388" s="14">
        <v>0.48675851286937999</v>
      </c>
      <c r="I1388" s="14">
        <v>0.54505427784870997</v>
      </c>
      <c r="J1388" s="14">
        <v>0.55815332075166002</v>
      </c>
      <c r="K1388" s="14">
        <v>0.53139719682485698</v>
      </c>
      <c r="L1388" s="14">
        <v>0.47659919095578201</v>
      </c>
      <c r="M1388" s="14"/>
      <c r="N1388" s="14">
        <v>0.522113201713437</v>
      </c>
      <c r="O1388" s="14">
        <v>0.52627859914394104</v>
      </c>
      <c r="P1388" s="14">
        <v>0.63123483215418597</v>
      </c>
      <c r="Q1388" s="14">
        <v>0.47928698523755903</v>
      </c>
      <c r="R1388" s="14"/>
      <c r="S1388" s="14">
        <v>0.53193815263934996</v>
      </c>
      <c r="T1388" s="14">
        <v>0.57462279239344105</v>
      </c>
      <c r="U1388" s="14">
        <v>0.51871164052283003</v>
      </c>
      <c r="V1388" s="14">
        <v>0.58716372767009495</v>
      </c>
      <c r="W1388" s="14">
        <v>0.52455180758141096</v>
      </c>
      <c r="X1388" s="14">
        <v>0.57830890524255896</v>
      </c>
      <c r="Y1388" s="14">
        <v>0.59093458695547196</v>
      </c>
      <c r="Z1388" s="14">
        <v>0.39924751085620902</v>
      </c>
      <c r="AA1388" s="14">
        <v>0.51563419039369995</v>
      </c>
      <c r="AB1388" s="14"/>
      <c r="AC1388" s="14">
        <v>0.51391825381709599</v>
      </c>
      <c r="AD1388" s="14">
        <v>0.632187274841847</v>
      </c>
      <c r="AE1388" s="14">
        <v>0.60298458468880101</v>
      </c>
      <c r="AF1388" s="14">
        <v>0.48810940973470401</v>
      </c>
      <c r="AG1388" s="14">
        <v>0.37121905588438198</v>
      </c>
      <c r="AH1388" s="14"/>
      <c r="AI1388" s="14">
        <v>0.49806755702301198</v>
      </c>
      <c r="AJ1388" s="14">
        <v>0.62017308026003803</v>
      </c>
      <c r="AK1388" s="14">
        <v>0.53065512777554202</v>
      </c>
      <c r="AL1388" s="14">
        <v>0.56892352004830304</v>
      </c>
      <c r="AM1388" s="14">
        <v>0.44723556172963602</v>
      </c>
      <c r="AN1388" s="14">
        <v>0.52685422542306604</v>
      </c>
      <c r="AO1388" s="14"/>
      <c r="AP1388" s="14">
        <v>0.54772581744134097</v>
      </c>
      <c r="AQ1388" s="14">
        <v>0.535345310929219</v>
      </c>
      <c r="AR1388" s="14"/>
      <c r="AS1388" s="14" t="s">
        <v>88</v>
      </c>
      <c r="AT1388" s="14" t="s">
        <v>88</v>
      </c>
      <c r="AU1388" s="14">
        <v>0.54271816490353797</v>
      </c>
      <c r="AV1388" s="14"/>
      <c r="AW1388" s="14">
        <v>0.56580066835433696</v>
      </c>
      <c r="AX1388" s="14">
        <v>0.44778597100376</v>
      </c>
      <c r="AY1388" s="14"/>
      <c r="AZ1388" s="14">
        <v>0.55697876204899999</v>
      </c>
      <c r="BA1388" s="14">
        <v>0.47368806446462097</v>
      </c>
    </row>
    <row r="1389" spans="2:53" x14ac:dyDescent="0.35">
      <c r="B1389" t="s">
        <v>222</v>
      </c>
      <c r="C1389" s="14">
        <v>0.14219839282961899</v>
      </c>
      <c r="D1389" s="14">
        <v>0.101376069586466</v>
      </c>
      <c r="E1389" s="14">
        <v>0.18105860832398801</v>
      </c>
      <c r="F1389" s="14"/>
      <c r="G1389" s="14">
        <v>0.46244813625315101</v>
      </c>
      <c r="H1389" s="14">
        <v>0.221105455336572</v>
      </c>
      <c r="I1389" s="14">
        <v>0.13530072433742599</v>
      </c>
      <c r="J1389" s="14">
        <v>0.14967850503718999</v>
      </c>
      <c r="K1389" s="14">
        <v>7.0450766425448702E-2</v>
      </c>
      <c r="L1389" s="14">
        <v>0.109058453772003</v>
      </c>
      <c r="M1389" s="14"/>
      <c r="N1389" s="14">
        <v>0.11470304141645001</v>
      </c>
      <c r="O1389" s="14">
        <v>0.16908613347015899</v>
      </c>
      <c r="P1389" s="14">
        <v>0.107830292904805</v>
      </c>
      <c r="Q1389" s="14">
        <v>0.194304063723958</v>
      </c>
      <c r="R1389" s="14"/>
      <c r="S1389" s="14">
        <v>0.114495532537748</v>
      </c>
      <c r="T1389" s="14">
        <v>0.12712436300692401</v>
      </c>
      <c r="U1389" s="14">
        <v>0.17200737347407999</v>
      </c>
      <c r="V1389" s="14">
        <v>0.146740676398803</v>
      </c>
      <c r="W1389" s="14">
        <v>0.24959580441505999</v>
      </c>
      <c r="X1389" s="14">
        <v>8.3658173597802199E-2</v>
      </c>
      <c r="Y1389" s="14">
        <v>0.16094843379225801</v>
      </c>
      <c r="Z1389" s="14">
        <v>0.157031049814255</v>
      </c>
      <c r="AA1389" s="14">
        <v>0.12307759184527101</v>
      </c>
      <c r="AB1389" s="14"/>
      <c r="AC1389" s="14">
        <v>0.21289709654181199</v>
      </c>
      <c r="AD1389" s="14">
        <v>0.12888745992533401</v>
      </c>
      <c r="AE1389" s="14">
        <v>0.11553400355691</v>
      </c>
      <c r="AF1389" s="14">
        <v>6.8915262478963804E-2</v>
      </c>
      <c r="AG1389" s="14">
        <v>0.12538855417151601</v>
      </c>
      <c r="AH1389" s="14"/>
      <c r="AI1389" s="14">
        <v>0.12651057076172401</v>
      </c>
      <c r="AJ1389" s="14">
        <v>0.113875664614071</v>
      </c>
      <c r="AK1389" s="14">
        <v>8.9453295617923798E-2</v>
      </c>
      <c r="AL1389" s="14">
        <v>0.153224744359853</v>
      </c>
      <c r="AM1389" s="14">
        <v>0.22771535412816701</v>
      </c>
      <c r="AN1389" s="14">
        <v>0.239371137065929</v>
      </c>
      <c r="AO1389" s="14"/>
      <c r="AP1389" s="14">
        <v>0.116082861040693</v>
      </c>
      <c r="AQ1389" s="14">
        <v>0.176370743156017</v>
      </c>
      <c r="AR1389" s="14"/>
      <c r="AS1389" s="14" t="s">
        <v>88</v>
      </c>
      <c r="AT1389" s="14" t="s">
        <v>88</v>
      </c>
      <c r="AU1389" s="14">
        <v>0.14219839282961899</v>
      </c>
      <c r="AV1389" s="14"/>
      <c r="AW1389" s="14">
        <v>0.13561956253482699</v>
      </c>
      <c r="AX1389" s="14">
        <v>0.142572809571099</v>
      </c>
      <c r="AY1389" s="14"/>
      <c r="AZ1389" s="14">
        <v>0.11411178022861999</v>
      </c>
      <c r="BA1389" s="14">
        <v>0.27238865060974998</v>
      </c>
    </row>
    <row r="1390" spans="2:53" x14ac:dyDescent="0.35">
      <c r="B1390" t="s">
        <v>223</v>
      </c>
      <c r="C1390" s="14">
        <v>2.2196381575114402E-2</v>
      </c>
      <c r="D1390" s="14">
        <v>1.7613315077113501E-2</v>
      </c>
      <c r="E1390" s="14">
        <v>2.65747122013326E-2</v>
      </c>
      <c r="F1390" s="14"/>
      <c r="G1390" s="14">
        <v>0</v>
      </c>
      <c r="H1390" s="14">
        <v>1.5993441004050798E-2</v>
      </c>
      <c r="I1390" s="14">
        <v>2.29515626612459E-2</v>
      </c>
      <c r="J1390" s="14">
        <v>2.9578934474880001E-2</v>
      </c>
      <c r="K1390" s="14">
        <v>0</v>
      </c>
      <c r="L1390" s="14">
        <v>0</v>
      </c>
      <c r="M1390" s="14"/>
      <c r="N1390" s="14">
        <v>8.0341184874216792E-3</v>
      </c>
      <c r="O1390" s="14">
        <v>2.2739341543650898E-2</v>
      </c>
      <c r="P1390" s="14">
        <v>2.6827122839753598E-2</v>
      </c>
      <c r="Q1390" s="14">
        <v>3.69760898182225E-2</v>
      </c>
      <c r="R1390" s="14"/>
      <c r="S1390" s="14">
        <v>2.6775439411188501E-2</v>
      </c>
      <c r="T1390" s="14">
        <v>2.51392144907846E-2</v>
      </c>
      <c r="U1390" s="14">
        <v>2.27674041326952E-2</v>
      </c>
      <c r="V1390" s="14">
        <v>0</v>
      </c>
      <c r="W1390" s="14">
        <v>1.03510334184639E-2</v>
      </c>
      <c r="X1390" s="14">
        <v>1.13562835178753E-2</v>
      </c>
      <c r="Y1390" s="14">
        <v>1.4375640643384599E-2</v>
      </c>
      <c r="Z1390" s="14">
        <v>2.5737188373113399E-2</v>
      </c>
      <c r="AA1390" s="14">
        <v>5.1235696562801698E-2</v>
      </c>
      <c r="AB1390" s="14"/>
      <c r="AC1390" s="14">
        <v>1.2739162689657101E-2</v>
      </c>
      <c r="AD1390" s="14">
        <v>2.1902968034859201E-2</v>
      </c>
      <c r="AE1390" s="14">
        <v>8.7857806966178294E-3</v>
      </c>
      <c r="AF1390" s="14">
        <v>2.5218411168774699E-2</v>
      </c>
      <c r="AG1390" s="14">
        <v>0</v>
      </c>
      <c r="AH1390" s="14"/>
      <c r="AI1390" s="14">
        <v>3.7618056295719599E-2</v>
      </c>
      <c r="AJ1390" s="14">
        <v>1.34610472897741E-3</v>
      </c>
      <c r="AK1390" s="14">
        <v>2.5273364093915E-2</v>
      </c>
      <c r="AL1390" s="14">
        <v>2.69150276818493E-2</v>
      </c>
      <c r="AM1390" s="14">
        <v>1.53410916131451E-2</v>
      </c>
      <c r="AN1390" s="14">
        <v>1.5724071550555701E-2</v>
      </c>
      <c r="AO1390" s="14"/>
      <c r="AP1390" s="14">
        <v>2.12720997628612E-2</v>
      </c>
      <c r="AQ1390" s="14">
        <v>2.3438552426948301E-2</v>
      </c>
      <c r="AR1390" s="14"/>
      <c r="AS1390" s="14" t="s">
        <v>88</v>
      </c>
      <c r="AT1390" s="14" t="s">
        <v>88</v>
      </c>
      <c r="AU1390" s="14">
        <v>2.2196381575114402E-2</v>
      </c>
      <c r="AV1390" s="14"/>
      <c r="AW1390" s="14">
        <v>2.3675422465013401E-2</v>
      </c>
      <c r="AX1390" s="14">
        <v>1.41384650862637E-3</v>
      </c>
      <c r="AY1390" s="14"/>
      <c r="AZ1390" s="14">
        <v>1.4975130099175501E-2</v>
      </c>
      <c r="BA1390" s="14">
        <v>5.5559940062799899E-2</v>
      </c>
    </row>
    <row r="1391" spans="2:53" x14ac:dyDescent="0.35">
      <c r="B1391" t="s">
        <v>116</v>
      </c>
      <c r="C1391" s="14">
        <v>2.42981482131925E-2</v>
      </c>
      <c r="D1391" s="14">
        <v>8.7932574039278396E-3</v>
      </c>
      <c r="E1391" s="14">
        <v>3.8983681507247597E-2</v>
      </c>
      <c r="F1391" s="14"/>
      <c r="G1391" s="14">
        <v>0</v>
      </c>
      <c r="H1391" s="14">
        <v>1.9204955023082799E-2</v>
      </c>
      <c r="I1391" s="14">
        <v>2.8805676559571902E-2</v>
      </c>
      <c r="J1391" s="14">
        <v>2.8133745379361901E-2</v>
      </c>
      <c r="K1391" s="14">
        <v>0</v>
      </c>
      <c r="L1391" s="14">
        <v>0</v>
      </c>
      <c r="M1391" s="14"/>
      <c r="N1391" s="14">
        <v>1.6225907894944901E-2</v>
      </c>
      <c r="O1391" s="14">
        <v>2.2624309707520301E-2</v>
      </c>
      <c r="P1391" s="14">
        <v>4.3218157657380303E-2</v>
      </c>
      <c r="Q1391" s="14">
        <v>1.5555903064459401E-2</v>
      </c>
      <c r="R1391" s="14"/>
      <c r="S1391" s="14">
        <v>7.3307857071331197E-3</v>
      </c>
      <c r="T1391" s="14">
        <v>1.8138533745678299E-2</v>
      </c>
      <c r="U1391" s="14">
        <v>3.9413576917371497E-2</v>
      </c>
      <c r="V1391" s="14">
        <v>2.3843121580154201E-2</v>
      </c>
      <c r="W1391" s="14">
        <v>2.96076959226238E-2</v>
      </c>
      <c r="X1391" s="14">
        <v>2.2431626479866702E-2</v>
      </c>
      <c r="Y1391" s="14">
        <v>9.2521658643148208E-3</v>
      </c>
      <c r="Z1391" s="14">
        <v>7.86677930955237E-2</v>
      </c>
      <c r="AA1391" s="14">
        <v>2.6594128303061199E-2</v>
      </c>
      <c r="AB1391" s="14"/>
      <c r="AC1391" s="14">
        <v>2.48717477294262E-2</v>
      </c>
      <c r="AD1391" s="14">
        <v>1.9568238800594301E-2</v>
      </c>
      <c r="AE1391" s="14">
        <v>2.8843565238847499E-2</v>
      </c>
      <c r="AF1391" s="14">
        <v>1.73652551930122E-2</v>
      </c>
      <c r="AG1391" s="14">
        <v>0</v>
      </c>
      <c r="AH1391" s="14"/>
      <c r="AI1391" s="14">
        <v>1.26990341350675E-2</v>
      </c>
      <c r="AJ1391" s="14">
        <v>1.22754130285181E-2</v>
      </c>
      <c r="AK1391" s="14">
        <v>4.8538531049504403E-2</v>
      </c>
      <c r="AL1391" s="14">
        <v>4.0149888009480598E-2</v>
      </c>
      <c r="AM1391" s="14">
        <v>0</v>
      </c>
      <c r="AN1391" s="14">
        <v>6.7514861470827095E-2</v>
      </c>
      <c r="AO1391" s="14"/>
      <c r="AP1391" s="14">
        <v>2.0948934070694002E-2</v>
      </c>
      <c r="AQ1391" s="14">
        <v>2.86921811710527E-2</v>
      </c>
      <c r="AR1391" s="14"/>
      <c r="AS1391" s="14" t="s">
        <v>88</v>
      </c>
      <c r="AT1391" s="14" t="s">
        <v>88</v>
      </c>
      <c r="AU1391" s="14">
        <v>2.42981482131925E-2</v>
      </c>
      <c r="AV1391" s="14"/>
      <c r="AW1391" s="14">
        <v>2.1728514290592301E-2</v>
      </c>
      <c r="AX1391" s="14">
        <v>1.11823672641937E-2</v>
      </c>
      <c r="AY1391" s="14"/>
      <c r="AZ1391" s="14">
        <v>1.7645588708710701E-2</v>
      </c>
      <c r="BA1391" s="14">
        <v>5.5063511095894302E-2</v>
      </c>
    </row>
    <row r="1392" spans="2:53" x14ac:dyDescent="0.35">
      <c r="B1392" t="s">
        <v>224</v>
      </c>
      <c r="C1392" s="14">
        <v>0.74495054609128997</v>
      </c>
      <c r="D1392" s="14">
        <v>0.79039020735254295</v>
      </c>
      <c r="E1392" s="14">
        <v>0.70145351132149403</v>
      </c>
      <c r="F1392" s="14"/>
      <c r="G1392" s="14">
        <v>0.53755186374684905</v>
      </c>
      <c r="H1392" s="14">
        <v>0.73973621057099304</v>
      </c>
      <c r="I1392" s="14">
        <v>0.76294886910718895</v>
      </c>
      <c r="J1392" s="14">
        <v>0.72452930870312005</v>
      </c>
      <c r="K1392" s="14">
        <v>0.74906302137865599</v>
      </c>
      <c r="L1392" s="14">
        <v>0.82187897734098403</v>
      </c>
      <c r="M1392" s="14"/>
      <c r="N1392" s="14">
        <v>0.78336094762586705</v>
      </c>
      <c r="O1392" s="14">
        <v>0.68395416252556596</v>
      </c>
      <c r="P1392" s="14">
        <v>0.80022029366028502</v>
      </c>
      <c r="Q1392" s="14">
        <v>0.69004863157679097</v>
      </c>
      <c r="R1392" s="14"/>
      <c r="S1392" s="14">
        <v>0.82316368329753098</v>
      </c>
      <c r="T1392" s="14">
        <v>0.73081078077722905</v>
      </c>
      <c r="U1392" s="14">
        <v>0.68297028156530903</v>
      </c>
      <c r="V1392" s="14">
        <v>0.77622791611123398</v>
      </c>
      <c r="W1392" s="14">
        <v>0.62613729801472695</v>
      </c>
      <c r="X1392" s="14">
        <v>0.82982116311113097</v>
      </c>
      <c r="Y1392" s="14">
        <v>0.76510358597339301</v>
      </c>
      <c r="Z1392" s="14">
        <v>0.66906383934153302</v>
      </c>
      <c r="AA1392" s="14">
        <v>0.71170316120567101</v>
      </c>
      <c r="AB1392" s="14"/>
      <c r="AC1392" s="14">
        <v>0.67678355647674504</v>
      </c>
      <c r="AD1392" s="14">
        <v>0.77998079891630201</v>
      </c>
      <c r="AE1392" s="14">
        <v>0.77194307649951699</v>
      </c>
      <c r="AF1392" s="14">
        <v>0.80913302633635498</v>
      </c>
      <c r="AG1392" s="14">
        <v>0.87461144582848405</v>
      </c>
      <c r="AH1392" s="14"/>
      <c r="AI1392" s="14">
        <v>0.76386755375356696</v>
      </c>
      <c r="AJ1392" s="14">
        <v>0.82706789193151298</v>
      </c>
      <c r="AK1392" s="14">
        <v>0.71017432637414002</v>
      </c>
      <c r="AL1392" s="14">
        <v>0.69134409789116102</v>
      </c>
      <c r="AM1392" s="14">
        <v>0.72352311675222103</v>
      </c>
      <c r="AN1392" s="14">
        <v>0.58395254076990699</v>
      </c>
      <c r="AO1392" s="14"/>
      <c r="AP1392" s="14">
        <v>0.78064217992467</v>
      </c>
      <c r="AQ1392" s="14">
        <v>0.69813199068493503</v>
      </c>
      <c r="AR1392" s="14"/>
      <c r="AS1392" s="14" t="s">
        <v>88</v>
      </c>
      <c r="AT1392" s="14" t="s">
        <v>88</v>
      </c>
      <c r="AU1392" s="14">
        <v>0.74495054609128997</v>
      </c>
      <c r="AV1392" s="14"/>
      <c r="AW1392" s="14">
        <v>0.752081696571408</v>
      </c>
      <c r="AX1392" s="14">
        <v>0.78202992075853195</v>
      </c>
      <c r="AY1392" s="14"/>
      <c r="AZ1392" s="14">
        <v>0.78653160630571195</v>
      </c>
      <c r="BA1392" s="14">
        <v>0.55187072754920297</v>
      </c>
    </row>
    <row r="1393" spans="2:53" x14ac:dyDescent="0.35"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</row>
    <row r="1394" spans="2:53" x14ac:dyDescent="0.35">
      <c r="B1394" s="6" t="s">
        <v>351</v>
      </c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</row>
    <row r="1395" spans="2:53" x14ac:dyDescent="0.35">
      <c r="B1395" s="30" t="s">
        <v>463</v>
      </c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</row>
    <row r="1396" spans="2:53" x14ac:dyDescent="0.35">
      <c r="B1396" t="s">
        <v>226</v>
      </c>
      <c r="C1396" s="14">
        <v>0.182333871610068</v>
      </c>
      <c r="D1396" s="14">
        <v>0.22828189060219201</v>
      </c>
      <c r="E1396" s="14">
        <v>0.13944849979776699</v>
      </c>
      <c r="F1396" s="14"/>
      <c r="G1396" s="14">
        <v>0</v>
      </c>
      <c r="H1396" s="14">
        <v>0.230282520848964</v>
      </c>
      <c r="I1396" s="14">
        <v>0.21519084350866199</v>
      </c>
      <c r="J1396" s="14">
        <v>0.14539807228221099</v>
      </c>
      <c r="K1396" s="14">
        <v>0.110294843187443</v>
      </c>
      <c r="L1396" s="14">
        <v>0.47371311004058803</v>
      </c>
      <c r="M1396" s="14"/>
      <c r="N1396" s="14">
        <v>0.198571409810918</v>
      </c>
      <c r="O1396" s="14">
        <v>0.14088276112949799</v>
      </c>
      <c r="P1396" s="14">
        <v>0.16461378480740299</v>
      </c>
      <c r="Q1396" s="14">
        <v>0.230794824531207</v>
      </c>
      <c r="R1396" s="14"/>
      <c r="S1396" s="14">
        <v>0.26510023567375102</v>
      </c>
      <c r="T1396" s="14">
        <v>0.12648262621072801</v>
      </c>
      <c r="U1396" s="14">
        <v>0.184992929147166</v>
      </c>
      <c r="V1396" s="14">
        <v>0.185036515022937</v>
      </c>
      <c r="W1396" s="14">
        <v>0.139199832160746</v>
      </c>
      <c r="X1396" s="14">
        <v>0.21073556860946899</v>
      </c>
      <c r="Y1396" s="14">
        <v>9.3941646000218704E-2</v>
      </c>
      <c r="Z1396" s="14">
        <v>0.216881385901813</v>
      </c>
      <c r="AA1396" s="14">
        <v>0.193155625499629</v>
      </c>
      <c r="AB1396" s="14"/>
      <c r="AC1396" s="14">
        <v>0.15716815529636699</v>
      </c>
      <c r="AD1396" s="14">
        <v>0.14018372432425499</v>
      </c>
      <c r="AE1396" s="14">
        <v>0.16580685244485299</v>
      </c>
      <c r="AF1396" s="14">
        <v>0.32093459561245102</v>
      </c>
      <c r="AG1396" s="14">
        <v>0.39449718854497401</v>
      </c>
      <c r="AH1396" s="14"/>
      <c r="AI1396" s="14">
        <v>0.247701502913208</v>
      </c>
      <c r="AJ1396" s="14">
        <v>0.16705339635264299</v>
      </c>
      <c r="AK1396" s="14">
        <v>0.18258006100509999</v>
      </c>
      <c r="AL1396" s="14">
        <v>0.11165806636165899</v>
      </c>
      <c r="AM1396" s="14">
        <v>0.147431172054795</v>
      </c>
      <c r="AN1396" s="14">
        <v>8.2522653537945204E-2</v>
      </c>
      <c r="AO1396" s="14"/>
      <c r="AP1396" s="14">
        <v>0.21975362408266999</v>
      </c>
      <c r="AQ1396" s="14">
        <v>0.13410637324688299</v>
      </c>
      <c r="AR1396" s="14"/>
      <c r="AS1396" s="14" t="s">
        <v>88</v>
      </c>
      <c r="AT1396" s="14" t="s">
        <v>88</v>
      </c>
      <c r="AU1396" s="14">
        <v>0.182333871610068</v>
      </c>
      <c r="AV1396" s="14"/>
      <c r="AW1396" s="14">
        <v>0.15858982015800099</v>
      </c>
      <c r="AX1396" s="14">
        <v>0.30067677690371097</v>
      </c>
      <c r="AY1396" s="14"/>
      <c r="AZ1396" s="14">
        <v>0.20664538903965199</v>
      </c>
      <c r="BA1396" s="14">
        <v>7.1964450885389095E-2</v>
      </c>
    </row>
    <row r="1397" spans="2:53" x14ac:dyDescent="0.35">
      <c r="B1397" t="s">
        <v>227</v>
      </c>
      <c r="C1397" s="14">
        <v>0.37848568948401901</v>
      </c>
      <c r="D1397" s="14">
        <v>0.42715004888471497</v>
      </c>
      <c r="E1397" s="14">
        <v>0.33352749525590297</v>
      </c>
      <c r="F1397" s="14"/>
      <c r="G1397" s="14">
        <v>0</v>
      </c>
      <c r="H1397" s="14">
        <v>0.35185875233837299</v>
      </c>
      <c r="I1397" s="14">
        <v>0.38331955497051501</v>
      </c>
      <c r="J1397" s="14">
        <v>0.36570606793501598</v>
      </c>
      <c r="K1397" s="14">
        <v>0.48822748197479299</v>
      </c>
      <c r="L1397" s="14">
        <v>8.5852815891053896E-2</v>
      </c>
      <c r="M1397" s="14"/>
      <c r="N1397" s="14">
        <v>0.40546369335091398</v>
      </c>
      <c r="O1397" s="14">
        <v>0.36850778331456202</v>
      </c>
      <c r="P1397" s="14">
        <v>0.45611372385010601</v>
      </c>
      <c r="Q1397" s="14">
        <v>0.253887136007026</v>
      </c>
      <c r="R1397" s="14"/>
      <c r="S1397" s="14">
        <v>0.384523982500726</v>
      </c>
      <c r="T1397" s="14">
        <v>0.41954421242296402</v>
      </c>
      <c r="U1397" s="14">
        <v>0.29859654485104198</v>
      </c>
      <c r="V1397" s="14">
        <v>0.40694215623088598</v>
      </c>
      <c r="W1397" s="14">
        <v>0.30001000136752698</v>
      </c>
      <c r="X1397" s="14">
        <v>0.37899969478057799</v>
      </c>
      <c r="Y1397" s="14">
        <v>0.48778582307555302</v>
      </c>
      <c r="Z1397" s="14">
        <v>0.32856211602950303</v>
      </c>
      <c r="AA1397" s="14">
        <v>0.34722281212152101</v>
      </c>
      <c r="AB1397" s="14"/>
      <c r="AC1397" s="14">
        <v>0.31408658884132301</v>
      </c>
      <c r="AD1397" s="14">
        <v>0.43651993189168198</v>
      </c>
      <c r="AE1397" s="14">
        <v>0.40919913304712102</v>
      </c>
      <c r="AF1397" s="14">
        <v>0.39296993350784598</v>
      </c>
      <c r="AG1397" s="14">
        <v>0.34340173961722897</v>
      </c>
      <c r="AH1397" s="14"/>
      <c r="AI1397" s="14">
        <v>0.379938408285172</v>
      </c>
      <c r="AJ1397" s="14">
        <v>0.46331242227244501</v>
      </c>
      <c r="AK1397" s="14">
        <v>0.35214151279421801</v>
      </c>
      <c r="AL1397" s="14">
        <v>0.36541230143682701</v>
      </c>
      <c r="AM1397" s="14">
        <v>0.28359420446786199</v>
      </c>
      <c r="AN1397" s="14">
        <v>0.334056686959952</v>
      </c>
      <c r="AO1397" s="14"/>
      <c r="AP1397" s="14">
        <v>0.39494809265052</v>
      </c>
      <c r="AQ1397" s="14">
        <v>0.35592990313783401</v>
      </c>
      <c r="AR1397" s="14"/>
      <c r="AS1397" s="14" t="s">
        <v>88</v>
      </c>
      <c r="AT1397" s="14" t="s">
        <v>88</v>
      </c>
      <c r="AU1397" s="14">
        <v>0.37848568948401901</v>
      </c>
      <c r="AV1397" s="14"/>
      <c r="AW1397" s="14">
        <v>0.38775207116910398</v>
      </c>
      <c r="AX1397" s="14">
        <v>0.409823846391491</v>
      </c>
      <c r="AY1397" s="14"/>
      <c r="AZ1397" s="14">
        <v>0.40189761710404198</v>
      </c>
      <c r="BA1397" s="14">
        <v>0.26613991055611103</v>
      </c>
    </row>
    <row r="1398" spans="2:53" x14ac:dyDescent="0.35">
      <c r="B1398" t="s">
        <v>228</v>
      </c>
      <c r="C1398" s="14">
        <v>0.27119741263029301</v>
      </c>
      <c r="D1398" s="14">
        <v>0.21364064756825099</v>
      </c>
      <c r="E1398" s="14">
        <v>0.32366936790650203</v>
      </c>
      <c r="F1398" s="14"/>
      <c r="G1398" s="14">
        <v>1</v>
      </c>
      <c r="H1398" s="14">
        <v>0.31151586531862402</v>
      </c>
      <c r="I1398" s="14">
        <v>0.27406681441548902</v>
      </c>
      <c r="J1398" s="14">
        <v>0.27103399206802598</v>
      </c>
      <c r="K1398" s="14">
        <v>0.177634471283662</v>
      </c>
      <c r="L1398" s="14">
        <v>0.44043407406835799</v>
      </c>
      <c r="M1398" s="14"/>
      <c r="N1398" s="14">
        <v>0.246676031034506</v>
      </c>
      <c r="O1398" s="14">
        <v>0.280264351758508</v>
      </c>
      <c r="P1398" s="14">
        <v>0.240842137090402</v>
      </c>
      <c r="Q1398" s="14">
        <v>0.331649924496699</v>
      </c>
      <c r="R1398" s="14"/>
      <c r="S1398" s="14">
        <v>0.23456237701340199</v>
      </c>
      <c r="T1398" s="14">
        <v>0.30970528925160501</v>
      </c>
      <c r="U1398" s="14">
        <v>0.314213492414472</v>
      </c>
      <c r="V1398" s="14">
        <v>0.273038065905296</v>
      </c>
      <c r="W1398" s="14">
        <v>0.41029635966392403</v>
      </c>
      <c r="X1398" s="14">
        <v>0.25932880442272099</v>
      </c>
      <c r="Y1398" s="14">
        <v>0.256511487895977</v>
      </c>
      <c r="Z1398" s="14">
        <v>0.13582412476985201</v>
      </c>
      <c r="AA1398" s="14">
        <v>0.23678278134216099</v>
      </c>
      <c r="AB1398" s="14"/>
      <c r="AC1398" s="14">
        <v>0.33998794602186799</v>
      </c>
      <c r="AD1398" s="14">
        <v>0.27713136316655801</v>
      </c>
      <c r="AE1398" s="14">
        <v>0.27354425923963699</v>
      </c>
      <c r="AF1398" s="14">
        <v>0.14449825772597</v>
      </c>
      <c r="AG1398" s="14">
        <v>0.18635131438255001</v>
      </c>
      <c r="AH1398" s="14"/>
      <c r="AI1398" s="14">
        <v>0.23991571371742601</v>
      </c>
      <c r="AJ1398" s="14">
        <v>0.25441989809131299</v>
      </c>
      <c r="AK1398" s="14">
        <v>0.189790265594969</v>
      </c>
      <c r="AL1398" s="14">
        <v>0.32042340864193403</v>
      </c>
      <c r="AM1398" s="14">
        <v>0.17898778985553199</v>
      </c>
      <c r="AN1398" s="14">
        <v>0.38602671751693002</v>
      </c>
      <c r="AO1398" s="14"/>
      <c r="AP1398" s="14">
        <v>0.243110175905039</v>
      </c>
      <c r="AQ1398" s="14">
        <v>0.30817535360507298</v>
      </c>
      <c r="AR1398" s="14"/>
      <c r="AS1398" s="14" t="s">
        <v>88</v>
      </c>
      <c r="AT1398" s="14" t="s">
        <v>88</v>
      </c>
      <c r="AU1398" s="14">
        <v>0.27119741263029301</v>
      </c>
      <c r="AV1398" s="14"/>
      <c r="AW1398" s="14">
        <v>0.28841320256981401</v>
      </c>
      <c r="AX1398" s="14">
        <v>0.184270500220586</v>
      </c>
      <c r="AY1398" s="14"/>
      <c r="AZ1398" s="14">
        <v>0.24521823844760399</v>
      </c>
      <c r="BA1398" s="14">
        <v>0.39268092530091903</v>
      </c>
    </row>
    <row r="1399" spans="2:53" x14ac:dyDescent="0.35">
      <c r="B1399" t="s">
        <v>229</v>
      </c>
      <c r="C1399" s="14">
        <v>8.7164472822518393E-2</v>
      </c>
      <c r="D1399" s="14">
        <v>5.9915709156750201E-2</v>
      </c>
      <c r="E1399" s="14">
        <v>0.11308419554105199</v>
      </c>
      <c r="F1399" s="14"/>
      <c r="G1399" s="14">
        <v>0</v>
      </c>
      <c r="H1399" s="14">
        <v>3.1463937770587799E-2</v>
      </c>
      <c r="I1399" s="14">
        <v>6.7084656292607805E-2</v>
      </c>
      <c r="J1399" s="14">
        <v>0.12813987578556199</v>
      </c>
      <c r="K1399" s="14">
        <v>7.3902562082599599E-2</v>
      </c>
      <c r="L1399" s="14">
        <v>0</v>
      </c>
      <c r="M1399" s="14"/>
      <c r="N1399" s="14">
        <v>5.6217824542988799E-2</v>
      </c>
      <c r="O1399" s="14">
        <v>0.10667459246298699</v>
      </c>
      <c r="P1399" s="14">
        <v>7.1000155201400905E-2</v>
      </c>
      <c r="Q1399" s="14">
        <v>0.13025820401674401</v>
      </c>
      <c r="R1399" s="14"/>
      <c r="S1399" s="14">
        <v>7.0603185304286206E-2</v>
      </c>
      <c r="T1399" s="14">
        <v>5.97935803266662E-2</v>
      </c>
      <c r="U1399" s="14">
        <v>8.8257149833203999E-2</v>
      </c>
      <c r="V1399" s="14">
        <v>6.3910366885919098E-2</v>
      </c>
      <c r="W1399" s="14">
        <v>5.0652251976597597E-2</v>
      </c>
      <c r="X1399" s="14">
        <v>5.1900642385618902E-2</v>
      </c>
      <c r="Y1399" s="14">
        <v>0.12090557274762199</v>
      </c>
      <c r="Z1399" s="14">
        <v>0.18112871418589399</v>
      </c>
      <c r="AA1399" s="14">
        <v>0.13766174489786701</v>
      </c>
      <c r="AB1399" s="14"/>
      <c r="AC1399" s="14">
        <v>0.10787934104194399</v>
      </c>
      <c r="AD1399" s="14">
        <v>9.2215595808373102E-2</v>
      </c>
      <c r="AE1399" s="14">
        <v>5.9947402744171097E-2</v>
      </c>
      <c r="AF1399" s="14">
        <v>5.7688437590335602E-2</v>
      </c>
      <c r="AG1399" s="14">
        <v>8.9813221752925096E-3</v>
      </c>
      <c r="AH1399" s="14"/>
      <c r="AI1399" s="14">
        <v>6.7983828151274003E-2</v>
      </c>
      <c r="AJ1399" s="14">
        <v>6.15904049706349E-2</v>
      </c>
      <c r="AK1399" s="14">
        <v>6.7262406091098403E-2</v>
      </c>
      <c r="AL1399" s="14">
        <v>0.11065312049392401</v>
      </c>
      <c r="AM1399" s="14">
        <v>0.33441384311920502</v>
      </c>
      <c r="AN1399" s="14">
        <v>8.4403632614036606E-2</v>
      </c>
      <c r="AO1399" s="14"/>
      <c r="AP1399" s="14">
        <v>7.3162569188510995E-2</v>
      </c>
      <c r="AQ1399" s="14">
        <v>0.105506898378551</v>
      </c>
      <c r="AR1399" s="14"/>
      <c r="AS1399" s="14" t="s">
        <v>88</v>
      </c>
      <c r="AT1399" s="14" t="s">
        <v>88</v>
      </c>
      <c r="AU1399" s="14">
        <v>8.7164472822518393E-2</v>
      </c>
      <c r="AV1399" s="14"/>
      <c r="AW1399" s="14">
        <v>8.3400427185154197E-2</v>
      </c>
      <c r="AX1399" s="14">
        <v>4.5918537050512402E-2</v>
      </c>
      <c r="AY1399" s="14"/>
      <c r="AZ1399" s="14">
        <v>7.3128550387254895E-2</v>
      </c>
      <c r="BA1399" s="14">
        <v>0.15234780277940899</v>
      </c>
    </row>
    <row r="1400" spans="2:53" x14ac:dyDescent="0.35">
      <c r="B1400" t="s">
        <v>116</v>
      </c>
      <c r="C1400" s="14">
        <v>3.0384539574644601E-2</v>
      </c>
      <c r="D1400" s="14">
        <v>1.4188161426922301E-2</v>
      </c>
      <c r="E1400" s="14">
        <v>4.5737499159632301E-2</v>
      </c>
      <c r="F1400" s="14"/>
      <c r="G1400" s="14">
        <v>0</v>
      </c>
      <c r="H1400" s="14">
        <v>1.9204955023082799E-2</v>
      </c>
      <c r="I1400" s="14">
        <v>2.4867091494014101E-2</v>
      </c>
      <c r="J1400" s="14">
        <v>4.0254075049442298E-2</v>
      </c>
      <c r="K1400" s="14">
        <v>2.98375639011563E-2</v>
      </c>
      <c r="L1400" s="14">
        <v>0</v>
      </c>
      <c r="M1400" s="14"/>
      <c r="N1400" s="14">
        <v>4.1165574433961301E-2</v>
      </c>
      <c r="O1400" s="14">
        <v>2.85045388522495E-2</v>
      </c>
      <c r="P1400" s="14">
        <v>3.8118226761549398E-2</v>
      </c>
      <c r="Q1400" s="14">
        <v>7.8882696304111797E-3</v>
      </c>
      <c r="R1400" s="14"/>
      <c r="S1400" s="14">
        <v>2.7443453519948299E-2</v>
      </c>
      <c r="T1400" s="14">
        <v>1.8138533745678299E-2</v>
      </c>
      <c r="U1400" s="14">
        <v>3.9413576917371497E-2</v>
      </c>
      <c r="V1400" s="14">
        <v>4.4449514663182699E-2</v>
      </c>
      <c r="W1400" s="14">
        <v>1.553338660208E-2</v>
      </c>
      <c r="X1400" s="14">
        <v>3.2456892025964801E-2</v>
      </c>
      <c r="Y1400" s="14">
        <v>1.8504331489931899E-2</v>
      </c>
      <c r="Z1400" s="14">
        <v>8.9939399114765797E-2</v>
      </c>
      <c r="AA1400" s="14">
        <v>1.8538919994670999E-2</v>
      </c>
      <c r="AB1400" s="14"/>
      <c r="AC1400" s="14">
        <v>8.2782618582577204E-3</v>
      </c>
      <c r="AD1400" s="14">
        <v>2.2511370461841301E-2</v>
      </c>
      <c r="AE1400" s="14">
        <v>4.5742263106226103E-2</v>
      </c>
      <c r="AF1400" s="14">
        <v>2.7593630913999599E-2</v>
      </c>
      <c r="AG1400" s="14">
        <v>3.7974989109403501E-2</v>
      </c>
      <c r="AH1400" s="14"/>
      <c r="AI1400" s="14">
        <v>2.11839663086393E-2</v>
      </c>
      <c r="AJ1400" s="14">
        <v>2.9589368502758E-2</v>
      </c>
      <c r="AK1400" s="14">
        <v>3.9006402858814099E-2</v>
      </c>
      <c r="AL1400" s="14">
        <v>4.21520773631196E-2</v>
      </c>
      <c r="AM1400" s="14">
        <v>0</v>
      </c>
      <c r="AN1400" s="14">
        <v>8.1174766519249195E-2</v>
      </c>
      <c r="AO1400" s="14"/>
      <c r="AP1400" s="14">
        <v>2.3781921186169099E-2</v>
      </c>
      <c r="AQ1400" s="14">
        <v>3.9013491614146398E-2</v>
      </c>
      <c r="AR1400" s="14"/>
      <c r="AS1400" s="14" t="s">
        <v>88</v>
      </c>
      <c r="AT1400" s="14" t="s">
        <v>88</v>
      </c>
      <c r="AU1400" s="14">
        <v>3.0384539574644601E-2</v>
      </c>
      <c r="AV1400" s="14"/>
      <c r="AW1400" s="14">
        <v>2.5958269666007901E-2</v>
      </c>
      <c r="AX1400" s="14">
        <v>2.01320556808063E-2</v>
      </c>
      <c r="AY1400" s="14"/>
      <c r="AZ1400" s="14">
        <v>2.01575648959741E-2</v>
      </c>
      <c r="BA1400" s="14">
        <v>7.7627123796769407E-2</v>
      </c>
    </row>
    <row r="1401" spans="2:53" x14ac:dyDescent="0.35">
      <c r="C1401" s="14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</row>
    <row r="1402" spans="2:53" x14ac:dyDescent="0.35">
      <c r="B1402" s="6" t="s">
        <v>352</v>
      </c>
      <c r="C1402" s="14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</row>
    <row r="1403" spans="2:53" x14ac:dyDescent="0.35">
      <c r="B1403" s="30" t="s">
        <v>463</v>
      </c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</row>
    <row r="1404" spans="2:53" x14ac:dyDescent="0.35">
      <c r="B1404" t="s">
        <v>231</v>
      </c>
      <c r="C1404" s="14">
        <v>9.7548401409705804E-2</v>
      </c>
      <c r="D1404" s="14">
        <v>9.2893851931199603E-2</v>
      </c>
      <c r="E1404" s="14">
        <v>0.102182143666672</v>
      </c>
      <c r="F1404" s="14"/>
      <c r="G1404" s="14">
        <v>0</v>
      </c>
      <c r="H1404" s="14">
        <v>0.187111411558843</v>
      </c>
      <c r="I1404" s="14">
        <v>0.11228230500924299</v>
      </c>
      <c r="J1404" s="14">
        <v>9.1452149932094995E-2</v>
      </c>
      <c r="K1404" s="14">
        <v>3.90498653935397E-3</v>
      </c>
      <c r="L1404" s="14">
        <v>0</v>
      </c>
      <c r="M1404" s="14"/>
      <c r="N1404" s="14">
        <v>8.4148390740878307E-2</v>
      </c>
      <c r="O1404" s="14">
        <v>6.0517801585513002E-2</v>
      </c>
      <c r="P1404" s="14">
        <v>0.12535114274539499</v>
      </c>
      <c r="Q1404" s="14">
        <v>0.12815908451654101</v>
      </c>
      <c r="R1404" s="14"/>
      <c r="S1404" s="14">
        <v>6.9332385554371906E-2</v>
      </c>
      <c r="T1404" s="14">
        <v>8.7084593103044602E-2</v>
      </c>
      <c r="U1404" s="14">
        <v>7.2024596000930502E-2</v>
      </c>
      <c r="V1404" s="14">
        <v>0.11785626590769099</v>
      </c>
      <c r="W1404" s="14">
        <v>0.12708820329015999</v>
      </c>
      <c r="X1404" s="14">
        <v>7.6950930270832898E-2</v>
      </c>
      <c r="Y1404" s="14">
        <v>0.122482662014349</v>
      </c>
      <c r="Z1404" s="14">
        <v>0.10909044784604</v>
      </c>
      <c r="AA1404" s="14">
        <v>0.120278959501675</v>
      </c>
      <c r="AB1404" s="14"/>
      <c r="AC1404" s="14">
        <v>0.107499045644671</v>
      </c>
      <c r="AD1404" s="14">
        <v>8.5315804621303906E-2</v>
      </c>
      <c r="AE1404" s="14">
        <v>6.8995337173489102E-2</v>
      </c>
      <c r="AF1404" s="14">
        <v>0.110894516104591</v>
      </c>
      <c r="AG1404" s="14">
        <v>0.12723474881427399</v>
      </c>
      <c r="AH1404" s="14"/>
      <c r="AI1404" s="14">
        <v>0.10241870055209901</v>
      </c>
      <c r="AJ1404" s="14">
        <v>0.13604020784936</v>
      </c>
      <c r="AK1404" s="14">
        <v>0.104028270748368</v>
      </c>
      <c r="AL1404" s="14">
        <v>7.7075624692490796E-2</v>
      </c>
      <c r="AM1404" s="14">
        <v>9.3736306497663305E-2</v>
      </c>
      <c r="AN1404" s="14">
        <v>4.3751410708402598E-2</v>
      </c>
      <c r="AO1404" s="14"/>
      <c r="AP1404" s="14">
        <v>8.6943777932369903E-2</v>
      </c>
      <c r="AQ1404" s="14">
        <v>0.111500558858905</v>
      </c>
      <c r="AR1404" s="14"/>
      <c r="AS1404" s="14" t="s">
        <v>88</v>
      </c>
      <c r="AT1404" s="14" t="s">
        <v>88</v>
      </c>
      <c r="AU1404" s="14">
        <v>9.7548401409705804E-2</v>
      </c>
      <c r="AV1404" s="14"/>
      <c r="AW1404" s="14">
        <v>9.8613793969188193E-2</v>
      </c>
      <c r="AX1404" s="14">
        <v>0.10267108693472</v>
      </c>
      <c r="AY1404" s="14"/>
      <c r="AZ1404" s="14">
        <v>0.10022224105913601</v>
      </c>
      <c r="BA1404" s="14">
        <v>8.5998893962219297E-2</v>
      </c>
    </row>
    <row r="1405" spans="2:53" x14ac:dyDescent="0.35">
      <c r="B1405" t="s">
        <v>232</v>
      </c>
      <c r="C1405" s="14">
        <v>0.77101810133856896</v>
      </c>
      <c r="D1405" s="14">
        <v>0.78383527644608098</v>
      </c>
      <c r="E1405" s="14">
        <v>0.75835710516655797</v>
      </c>
      <c r="F1405" s="14"/>
      <c r="G1405" s="14">
        <v>1</v>
      </c>
      <c r="H1405" s="14">
        <v>0.66732248882582601</v>
      </c>
      <c r="I1405" s="14">
        <v>0.76999289314033403</v>
      </c>
      <c r="J1405" s="14">
        <v>0.77824187027995795</v>
      </c>
      <c r="K1405" s="14">
        <v>0.81062167092961102</v>
      </c>
      <c r="L1405" s="14">
        <v>0.880661027740687</v>
      </c>
      <c r="M1405" s="14"/>
      <c r="N1405" s="14">
        <v>0.78719119998270504</v>
      </c>
      <c r="O1405" s="14">
        <v>0.785092512645017</v>
      </c>
      <c r="P1405" s="14">
        <v>0.74029594724528203</v>
      </c>
      <c r="Q1405" s="14">
        <v>0.76497247378121302</v>
      </c>
      <c r="R1405" s="14"/>
      <c r="S1405" s="14">
        <v>0.78288037825576196</v>
      </c>
      <c r="T1405" s="14">
        <v>0.80655631552186702</v>
      </c>
      <c r="U1405" s="14">
        <v>0.715228472851129</v>
      </c>
      <c r="V1405" s="14">
        <v>0.76434427847049802</v>
      </c>
      <c r="W1405" s="14">
        <v>0.78696957053495298</v>
      </c>
      <c r="X1405" s="14">
        <v>0.78777399541715998</v>
      </c>
      <c r="Y1405" s="14">
        <v>0.75978974857276305</v>
      </c>
      <c r="Z1405" s="14">
        <v>0.80413047866942799</v>
      </c>
      <c r="AA1405" s="14">
        <v>0.73351163773768202</v>
      </c>
      <c r="AB1405" s="14"/>
      <c r="AC1405" s="14">
        <v>0.78139445589984502</v>
      </c>
      <c r="AD1405" s="14">
        <v>0.767316796424799</v>
      </c>
      <c r="AE1405" s="14">
        <v>0.80967139905281105</v>
      </c>
      <c r="AF1405" s="14">
        <v>0.77140483142520799</v>
      </c>
      <c r="AG1405" s="14">
        <v>0.71977718753719799</v>
      </c>
      <c r="AH1405" s="14"/>
      <c r="AI1405" s="14">
        <v>0.76745232575464395</v>
      </c>
      <c r="AJ1405" s="14">
        <v>0.78500666954083398</v>
      </c>
      <c r="AK1405" s="14">
        <v>0.74503846151685005</v>
      </c>
      <c r="AL1405" s="14">
        <v>0.78870812818961</v>
      </c>
      <c r="AM1405" s="14">
        <v>0.80765928877757798</v>
      </c>
      <c r="AN1405" s="14">
        <v>0.66676940949372498</v>
      </c>
      <c r="AO1405" s="14"/>
      <c r="AP1405" s="14">
        <v>0.77485629080843099</v>
      </c>
      <c r="AQ1405" s="14">
        <v>0.76559886056485305</v>
      </c>
      <c r="AR1405" s="14"/>
      <c r="AS1405" s="14" t="s">
        <v>88</v>
      </c>
      <c r="AT1405" s="14" t="s">
        <v>88</v>
      </c>
      <c r="AU1405" s="14">
        <v>0.77101810133856896</v>
      </c>
      <c r="AV1405" s="14"/>
      <c r="AW1405" s="14">
        <v>0.77087361414606004</v>
      </c>
      <c r="AX1405" s="14">
        <v>0.76172693622280996</v>
      </c>
      <c r="AY1405" s="14"/>
      <c r="AZ1405" s="14">
        <v>0.77885761967300804</v>
      </c>
      <c r="BA1405" s="14">
        <v>0.73324030234123805</v>
      </c>
    </row>
    <row r="1406" spans="2:53" x14ac:dyDescent="0.35">
      <c r="B1406" t="s">
        <v>233</v>
      </c>
      <c r="C1406" s="14">
        <v>7.2238295635776606E-2</v>
      </c>
      <c r="D1406" s="14">
        <v>8.6275479818736303E-2</v>
      </c>
      <c r="E1406" s="14">
        <v>5.9178005516771402E-2</v>
      </c>
      <c r="F1406" s="14"/>
      <c r="G1406" s="14">
        <v>0</v>
      </c>
      <c r="H1406" s="14">
        <v>0.11200057412896</v>
      </c>
      <c r="I1406" s="14">
        <v>7.0403295712431105E-2</v>
      </c>
      <c r="J1406" s="14">
        <v>7.2739465451758301E-2</v>
      </c>
      <c r="K1406" s="14">
        <v>5.7785892301768102E-2</v>
      </c>
      <c r="L1406" s="14">
        <v>0</v>
      </c>
      <c r="M1406" s="14"/>
      <c r="N1406" s="14">
        <v>6.9062931942073205E-2</v>
      </c>
      <c r="O1406" s="14">
        <v>8.0544621716409096E-2</v>
      </c>
      <c r="P1406" s="14">
        <v>7.7185994474203198E-2</v>
      </c>
      <c r="Q1406" s="14">
        <v>6.21562041506772E-2</v>
      </c>
      <c r="R1406" s="14"/>
      <c r="S1406" s="14">
        <v>0.119302557290108</v>
      </c>
      <c r="T1406" s="14">
        <v>6.1940541235525198E-2</v>
      </c>
      <c r="U1406" s="14">
        <v>7.8386429836857993E-2</v>
      </c>
      <c r="V1406" s="14">
        <v>4.01018000648369E-2</v>
      </c>
      <c r="W1406" s="14">
        <v>6.0057806154343703E-2</v>
      </c>
      <c r="X1406" s="14">
        <v>8.4397948387141999E-2</v>
      </c>
      <c r="Y1406" s="14">
        <v>3.2340430996290498E-2</v>
      </c>
      <c r="Z1406" s="14">
        <v>4.9055117675338301E-2</v>
      </c>
      <c r="AA1406" s="14">
        <v>8.6042703466090803E-2</v>
      </c>
      <c r="AB1406" s="14"/>
      <c r="AC1406" s="14">
        <v>4.4379267106886701E-2</v>
      </c>
      <c r="AD1406" s="14">
        <v>7.7147817538802496E-2</v>
      </c>
      <c r="AE1406" s="14">
        <v>7.0391824241548107E-2</v>
      </c>
      <c r="AF1406" s="14">
        <v>0.110180374482283</v>
      </c>
      <c r="AG1406" s="14">
        <v>7.5333846221708203E-2</v>
      </c>
      <c r="AH1406" s="14"/>
      <c r="AI1406" s="14">
        <v>9.443483444386E-2</v>
      </c>
      <c r="AJ1406" s="14">
        <v>4.4021219119259603E-2</v>
      </c>
      <c r="AK1406" s="14">
        <v>8.0494817552278095E-2</v>
      </c>
      <c r="AL1406" s="14">
        <v>5.8782929951245802E-2</v>
      </c>
      <c r="AM1406" s="14">
        <v>1.53410916131451E-2</v>
      </c>
      <c r="AN1406" s="14">
        <v>6.0062606045485099E-2</v>
      </c>
      <c r="AO1406" s="14"/>
      <c r="AP1406" s="14">
        <v>7.94091934881897E-2</v>
      </c>
      <c r="AQ1406" s="14">
        <v>6.3067414349115003E-2</v>
      </c>
      <c r="AR1406" s="14"/>
      <c r="AS1406" s="14" t="s">
        <v>88</v>
      </c>
      <c r="AT1406" s="14" t="s">
        <v>88</v>
      </c>
      <c r="AU1406" s="14">
        <v>7.2238295635776606E-2</v>
      </c>
      <c r="AV1406" s="14"/>
      <c r="AW1406" s="14">
        <v>6.7873016728516103E-2</v>
      </c>
      <c r="AX1406" s="14">
        <v>0.123236126586682</v>
      </c>
      <c r="AY1406" s="14"/>
      <c r="AZ1406" s="14">
        <v>7.5285343478205105E-2</v>
      </c>
      <c r="BA1406" s="14">
        <v>5.8780785636242103E-2</v>
      </c>
    </row>
    <row r="1407" spans="2:53" x14ac:dyDescent="0.35">
      <c r="B1407" t="s">
        <v>116</v>
      </c>
      <c r="C1407" s="14">
        <v>5.9195201615948399E-2</v>
      </c>
      <c r="D1407" s="14">
        <v>3.69953918039835E-2</v>
      </c>
      <c r="E1407" s="14">
        <v>8.0282745649998599E-2</v>
      </c>
      <c r="F1407" s="14"/>
      <c r="G1407" s="14">
        <v>0</v>
      </c>
      <c r="H1407" s="14">
        <v>3.3565525486370602E-2</v>
      </c>
      <c r="I1407" s="14">
        <v>4.7321506137991902E-2</v>
      </c>
      <c r="J1407" s="14">
        <v>5.7566514336188798E-2</v>
      </c>
      <c r="K1407" s="14">
        <v>0.127687450229267</v>
      </c>
      <c r="L1407" s="14">
        <v>0.119338972259313</v>
      </c>
      <c r="M1407" s="14"/>
      <c r="N1407" s="14">
        <v>5.9597477334343403E-2</v>
      </c>
      <c r="O1407" s="14">
        <v>7.3845064053060697E-2</v>
      </c>
      <c r="P1407" s="14">
        <v>5.7166915535119503E-2</v>
      </c>
      <c r="Q1407" s="14">
        <v>4.4712237551569299E-2</v>
      </c>
      <c r="R1407" s="14"/>
      <c r="S1407" s="14">
        <v>2.8484678899758299E-2</v>
      </c>
      <c r="T1407" s="14">
        <v>4.4418550139562897E-2</v>
      </c>
      <c r="U1407" s="14">
        <v>0.13436050131108301</v>
      </c>
      <c r="V1407" s="14">
        <v>7.7697655556973902E-2</v>
      </c>
      <c r="W1407" s="14">
        <v>2.5884420020543902E-2</v>
      </c>
      <c r="X1407" s="14">
        <v>5.0877125924864999E-2</v>
      </c>
      <c r="Y1407" s="14">
        <v>8.5387158416597303E-2</v>
      </c>
      <c r="Z1407" s="14">
        <v>3.7723955809194402E-2</v>
      </c>
      <c r="AA1407" s="14">
        <v>6.0166699294551797E-2</v>
      </c>
      <c r="AB1407" s="14"/>
      <c r="AC1407" s="14">
        <v>6.6727231348596594E-2</v>
      </c>
      <c r="AD1407" s="14">
        <v>7.0219581415094504E-2</v>
      </c>
      <c r="AE1407" s="14">
        <v>5.0941439532152202E-2</v>
      </c>
      <c r="AF1407" s="14">
        <v>7.5202779879181602E-3</v>
      </c>
      <c r="AG1407" s="14">
        <v>7.7654217426819105E-2</v>
      </c>
      <c r="AH1407" s="14"/>
      <c r="AI1407" s="14">
        <v>3.56941392493966E-2</v>
      </c>
      <c r="AJ1407" s="14">
        <v>3.49319034905465E-2</v>
      </c>
      <c r="AK1407" s="14">
        <v>7.0438450182503706E-2</v>
      </c>
      <c r="AL1407" s="14">
        <v>7.5433317166653205E-2</v>
      </c>
      <c r="AM1407" s="14">
        <v>8.3263313111613793E-2</v>
      </c>
      <c r="AN1407" s="14">
        <v>0.229416573752387</v>
      </c>
      <c r="AO1407" s="14"/>
      <c r="AP1407" s="14">
        <v>5.87907377710098E-2</v>
      </c>
      <c r="AQ1407" s="14">
        <v>5.98331662271274E-2</v>
      </c>
      <c r="AR1407" s="14"/>
      <c r="AS1407" s="14" t="s">
        <v>88</v>
      </c>
      <c r="AT1407" s="14" t="s">
        <v>88</v>
      </c>
      <c r="AU1407" s="14">
        <v>5.9195201615948399E-2</v>
      </c>
      <c r="AV1407" s="14"/>
      <c r="AW1407" s="14">
        <v>6.2639575156235999E-2</v>
      </c>
      <c r="AX1407" s="14">
        <v>1.2365850255787699E-2</v>
      </c>
      <c r="AY1407" s="14"/>
      <c r="AZ1407" s="14">
        <v>4.5634795789650698E-2</v>
      </c>
      <c r="BA1407" s="14">
        <v>0.1219800180603</v>
      </c>
    </row>
    <row r="1408" spans="2:53" x14ac:dyDescent="0.35">
      <c r="C1408" s="14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</row>
    <row r="1409" spans="2:53" x14ac:dyDescent="0.35">
      <c r="B1409" s="6" t="s">
        <v>353</v>
      </c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</row>
    <row r="1410" spans="2:53" x14ac:dyDescent="0.35">
      <c r="B1410" s="30" t="s">
        <v>463</v>
      </c>
      <c r="C1410" s="14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</row>
    <row r="1411" spans="2:53" x14ac:dyDescent="0.35">
      <c r="B1411" t="s">
        <v>235</v>
      </c>
      <c r="C1411" s="14">
        <v>0.30106234737505999</v>
      </c>
      <c r="D1411" s="14">
        <v>0.327251925684856</v>
      </c>
      <c r="E1411" s="14">
        <v>0.274615465402609</v>
      </c>
      <c r="F1411" s="14"/>
      <c r="G1411" s="14">
        <v>0</v>
      </c>
      <c r="H1411" s="14">
        <v>0.38510727749456303</v>
      </c>
      <c r="I1411" s="14">
        <v>0.29615163166047598</v>
      </c>
      <c r="J1411" s="14">
        <v>0.29279011860624898</v>
      </c>
      <c r="K1411" s="14">
        <v>0.29805293932250598</v>
      </c>
      <c r="L1411" s="14">
        <v>0.25684571267821399</v>
      </c>
      <c r="M1411" s="14"/>
      <c r="N1411" s="14">
        <v>0.39314276854025199</v>
      </c>
      <c r="O1411" s="14">
        <v>0.29343660196807198</v>
      </c>
      <c r="P1411" s="14">
        <v>0.21918941076001699</v>
      </c>
      <c r="Q1411" s="14">
        <v>0.27803780487395902</v>
      </c>
      <c r="R1411" s="14"/>
      <c r="S1411" s="14">
        <v>0.36661828332354202</v>
      </c>
      <c r="T1411" s="14">
        <v>0.29386478577671499</v>
      </c>
      <c r="U1411" s="14">
        <v>0.31127814929905101</v>
      </c>
      <c r="V1411" s="14">
        <v>0.31550770401353401</v>
      </c>
      <c r="W1411" s="14">
        <v>0.294642375328034</v>
      </c>
      <c r="X1411" s="14">
        <v>0.27913342734049201</v>
      </c>
      <c r="Y1411" s="14">
        <v>0.245849086603251</v>
      </c>
      <c r="Z1411" s="14">
        <v>0.27521086527039801</v>
      </c>
      <c r="AA1411" s="14">
        <v>0.27941529588995301</v>
      </c>
      <c r="AB1411" s="14"/>
      <c r="AC1411" s="14">
        <v>0.30330075978154297</v>
      </c>
      <c r="AD1411" s="14">
        <v>0.23051250178084501</v>
      </c>
      <c r="AE1411" s="14">
        <v>0.33646398959191998</v>
      </c>
      <c r="AF1411" s="14">
        <v>0.31757653075519199</v>
      </c>
      <c r="AG1411" s="14">
        <v>0.57774522070525802</v>
      </c>
      <c r="AH1411" s="14"/>
      <c r="AI1411" s="14">
        <v>0.37951692891760602</v>
      </c>
      <c r="AJ1411" s="14">
        <v>0.27003591283653</v>
      </c>
      <c r="AK1411" s="14">
        <v>0.228089472836804</v>
      </c>
      <c r="AL1411" s="14">
        <v>0.28139612943868603</v>
      </c>
      <c r="AM1411" s="14">
        <v>0.31865009666046201</v>
      </c>
      <c r="AN1411" s="14">
        <v>0.17549908315018101</v>
      </c>
      <c r="AO1411" s="14"/>
      <c r="AP1411" s="14">
        <v>0.32175094679774802</v>
      </c>
      <c r="AQ1411" s="14">
        <v>0.27478037952926798</v>
      </c>
      <c r="AR1411" s="14"/>
      <c r="AS1411" s="14" t="s">
        <v>88</v>
      </c>
      <c r="AT1411" s="14" t="s">
        <v>88</v>
      </c>
      <c r="AU1411" s="14">
        <v>0.30106234737505999</v>
      </c>
      <c r="AV1411" s="14"/>
      <c r="AW1411" s="14">
        <v>0.27586303118362998</v>
      </c>
      <c r="AX1411" s="14">
        <v>0.43805047675910702</v>
      </c>
      <c r="AY1411" s="14"/>
      <c r="AZ1411" s="14">
        <v>0.32343907783291798</v>
      </c>
      <c r="BA1411" s="14">
        <v>0.20048948187983701</v>
      </c>
    </row>
    <row r="1412" spans="2:53" x14ac:dyDescent="0.35">
      <c r="B1412" t="s">
        <v>236</v>
      </c>
      <c r="C1412" s="14">
        <v>0.61256652416790502</v>
      </c>
      <c r="D1412" s="14">
        <v>0.61603161143654706</v>
      </c>
      <c r="E1412" s="14">
        <v>0.61082630700223595</v>
      </c>
      <c r="F1412" s="14"/>
      <c r="G1412" s="14">
        <v>1</v>
      </c>
      <c r="H1412" s="14">
        <v>0.54562140261237602</v>
      </c>
      <c r="I1412" s="14">
        <v>0.62440592476569001</v>
      </c>
      <c r="J1412" s="14">
        <v>0.60834929218320399</v>
      </c>
      <c r="K1412" s="14">
        <v>0.61364099079615797</v>
      </c>
      <c r="L1412" s="14">
        <v>0.68842230116446201</v>
      </c>
      <c r="M1412" s="14"/>
      <c r="N1412" s="14">
        <v>0.544296549950679</v>
      </c>
      <c r="O1412" s="14">
        <v>0.60247792070952699</v>
      </c>
      <c r="P1412" s="14">
        <v>0.69293170749076505</v>
      </c>
      <c r="Q1412" s="14">
        <v>0.62215918708246098</v>
      </c>
      <c r="R1412" s="14"/>
      <c r="S1412" s="14">
        <v>0.59814550492208696</v>
      </c>
      <c r="T1412" s="14">
        <v>0.61966380410267696</v>
      </c>
      <c r="U1412" s="14">
        <v>0.62385822421832904</v>
      </c>
      <c r="V1412" s="14">
        <v>0.55991185018389</v>
      </c>
      <c r="W1412" s="14">
        <v>0.61619204705434405</v>
      </c>
      <c r="X1412" s="14">
        <v>0.64731415351202104</v>
      </c>
      <c r="Y1412" s="14">
        <v>0.63399275967435398</v>
      </c>
      <c r="Z1412" s="14">
        <v>0.58741676176546198</v>
      </c>
      <c r="AA1412" s="14">
        <v>0.62635810903745204</v>
      </c>
      <c r="AB1412" s="14"/>
      <c r="AC1412" s="14">
        <v>0.59709160924750604</v>
      </c>
      <c r="AD1412" s="14">
        <v>0.69216836660675896</v>
      </c>
      <c r="AE1412" s="14">
        <v>0.55987802009945198</v>
      </c>
      <c r="AF1412" s="14">
        <v>0.63081719869283204</v>
      </c>
      <c r="AG1412" s="14">
        <v>0.37602217102704499</v>
      </c>
      <c r="AH1412" s="14"/>
      <c r="AI1412" s="14">
        <v>0.55915378756747303</v>
      </c>
      <c r="AJ1412" s="14">
        <v>0.64044822980994598</v>
      </c>
      <c r="AK1412" s="14">
        <v>0.66917331143117298</v>
      </c>
      <c r="AL1412" s="14">
        <v>0.60123527319414305</v>
      </c>
      <c r="AM1412" s="14">
        <v>0.56488228193946199</v>
      </c>
      <c r="AN1412" s="14">
        <v>0.68916687882926597</v>
      </c>
      <c r="AO1412" s="14"/>
      <c r="AP1412" s="14">
        <v>0.60669832346286701</v>
      </c>
      <c r="AQ1412" s="14">
        <v>0.62135269728533804</v>
      </c>
      <c r="AR1412" s="14"/>
      <c r="AS1412" s="14" t="s">
        <v>88</v>
      </c>
      <c r="AT1412" s="14" t="s">
        <v>88</v>
      </c>
      <c r="AU1412" s="14">
        <v>0.61256652416790502</v>
      </c>
      <c r="AV1412" s="14"/>
      <c r="AW1412" s="14">
        <v>0.63105572141984001</v>
      </c>
      <c r="AX1412" s="14">
        <v>0.51773448855800397</v>
      </c>
      <c r="AY1412" s="14"/>
      <c r="AZ1412" s="14">
        <v>0.60031423265835104</v>
      </c>
      <c r="BA1412" s="14">
        <v>0.66594248102324105</v>
      </c>
    </row>
    <row r="1413" spans="2:53" x14ac:dyDescent="0.35">
      <c r="B1413" t="s">
        <v>237</v>
      </c>
      <c r="C1413" s="14">
        <v>6.7966062993423601E-2</v>
      </c>
      <c r="D1413" s="14">
        <v>5.1910116684528697E-2</v>
      </c>
      <c r="E1413" s="14">
        <v>8.3280318010629295E-2</v>
      </c>
      <c r="F1413" s="14"/>
      <c r="G1413" s="14">
        <v>0</v>
      </c>
      <c r="H1413" s="14">
        <v>5.8693286931891797E-2</v>
      </c>
      <c r="I1413" s="14">
        <v>5.5226855818795599E-2</v>
      </c>
      <c r="J1413" s="14">
        <v>7.9206269943786198E-2</v>
      </c>
      <c r="K1413" s="14">
        <v>8.8306069881336505E-2</v>
      </c>
      <c r="L1413" s="14">
        <v>5.4731986157324601E-2</v>
      </c>
      <c r="M1413" s="14"/>
      <c r="N1413" s="14">
        <v>4.8141467193958898E-2</v>
      </c>
      <c r="O1413" s="14">
        <v>7.0410748956955399E-2</v>
      </c>
      <c r="P1413" s="14">
        <v>7.4511830083959799E-2</v>
      </c>
      <c r="Q1413" s="14">
        <v>8.7094264669810004E-2</v>
      </c>
      <c r="R1413" s="14"/>
      <c r="S1413" s="14">
        <v>1.8016884750150799E-2</v>
      </c>
      <c r="T1413" s="14">
        <v>6.2663765785383393E-2</v>
      </c>
      <c r="U1413" s="14">
        <v>3.5325481798420703E-2</v>
      </c>
      <c r="V1413" s="14">
        <v>0.108977704716747</v>
      </c>
      <c r="W1413" s="14">
        <v>7.8814543566453399E-2</v>
      </c>
      <c r="X1413" s="14">
        <v>5.4981452067893503E-2</v>
      </c>
      <c r="Y1413" s="14">
        <v>9.4418002336607895E-2</v>
      </c>
      <c r="Z1413" s="14">
        <v>0.121484286415216</v>
      </c>
      <c r="AA1413" s="14">
        <v>8.6171386764205202E-2</v>
      </c>
      <c r="AB1413" s="14"/>
      <c r="AC1413" s="14">
        <v>7.3453389935064201E-2</v>
      </c>
      <c r="AD1413" s="14">
        <v>6.2547975178288806E-2</v>
      </c>
      <c r="AE1413" s="14">
        <v>7.6903392276758506E-2</v>
      </c>
      <c r="AF1413" s="14">
        <v>4.6159181519116202E-2</v>
      </c>
      <c r="AG1413" s="14">
        <v>4.6232608267696401E-2</v>
      </c>
      <c r="AH1413" s="14"/>
      <c r="AI1413" s="14">
        <v>5.2546795034852802E-2</v>
      </c>
      <c r="AJ1413" s="14">
        <v>6.9247902443019094E-2</v>
      </c>
      <c r="AK1413" s="14">
        <v>5.58581815834156E-2</v>
      </c>
      <c r="AL1413" s="14">
        <v>9.6841143212277603E-2</v>
      </c>
      <c r="AM1413" s="14">
        <v>0.11646762140007701</v>
      </c>
      <c r="AN1413" s="14">
        <v>8.7691389336376005E-2</v>
      </c>
      <c r="AO1413" s="14"/>
      <c r="AP1413" s="14">
        <v>5.4505492379777802E-2</v>
      </c>
      <c r="AQ1413" s="14">
        <v>8.3661527992882304E-2</v>
      </c>
      <c r="AR1413" s="14"/>
      <c r="AS1413" s="14" t="s">
        <v>88</v>
      </c>
      <c r="AT1413" s="14" t="s">
        <v>88</v>
      </c>
      <c r="AU1413" s="14">
        <v>6.7966062993423601E-2</v>
      </c>
      <c r="AV1413" s="14"/>
      <c r="AW1413" s="14">
        <v>7.2747383642458294E-2</v>
      </c>
      <c r="AX1413" s="14">
        <v>3.6918408219214299E-2</v>
      </c>
      <c r="AY1413" s="14"/>
      <c r="AZ1413" s="14">
        <v>5.85455131149865E-2</v>
      </c>
      <c r="BA1413" s="14">
        <v>0.11178738689597301</v>
      </c>
    </row>
    <row r="1414" spans="2:53" x14ac:dyDescent="0.35">
      <c r="B1414" t="s">
        <v>238</v>
      </c>
      <c r="C1414" s="14">
        <v>7.5684737392556298E-3</v>
      </c>
      <c r="D1414" s="14">
        <v>3.7425756425565498E-3</v>
      </c>
      <c r="E1414" s="14">
        <v>1.11961156381964E-2</v>
      </c>
      <c r="F1414" s="14"/>
      <c r="G1414" s="14">
        <v>0</v>
      </c>
      <c r="H1414" s="14">
        <v>0</v>
      </c>
      <c r="I1414" s="14">
        <v>7.3531990072162401E-3</v>
      </c>
      <c r="J1414" s="14">
        <v>1.17744484231902E-2</v>
      </c>
      <c r="K1414" s="14">
        <v>0</v>
      </c>
      <c r="L1414" s="14">
        <v>0</v>
      </c>
      <c r="M1414" s="14"/>
      <c r="N1414" s="14">
        <v>6.22360410784056E-3</v>
      </c>
      <c r="O1414" s="14">
        <v>1.64791081655873E-2</v>
      </c>
      <c r="P1414" s="14">
        <v>6.92358736926131E-3</v>
      </c>
      <c r="Q1414" s="14">
        <v>0</v>
      </c>
      <c r="R1414" s="14"/>
      <c r="S1414" s="14">
        <v>1.72193270042196E-2</v>
      </c>
      <c r="T1414" s="14">
        <v>5.6691066397985103E-3</v>
      </c>
      <c r="U1414" s="14">
        <v>1.04078818434305E-2</v>
      </c>
      <c r="V1414" s="14">
        <v>1.5602741085828899E-2</v>
      </c>
      <c r="W1414" s="14">
        <v>0</v>
      </c>
      <c r="X1414" s="14">
        <v>0</v>
      </c>
      <c r="Y1414" s="14">
        <v>0</v>
      </c>
      <c r="Z1414" s="14">
        <v>0</v>
      </c>
      <c r="AA1414" s="14">
        <v>8.0552083083901306E-3</v>
      </c>
      <c r="AB1414" s="14"/>
      <c r="AC1414" s="14">
        <v>1.7998193398746001E-2</v>
      </c>
      <c r="AD1414" s="14">
        <v>9.0572509807333203E-3</v>
      </c>
      <c r="AE1414" s="14">
        <v>6.77447631494002E-3</v>
      </c>
      <c r="AF1414" s="14">
        <v>0</v>
      </c>
      <c r="AG1414" s="14">
        <v>0</v>
      </c>
      <c r="AH1414" s="14"/>
      <c r="AI1414" s="14">
        <v>4.9395288556041399E-3</v>
      </c>
      <c r="AJ1414" s="14">
        <v>1.10118997107171E-2</v>
      </c>
      <c r="AK1414" s="14">
        <v>2.1934694822625101E-2</v>
      </c>
      <c r="AL1414" s="14">
        <v>1.16572370629534E-2</v>
      </c>
      <c r="AM1414" s="14">
        <v>0</v>
      </c>
      <c r="AN1414" s="14">
        <v>0</v>
      </c>
      <c r="AO1414" s="14"/>
      <c r="AP1414" s="14">
        <v>6.5156147335520397E-3</v>
      </c>
      <c r="AQ1414" s="14">
        <v>8.9496486742476501E-3</v>
      </c>
      <c r="AR1414" s="14"/>
      <c r="AS1414" s="14" t="s">
        <v>88</v>
      </c>
      <c r="AT1414" s="14" t="s">
        <v>88</v>
      </c>
      <c r="AU1414" s="14">
        <v>7.5684737392556298E-3</v>
      </c>
      <c r="AV1414" s="14"/>
      <c r="AW1414" s="14">
        <v>1.0251339752124101E-2</v>
      </c>
      <c r="AX1414" s="14">
        <v>0</v>
      </c>
      <c r="AY1414" s="14"/>
      <c r="AZ1414" s="14">
        <v>9.2274498783540809E-3</v>
      </c>
      <c r="BA1414" s="14">
        <v>0</v>
      </c>
    </row>
    <row r="1415" spans="2:53" x14ac:dyDescent="0.35">
      <c r="B1415" t="s">
        <v>116</v>
      </c>
      <c r="C1415" s="14">
        <v>1.08365917243562E-2</v>
      </c>
      <c r="D1415" s="14">
        <v>1.0637705515116099E-3</v>
      </c>
      <c r="E1415" s="14">
        <v>2.0081793946330001E-2</v>
      </c>
      <c r="F1415" s="14"/>
      <c r="G1415" s="14">
        <v>0</v>
      </c>
      <c r="H1415" s="14">
        <v>1.0578032961169E-2</v>
      </c>
      <c r="I1415" s="14">
        <v>1.6862388747821401E-2</v>
      </c>
      <c r="J1415" s="14">
        <v>7.8798708435706792E-3</v>
      </c>
      <c r="K1415" s="14">
        <v>0</v>
      </c>
      <c r="L1415" s="14">
        <v>0</v>
      </c>
      <c r="M1415" s="14"/>
      <c r="N1415" s="14">
        <v>8.1956102072693795E-3</v>
      </c>
      <c r="O1415" s="14">
        <v>1.71956201998591E-2</v>
      </c>
      <c r="P1415" s="14">
        <v>6.4434642959972201E-3</v>
      </c>
      <c r="Q1415" s="14">
        <v>1.2708743373770599E-2</v>
      </c>
      <c r="R1415" s="14"/>
      <c r="S1415" s="14">
        <v>0</v>
      </c>
      <c r="T1415" s="14">
        <v>1.8138537695426601E-2</v>
      </c>
      <c r="U1415" s="14">
        <v>1.9130262840769099E-2</v>
      </c>
      <c r="V1415" s="14">
        <v>0</v>
      </c>
      <c r="W1415" s="14">
        <v>1.03510340511685E-2</v>
      </c>
      <c r="X1415" s="14">
        <v>1.85709670795937E-2</v>
      </c>
      <c r="Y1415" s="14">
        <v>2.5740151385786801E-2</v>
      </c>
      <c r="Z1415" s="14">
        <v>1.5888086548923801E-2</v>
      </c>
      <c r="AA1415" s="14">
        <v>0</v>
      </c>
      <c r="AB1415" s="14"/>
      <c r="AC1415" s="14">
        <v>8.1560476371403904E-3</v>
      </c>
      <c r="AD1415" s="14">
        <v>5.7139054533743103E-3</v>
      </c>
      <c r="AE1415" s="14">
        <v>1.99801217169298E-2</v>
      </c>
      <c r="AF1415" s="14">
        <v>5.4470890328600502E-3</v>
      </c>
      <c r="AG1415" s="14">
        <v>0</v>
      </c>
      <c r="AH1415" s="14"/>
      <c r="AI1415" s="14">
        <v>3.8429596244647E-3</v>
      </c>
      <c r="AJ1415" s="14">
        <v>9.2560551997880099E-3</v>
      </c>
      <c r="AK1415" s="14">
        <v>2.4944339325982001E-2</v>
      </c>
      <c r="AL1415" s="14">
        <v>8.8702170919401895E-3</v>
      </c>
      <c r="AM1415" s="14">
        <v>0</v>
      </c>
      <c r="AN1415" s="14">
        <v>4.76426486841766E-2</v>
      </c>
      <c r="AO1415" s="14"/>
      <c r="AP1415" s="14">
        <v>1.05296226260558E-2</v>
      </c>
      <c r="AQ1415" s="14">
        <v>1.1255746518264701E-2</v>
      </c>
      <c r="AR1415" s="14"/>
      <c r="AS1415" s="14" t="s">
        <v>88</v>
      </c>
      <c r="AT1415" s="14" t="s">
        <v>88</v>
      </c>
      <c r="AU1415" s="14">
        <v>1.08365917243562E-2</v>
      </c>
      <c r="AV1415" s="14"/>
      <c r="AW1415" s="14">
        <v>1.00825240019481E-2</v>
      </c>
      <c r="AX1415" s="14">
        <v>7.29662646367462E-3</v>
      </c>
      <c r="AY1415" s="14"/>
      <c r="AZ1415" s="14">
        <v>8.4737265153905401E-3</v>
      </c>
      <c r="BA1415" s="14">
        <v>2.1780650200949402E-2</v>
      </c>
    </row>
    <row r="1416" spans="2:53" x14ac:dyDescent="0.35">
      <c r="C1416" s="14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</row>
    <row r="1417" spans="2:53" x14ac:dyDescent="0.35">
      <c r="B1417" s="6" t="s">
        <v>354</v>
      </c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</row>
    <row r="1418" spans="2:53" x14ac:dyDescent="0.35">
      <c r="B1418" s="30" t="s">
        <v>463</v>
      </c>
      <c r="C1418" s="14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</row>
    <row r="1419" spans="2:53" x14ac:dyDescent="0.35">
      <c r="B1419" t="s">
        <v>220</v>
      </c>
      <c r="C1419" s="14">
        <v>0.26011651098649802</v>
      </c>
      <c r="D1419" s="14">
        <v>0.32352139391334001</v>
      </c>
      <c r="E1419" s="14">
        <v>0.19846431824190999</v>
      </c>
      <c r="F1419" s="14"/>
      <c r="G1419" s="14">
        <v>0.46244813625315101</v>
      </c>
      <c r="H1419" s="14">
        <v>0.45986564911050198</v>
      </c>
      <c r="I1419" s="14">
        <v>0.25605262011266799</v>
      </c>
      <c r="J1419" s="14">
        <v>0.22904209565543099</v>
      </c>
      <c r="K1419" s="14">
        <v>0.241996554620515</v>
      </c>
      <c r="L1419" s="14">
        <v>0.13443658022246399</v>
      </c>
      <c r="M1419" s="14"/>
      <c r="N1419" s="14">
        <v>0.33364226898898502</v>
      </c>
      <c r="O1419" s="14">
        <v>0.220957016848736</v>
      </c>
      <c r="P1419" s="14">
        <v>0.254632958437572</v>
      </c>
      <c r="Q1419" s="14">
        <v>0.208395034341534</v>
      </c>
      <c r="R1419" s="14"/>
      <c r="S1419" s="14">
        <v>0.35751643699162899</v>
      </c>
      <c r="T1419" s="14">
        <v>0.22636029989937201</v>
      </c>
      <c r="U1419" s="14">
        <v>0.22656317324612901</v>
      </c>
      <c r="V1419" s="14">
        <v>0.255955993695553</v>
      </c>
      <c r="W1419" s="14">
        <v>0.29893585794688199</v>
      </c>
      <c r="X1419" s="14">
        <v>0.22956257222951401</v>
      </c>
      <c r="Y1419" s="14">
        <v>0.17378006876233201</v>
      </c>
      <c r="Z1419" s="14">
        <v>0.21294744950580299</v>
      </c>
      <c r="AA1419" s="14">
        <v>0.28876493900692501</v>
      </c>
      <c r="AB1419" s="14"/>
      <c r="AC1419" s="14">
        <v>0.20664604141849599</v>
      </c>
      <c r="AD1419" s="14">
        <v>0.16602122495171701</v>
      </c>
      <c r="AE1419" s="14">
        <v>0.277101627934564</v>
      </c>
      <c r="AF1419" s="14">
        <v>0.44186141656248701</v>
      </c>
      <c r="AG1419" s="14">
        <v>0.52511508603147905</v>
      </c>
      <c r="AH1419" s="14"/>
      <c r="AI1419" s="14">
        <v>0.32050610126557599</v>
      </c>
      <c r="AJ1419" s="14">
        <v>0.237366205544877</v>
      </c>
      <c r="AK1419" s="14">
        <v>0.29517155419188601</v>
      </c>
      <c r="AL1419" s="14">
        <v>0.21320295645865101</v>
      </c>
      <c r="AM1419" s="14">
        <v>0.13615490014732801</v>
      </c>
      <c r="AN1419" s="14">
        <v>0.17696356682106201</v>
      </c>
      <c r="AO1419" s="14"/>
      <c r="AP1419" s="14">
        <v>0.28725118436080399</v>
      </c>
      <c r="AQ1419" s="14">
        <v>0.22538865757458801</v>
      </c>
      <c r="AR1419" s="14"/>
      <c r="AS1419" s="14" t="s">
        <v>88</v>
      </c>
      <c r="AT1419" s="14" t="s">
        <v>88</v>
      </c>
      <c r="AU1419" s="14">
        <v>0.26011651098649802</v>
      </c>
      <c r="AV1419" s="14"/>
      <c r="AW1419" s="14">
        <v>0.242940696565772</v>
      </c>
      <c r="AX1419" s="14">
        <v>0.38936293612123601</v>
      </c>
      <c r="AY1419" s="14"/>
      <c r="AZ1419" s="14">
        <v>0.30219975823828998</v>
      </c>
      <c r="BA1419" s="14">
        <v>6.8645005751885493E-2</v>
      </c>
    </row>
    <row r="1420" spans="2:53" x14ac:dyDescent="0.35">
      <c r="B1420" t="s">
        <v>221</v>
      </c>
      <c r="C1420" s="14">
        <v>0.48420235458883498</v>
      </c>
      <c r="D1420" s="14">
        <v>0.48581200048390699</v>
      </c>
      <c r="E1420" s="14">
        <v>0.48389203519672203</v>
      </c>
      <c r="F1420" s="14"/>
      <c r="G1420" s="14">
        <v>0</v>
      </c>
      <c r="H1420" s="14">
        <v>0.35506680416256903</v>
      </c>
      <c r="I1420" s="14">
        <v>0.51668197386260295</v>
      </c>
      <c r="J1420" s="14">
        <v>0.48723270788034001</v>
      </c>
      <c r="K1420" s="14">
        <v>0.47720973263501798</v>
      </c>
      <c r="L1420" s="14">
        <v>0.399159034765529</v>
      </c>
      <c r="M1420" s="14"/>
      <c r="N1420" s="14">
        <v>0.45744948316978701</v>
      </c>
      <c r="O1420" s="14">
        <v>0.47900899657485702</v>
      </c>
      <c r="P1420" s="14">
        <v>0.55612485927269395</v>
      </c>
      <c r="Q1420" s="14">
        <v>0.43586607370394398</v>
      </c>
      <c r="R1420" s="14"/>
      <c r="S1420" s="14">
        <v>0.46887761512304998</v>
      </c>
      <c r="T1420" s="14">
        <v>0.49009059161026503</v>
      </c>
      <c r="U1420" s="14">
        <v>0.48314185349995198</v>
      </c>
      <c r="V1420" s="14">
        <v>0.50540344810673299</v>
      </c>
      <c r="W1420" s="14">
        <v>0.44041893838413898</v>
      </c>
      <c r="X1420" s="14">
        <v>0.56589768951939501</v>
      </c>
      <c r="Y1420" s="14">
        <v>0.54683890131463597</v>
      </c>
      <c r="Z1420" s="14">
        <v>0.503541872116539</v>
      </c>
      <c r="AA1420" s="14">
        <v>0.38908399898732599</v>
      </c>
      <c r="AB1420" s="14"/>
      <c r="AC1420" s="14">
        <v>0.44948975352922099</v>
      </c>
      <c r="AD1420" s="14">
        <v>0.59215974994946297</v>
      </c>
      <c r="AE1420" s="14">
        <v>0.509207363403826</v>
      </c>
      <c r="AF1420" s="14">
        <v>0.36538614256372998</v>
      </c>
      <c r="AG1420" s="14">
        <v>0.43030651181208301</v>
      </c>
      <c r="AH1420" s="14"/>
      <c r="AI1420" s="14">
        <v>0.46078902917917702</v>
      </c>
      <c r="AJ1420" s="14">
        <v>0.583558043191859</v>
      </c>
      <c r="AK1420" s="14">
        <v>0.41062181801678799</v>
      </c>
      <c r="AL1420" s="14">
        <v>0.46863068979949701</v>
      </c>
      <c r="AM1420" s="14">
        <v>0.49533386867061202</v>
      </c>
      <c r="AN1420" s="14">
        <v>0.43242826157900399</v>
      </c>
      <c r="AO1420" s="14"/>
      <c r="AP1420" s="14">
        <v>0.48091820612462199</v>
      </c>
      <c r="AQ1420" s="14">
        <v>0.48938924793713401</v>
      </c>
      <c r="AR1420" s="14"/>
      <c r="AS1420" s="14" t="s">
        <v>88</v>
      </c>
      <c r="AT1420" s="14" t="s">
        <v>88</v>
      </c>
      <c r="AU1420" s="14">
        <v>0.48420235458883498</v>
      </c>
      <c r="AV1420" s="14"/>
      <c r="AW1420" s="14">
        <v>0.49450595411844001</v>
      </c>
      <c r="AX1420" s="14">
        <v>0.43960244979885899</v>
      </c>
      <c r="AY1420" s="14"/>
      <c r="AZ1420" s="14">
        <v>0.486740293347595</v>
      </c>
      <c r="BA1420" s="14">
        <v>0.46861432444629503</v>
      </c>
    </row>
    <row r="1421" spans="2:53" x14ac:dyDescent="0.35">
      <c r="B1421" t="s">
        <v>222</v>
      </c>
      <c r="C1421" s="14">
        <v>0.14958401408358901</v>
      </c>
      <c r="D1421" s="14">
        <v>9.4657001495294907E-2</v>
      </c>
      <c r="E1421" s="14">
        <v>0.20176683665227901</v>
      </c>
      <c r="F1421" s="14"/>
      <c r="G1421" s="14">
        <v>0.53755186374684905</v>
      </c>
      <c r="H1421" s="14">
        <v>0.118519081137753</v>
      </c>
      <c r="I1421" s="14">
        <v>0.12872315619271801</v>
      </c>
      <c r="J1421" s="14">
        <v>0.17914763007186699</v>
      </c>
      <c r="K1421" s="14">
        <v>0.10082863391197899</v>
      </c>
      <c r="L1421" s="14">
        <v>0.36483556380267601</v>
      </c>
      <c r="M1421" s="14"/>
      <c r="N1421" s="14">
        <v>9.69789076826542E-2</v>
      </c>
      <c r="O1421" s="14">
        <v>0.19238016457674401</v>
      </c>
      <c r="P1421" s="14">
        <v>0.13837273185153801</v>
      </c>
      <c r="Q1421" s="14">
        <v>0.191982357256167</v>
      </c>
      <c r="R1421" s="14"/>
      <c r="S1421" s="14">
        <v>0.108153760408391</v>
      </c>
      <c r="T1421" s="14">
        <v>0.142350787819918</v>
      </c>
      <c r="U1421" s="14">
        <v>0.156042081605959</v>
      </c>
      <c r="V1421" s="14">
        <v>0.13058538677699999</v>
      </c>
      <c r="W1421" s="14">
        <v>0.155634967970222</v>
      </c>
      <c r="X1421" s="14">
        <v>0.13090699430035699</v>
      </c>
      <c r="Y1421" s="14">
        <v>0.17607498558843401</v>
      </c>
      <c r="Z1421" s="14">
        <v>0.16319401296673799</v>
      </c>
      <c r="AA1421" s="14">
        <v>0.20611010721828299</v>
      </c>
      <c r="AB1421" s="14"/>
      <c r="AC1421" s="14">
        <v>0.224134570363757</v>
      </c>
      <c r="AD1421" s="14">
        <v>0.14317153593231399</v>
      </c>
      <c r="AE1421" s="14">
        <v>0.100007773065505</v>
      </c>
      <c r="AF1421" s="14">
        <v>0.13587297491921899</v>
      </c>
      <c r="AG1421" s="14">
        <v>3.0181679071162999E-2</v>
      </c>
      <c r="AH1421" s="14"/>
      <c r="AI1421" s="14">
        <v>0.12144016428355101</v>
      </c>
      <c r="AJ1421" s="14">
        <v>0.12932120198497499</v>
      </c>
      <c r="AK1421" s="14">
        <v>0.125209052395305</v>
      </c>
      <c r="AL1421" s="14">
        <v>0.17233261753088699</v>
      </c>
      <c r="AM1421" s="14">
        <v>0.260187168368473</v>
      </c>
      <c r="AN1421" s="14">
        <v>0.21196496031846099</v>
      </c>
      <c r="AO1421" s="14"/>
      <c r="AP1421" s="14">
        <v>0.12558401625846</v>
      </c>
      <c r="AQ1421" s="14">
        <v>0.179116614687685</v>
      </c>
      <c r="AR1421" s="14"/>
      <c r="AS1421" s="14" t="s">
        <v>88</v>
      </c>
      <c r="AT1421" s="14" t="s">
        <v>88</v>
      </c>
      <c r="AU1421" s="14">
        <v>0.14958401408358901</v>
      </c>
      <c r="AV1421" s="14"/>
      <c r="AW1421" s="14">
        <v>0.15931645129329</v>
      </c>
      <c r="AX1421" s="14">
        <v>8.4558892156539694E-2</v>
      </c>
      <c r="AY1421" s="14"/>
      <c r="AZ1421" s="14">
        <v>0.119760510093512</v>
      </c>
      <c r="BA1421" s="14">
        <v>0.28781460318829</v>
      </c>
    </row>
    <row r="1422" spans="2:53" x14ac:dyDescent="0.35">
      <c r="B1422" t="s">
        <v>223</v>
      </c>
      <c r="C1422" s="14">
        <v>2.8876885689026001E-2</v>
      </c>
      <c r="D1422" s="14">
        <v>1.4316510543251899E-2</v>
      </c>
      <c r="E1422" s="14">
        <v>4.2682931917681903E-2</v>
      </c>
      <c r="F1422" s="14"/>
      <c r="G1422" s="14">
        <v>0</v>
      </c>
      <c r="H1422" s="14">
        <v>4.7471685397824599E-2</v>
      </c>
      <c r="I1422" s="14">
        <v>2.7423474757058301E-2</v>
      </c>
      <c r="J1422" s="14">
        <v>3.1754477407171203E-2</v>
      </c>
      <c r="K1422" s="14">
        <v>8.2649269726376498E-3</v>
      </c>
      <c r="L1422" s="14">
        <v>3.25062523223172E-2</v>
      </c>
      <c r="M1422" s="14"/>
      <c r="N1422" s="14">
        <v>1.85444317643748E-2</v>
      </c>
      <c r="O1422" s="14">
        <v>2.4553127342051902E-2</v>
      </c>
      <c r="P1422" s="14">
        <v>1.6082519294737401E-2</v>
      </c>
      <c r="Q1422" s="14">
        <v>6.4848545040815594E-2</v>
      </c>
      <c r="R1422" s="14"/>
      <c r="S1422" s="14">
        <v>2.4659079024673399E-2</v>
      </c>
      <c r="T1422" s="14">
        <v>3.5006838548603203E-2</v>
      </c>
      <c r="U1422" s="14">
        <v>3.4981113871299097E-2</v>
      </c>
      <c r="V1422" s="14">
        <v>2.9046601892716999E-2</v>
      </c>
      <c r="W1422" s="14">
        <v>2.07020674696324E-2</v>
      </c>
      <c r="X1422" s="14">
        <v>2.9144865118483101E-2</v>
      </c>
      <c r="Y1422" s="14">
        <v>5.2985870607949501E-2</v>
      </c>
      <c r="Z1422" s="14">
        <v>4.7180202883484602E-2</v>
      </c>
      <c r="AA1422" s="14">
        <v>0</v>
      </c>
      <c r="AB1422" s="14"/>
      <c r="AC1422" s="14">
        <v>3.56307976262542E-2</v>
      </c>
      <c r="AD1422" s="14">
        <v>4.2150924366270298E-2</v>
      </c>
      <c r="AE1422" s="14">
        <v>1.9722940454103301E-2</v>
      </c>
      <c r="AF1422" s="14">
        <v>0</v>
      </c>
      <c r="AG1422" s="14">
        <v>0</v>
      </c>
      <c r="AH1422" s="14"/>
      <c r="AI1422" s="14">
        <v>2.2609569114153301E-2</v>
      </c>
      <c r="AJ1422" s="14">
        <v>1.51428875812296E-2</v>
      </c>
      <c r="AK1422" s="14">
        <v>2.3470540682036401E-2</v>
      </c>
      <c r="AL1422" s="14">
        <v>4.7609305739167898E-2</v>
      </c>
      <c r="AM1422" s="14">
        <v>7.4903625307121094E-2</v>
      </c>
      <c r="AN1422" s="14">
        <v>1.9680663811169102E-2</v>
      </c>
      <c r="AO1422" s="14"/>
      <c r="AP1422" s="14">
        <v>2.8932972216947898E-2</v>
      </c>
      <c r="AQ1422" s="14">
        <v>2.8859164841181499E-2</v>
      </c>
      <c r="AR1422" s="14"/>
      <c r="AS1422" s="14" t="s">
        <v>88</v>
      </c>
      <c r="AT1422" s="14" t="s">
        <v>88</v>
      </c>
      <c r="AU1422" s="14">
        <v>2.8876885689026001E-2</v>
      </c>
      <c r="AV1422" s="14"/>
      <c r="AW1422" s="14">
        <v>3.2013898877963798E-2</v>
      </c>
      <c r="AX1422" s="14">
        <v>1.5646119923638201E-2</v>
      </c>
      <c r="AY1422" s="14"/>
      <c r="AZ1422" s="14">
        <v>1.8185063392121299E-2</v>
      </c>
      <c r="BA1422" s="14">
        <v>7.82448286141562E-2</v>
      </c>
    </row>
    <row r="1423" spans="2:53" x14ac:dyDescent="0.35">
      <c r="B1423" t="s">
        <v>116</v>
      </c>
      <c r="C1423" s="14">
        <v>1.23623024233551E-2</v>
      </c>
      <c r="D1423" s="14">
        <v>4.7187474150430699E-3</v>
      </c>
      <c r="E1423" s="14">
        <v>1.96028906725263E-2</v>
      </c>
      <c r="F1423" s="14"/>
      <c r="G1423" s="14">
        <v>0</v>
      </c>
      <c r="H1423" s="14">
        <v>0</v>
      </c>
      <c r="I1423" s="14">
        <v>1.98079107418716E-2</v>
      </c>
      <c r="J1423" s="14">
        <v>9.9521975359555502E-3</v>
      </c>
      <c r="K1423" s="14">
        <v>4.1379212522663304E-3</v>
      </c>
      <c r="L1423" s="14">
        <v>0</v>
      </c>
      <c r="M1423" s="14"/>
      <c r="N1423" s="14">
        <v>1.0394661534201601E-2</v>
      </c>
      <c r="O1423" s="14">
        <v>8.3862386090312307E-3</v>
      </c>
      <c r="P1423" s="14">
        <v>6.92358736926131E-3</v>
      </c>
      <c r="Q1423" s="14">
        <v>2.6607724187028801E-2</v>
      </c>
      <c r="R1423" s="14"/>
      <c r="S1423" s="14">
        <v>1.04359800559583E-2</v>
      </c>
      <c r="T1423" s="14">
        <v>5.6691066397985103E-3</v>
      </c>
      <c r="U1423" s="14">
        <v>2.68382957095483E-2</v>
      </c>
      <c r="V1423" s="14">
        <v>3.2726178424397401E-2</v>
      </c>
      <c r="W1423" s="14">
        <v>0</v>
      </c>
      <c r="X1423" s="14">
        <v>0</v>
      </c>
      <c r="Y1423" s="14">
        <v>0</v>
      </c>
      <c r="Z1423" s="14">
        <v>1.5888086548923801E-2</v>
      </c>
      <c r="AA1423" s="14">
        <v>1.92602781342282E-2</v>
      </c>
      <c r="AB1423" s="14"/>
      <c r="AC1423" s="14">
        <v>1.6221881836728499E-2</v>
      </c>
      <c r="AD1423" s="14">
        <v>8.1612655512362207E-3</v>
      </c>
      <c r="AE1423" s="14">
        <v>1.58242162111163E-2</v>
      </c>
      <c r="AF1423" s="14">
        <v>5.4470890328600502E-3</v>
      </c>
      <c r="AG1423" s="14">
        <v>0</v>
      </c>
      <c r="AH1423" s="14"/>
      <c r="AI1423" s="14">
        <v>6.2279005810529997E-3</v>
      </c>
      <c r="AJ1423" s="14">
        <v>0</v>
      </c>
      <c r="AK1423" s="14">
        <v>2.8806259046673399E-2</v>
      </c>
      <c r="AL1423" s="14">
        <v>9.8581884141405608E-3</v>
      </c>
      <c r="AM1423" s="14">
        <v>0</v>
      </c>
      <c r="AN1423" s="14">
        <v>7.6260410184908506E-2</v>
      </c>
      <c r="AO1423" s="14"/>
      <c r="AP1423" s="14">
        <v>1.54162152826185E-2</v>
      </c>
      <c r="AQ1423" s="14">
        <v>8.4215402018566806E-3</v>
      </c>
      <c r="AR1423" s="14"/>
      <c r="AS1423" s="14" t="s">
        <v>88</v>
      </c>
      <c r="AT1423" s="14" t="s">
        <v>88</v>
      </c>
      <c r="AU1423" s="14">
        <v>1.23623024233551E-2</v>
      </c>
      <c r="AV1423" s="14"/>
      <c r="AW1423" s="14">
        <v>8.1339905227363601E-3</v>
      </c>
      <c r="AX1423" s="14">
        <v>2.3125630524265502E-3</v>
      </c>
      <c r="AY1423" s="14"/>
      <c r="AZ1423" s="14">
        <v>8.2055656527135392E-3</v>
      </c>
      <c r="BA1423" s="14">
        <v>3.1564067317021001E-2</v>
      </c>
    </row>
    <row r="1424" spans="2:53" x14ac:dyDescent="0.35">
      <c r="B1424" t="s">
        <v>224</v>
      </c>
      <c r="C1424" s="14">
        <v>0.744318865575333</v>
      </c>
      <c r="D1424" s="14">
        <v>0.80933339439724705</v>
      </c>
      <c r="E1424" s="14">
        <v>0.68235635343863299</v>
      </c>
      <c r="F1424" s="14"/>
      <c r="G1424" s="14">
        <v>0.46244813625315101</v>
      </c>
      <c r="H1424" s="14">
        <v>0.81493245327307096</v>
      </c>
      <c r="I1424" s="14">
        <v>0.772734593975271</v>
      </c>
      <c r="J1424" s="14">
        <v>0.71627480353577</v>
      </c>
      <c r="K1424" s="14">
        <v>0.71920628725553304</v>
      </c>
      <c r="L1424" s="14">
        <v>0.53359561498799402</v>
      </c>
      <c r="M1424" s="14"/>
      <c r="N1424" s="14">
        <v>0.79109175215877203</v>
      </c>
      <c r="O1424" s="14">
        <v>0.69996601342359299</v>
      </c>
      <c r="P1424" s="14">
        <v>0.810757817710266</v>
      </c>
      <c r="Q1424" s="14">
        <v>0.64426110804547798</v>
      </c>
      <c r="R1424" s="14"/>
      <c r="S1424" s="14">
        <v>0.82639405211467898</v>
      </c>
      <c r="T1424" s="14">
        <v>0.71645089150963703</v>
      </c>
      <c r="U1424" s="14">
        <v>0.70970502674608005</v>
      </c>
      <c r="V1424" s="14">
        <v>0.76135944180228599</v>
      </c>
      <c r="W1424" s="14">
        <v>0.73935479633102097</v>
      </c>
      <c r="X1424" s="14">
        <v>0.79546026174890905</v>
      </c>
      <c r="Y1424" s="14">
        <v>0.72061897007696796</v>
      </c>
      <c r="Z1424" s="14">
        <v>0.71648932162234202</v>
      </c>
      <c r="AA1424" s="14">
        <v>0.67784893799424994</v>
      </c>
      <c r="AB1424" s="14"/>
      <c r="AC1424" s="14">
        <v>0.65613579494771701</v>
      </c>
      <c r="AD1424" s="14">
        <v>0.75818097490117997</v>
      </c>
      <c r="AE1424" s="14">
        <v>0.78630899133839005</v>
      </c>
      <c r="AF1424" s="14">
        <v>0.80724755912621704</v>
      </c>
      <c r="AG1424" s="14">
        <v>0.95542159784356095</v>
      </c>
      <c r="AH1424" s="14"/>
      <c r="AI1424" s="14">
        <v>0.78129513044475296</v>
      </c>
      <c r="AJ1424" s="14">
        <v>0.82092424873673597</v>
      </c>
      <c r="AK1424" s="14">
        <v>0.705793372208674</v>
      </c>
      <c r="AL1424" s="14">
        <v>0.68183364625814802</v>
      </c>
      <c r="AM1424" s="14">
        <v>0.63148876881793903</v>
      </c>
      <c r="AN1424" s="14">
        <v>0.609391828400066</v>
      </c>
      <c r="AO1424" s="14"/>
      <c r="AP1424" s="14">
        <v>0.76816939048542598</v>
      </c>
      <c r="AQ1424" s="14">
        <v>0.71477790551172304</v>
      </c>
      <c r="AR1424" s="14"/>
      <c r="AS1424" s="14" t="s">
        <v>88</v>
      </c>
      <c r="AT1424" s="14" t="s">
        <v>88</v>
      </c>
      <c r="AU1424" s="14">
        <v>0.744318865575333</v>
      </c>
      <c r="AV1424" s="14"/>
      <c r="AW1424" s="14">
        <v>0.737446650684212</v>
      </c>
      <c r="AX1424" s="14">
        <v>0.82896538592009394</v>
      </c>
      <c r="AY1424" s="14"/>
      <c r="AZ1424" s="14">
        <v>0.78894005158588398</v>
      </c>
      <c r="BA1424" s="14">
        <v>0.53725933019817995</v>
      </c>
    </row>
    <row r="1425" spans="2:53" x14ac:dyDescent="0.35">
      <c r="C1425" s="14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</row>
    <row r="1426" spans="2:53" x14ac:dyDescent="0.35">
      <c r="B1426" s="6" t="s">
        <v>355</v>
      </c>
      <c r="C1426" s="14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  <c r="AO1426" s="14"/>
      <c r="AP1426" s="14"/>
      <c r="AQ1426" s="14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</row>
    <row r="1427" spans="2:53" x14ac:dyDescent="0.35">
      <c r="B1427" s="24" t="s">
        <v>101</v>
      </c>
      <c r="C1427" s="14"/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</row>
    <row r="1428" spans="2:53" x14ac:dyDescent="0.35">
      <c r="B1428" t="s">
        <v>154</v>
      </c>
      <c r="C1428" s="14">
        <v>0.68585787023244404</v>
      </c>
      <c r="D1428" s="14">
        <v>0.676333009251324</v>
      </c>
      <c r="E1428" s="14">
        <v>0.69481536569753799</v>
      </c>
      <c r="F1428" s="14"/>
      <c r="G1428" s="14">
        <v>1</v>
      </c>
      <c r="H1428" s="14">
        <v>0.63084440368897798</v>
      </c>
      <c r="I1428" s="14">
        <v>0.71581708556566004</v>
      </c>
      <c r="J1428" s="14">
        <v>0.66362640599654499</v>
      </c>
      <c r="K1428" s="14">
        <v>0.67021886682871301</v>
      </c>
      <c r="L1428" s="14">
        <v>0.80975989197973997</v>
      </c>
      <c r="M1428" s="14"/>
      <c r="N1428" s="14">
        <v>0.76580704359018903</v>
      </c>
      <c r="O1428" s="14">
        <v>0.68986827941912698</v>
      </c>
      <c r="P1428" s="14">
        <v>0.66416967497162205</v>
      </c>
      <c r="Q1428" s="14">
        <v>0.61286935709808299</v>
      </c>
      <c r="R1428" s="14"/>
      <c r="S1428" s="14">
        <v>0.72528223091982102</v>
      </c>
      <c r="T1428" s="14">
        <v>0.70504187626911297</v>
      </c>
      <c r="U1428" s="14">
        <v>0.67814870510129899</v>
      </c>
      <c r="V1428" s="14">
        <v>0.62785315273952103</v>
      </c>
      <c r="W1428" s="14">
        <v>0.70754180385420395</v>
      </c>
      <c r="X1428" s="14">
        <v>0.64734551883175595</v>
      </c>
      <c r="Y1428" s="14">
        <v>0.63825402872249004</v>
      </c>
      <c r="Z1428" s="14">
        <v>0.79165369781683104</v>
      </c>
      <c r="AA1428" s="14">
        <v>0.68207147424048697</v>
      </c>
      <c r="AB1428" s="14"/>
      <c r="AC1428" s="14">
        <v>0.58130077319809803</v>
      </c>
      <c r="AD1428" s="14">
        <v>0.67168493203721102</v>
      </c>
      <c r="AE1428" s="14">
        <v>0.76697859195520202</v>
      </c>
      <c r="AF1428" s="14">
        <v>0.73542244172555105</v>
      </c>
      <c r="AG1428" s="14">
        <v>0.868056393978757</v>
      </c>
      <c r="AH1428" s="14"/>
      <c r="AI1428" s="14">
        <v>0.71413638390499201</v>
      </c>
      <c r="AJ1428" s="14">
        <v>0.72473858685553905</v>
      </c>
      <c r="AK1428" s="14">
        <v>0.66390053524775605</v>
      </c>
      <c r="AL1428" s="14">
        <v>0.60275680525669595</v>
      </c>
      <c r="AM1428" s="14">
        <v>0.74188780982371905</v>
      </c>
      <c r="AN1428" s="14">
        <v>0.61076498760504505</v>
      </c>
      <c r="AO1428" s="14"/>
      <c r="AP1428" s="14">
        <v>0.70088643867667</v>
      </c>
      <c r="AQ1428" s="14">
        <v>0.67110239520687898</v>
      </c>
      <c r="AR1428" s="14"/>
      <c r="AS1428" s="14" t="s">
        <v>88</v>
      </c>
      <c r="AT1428" s="14" t="s">
        <v>88</v>
      </c>
      <c r="AU1428" s="14">
        <v>0.68585787023244404</v>
      </c>
      <c r="AV1428" s="14"/>
      <c r="AW1428" s="14">
        <v>0.68207134520608903</v>
      </c>
      <c r="AX1428" s="14">
        <v>0.77282319650767495</v>
      </c>
      <c r="AY1428" s="14"/>
      <c r="AZ1428" s="14">
        <v>0.72209643861738104</v>
      </c>
      <c r="BA1428" s="14">
        <v>0.55795886239293802</v>
      </c>
    </row>
    <row r="1429" spans="2:53" x14ac:dyDescent="0.35">
      <c r="B1429" t="s">
        <v>155</v>
      </c>
      <c r="C1429" s="14">
        <v>0.123172006700137</v>
      </c>
      <c r="D1429" s="14">
        <v>0.14168321640284801</v>
      </c>
      <c r="E1429" s="14">
        <v>0.105027785970291</v>
      </c>
      <c r="F1429" s="14"/>
      <c r="G1429" s="14">
        <v>0</v>
      </c>
      <c r="H1429" s="14">
        <v>0.23420121141602601</v>
      </c>
      <c r="I1429" s="14">
        <v>0.11432765908353799</v>
      </c>
      <c r="J1429" s="14">
        <v>0.117366574554555</v>
      </c>
      <c r="K1429" s="14">
        <v>0.102007513775698</v>
      </c>
      <c r="L1429" s="14">
        <v>0.100949421189786</v>
      </c>
      <c r="M1429" s="14"/>
      <c r="N1429" s="14">
        <v>0.107983566096958</v>
      </c>
      <c r="O1429" s="14">
        <v>0.108236094664882</v>
      </c>
      <c r="P1429" s="14">
        <v>0.135725036391148</v>
      </c>
      <c r="Q1429" s="14">
        <v>0.14564963111780199</v>
      </c>
      <c r="R1429" s="14"/>
      <c r="S1429" s="14">
        <v>0.14217167685823401</v>
      </c>
      <c r="T1429" s="14">
        <v>0.11102459350613</v>
      </c>
      <c r="U1429" s="14">
        <v>8.4220171840133098E-2</v>
      </c>
      <c r="V1429" s="14">
        <v>0.11682405790887899</v>
      </c>
      <c r="W1429" s="14">
        <v>9.1048107047024193E-2</v>
      </c>
      <c r="X1429" s="14">
        <v>0.11450336171191899</v>
      </c>
      <c r="Y1429" s="14">
        <v>0.16068865840558</v>
      </c>
      <c r="Z1429" s="14">
        <v>0.11744366075368699</v>
      </c>
      <c r="AA1429" s="14">
        <v>0.15326220365756699</v>
      </c>
      <c r="AB1429" s="14"/>
      <c r="AC1429" s="14">
        <v>0.175937303017556</v>
      </c>
      <c r="AD1429" s="14">
        <v>0.106171856727912</v>
      </c>
      <c r="AE1429" s="14">
        <v>9.8456534714372101E-2</v>
      </c>
      <c r="AF1429" s="14">
        <v>0.16232735451980601</v>
      </c>
      <c r="AG1429" s="14">
        <v>0.10186790090132899</v>
      </c>
      <c r="AH1429" s="14"/>
      <c r="AI1429" s="14">
        <v>0.12693010926789799</v>
      </c>
      <c r="AJ1429" s="14">
        <v>0.14007887985343101</v>
      </c>
      <c r="AK1429" s="14">
        <v>0.11456778726694999</v>
      </c>
      <c r="AL1429" s="14">
        <v>0.15897499405561799</v>
      </c>
      <c r="AM1429" s="14">
        <v>0.17928657468954801</v>
      </c>
      <c r="AN1429" s="14">
        <v>6.2367470716380803E-2</v>
      </c>
      <c r="AO1429" s="14"/>
      <c r="AP1429" s="14">
        <v>0.12488737469354</v>
      </c>
      <c r="AQ1429" s="14">
        <v>0.121836666166597</v>
      </c>
      <c r="AR1429" s="14"/>
      <c r="AS1429" s="14" t="s">
        <v>88</v>
      </c>
      <c r="AT1429" s="14" t="s">
        <v>88</v>
      </c>
      <c r="AU1429" s="14">
        <v>0.123172006700137</v>
      </c>
      <c r="AV1429" s="14"/>
      <c r="AW1429" s="14">
        <v>0.117190742150549</v>
      </c>
      <c r="AX1429" s="14">
        <v>0.13264449022338701</v>
      </c>
      <c r="AY1429" s="14"/>
      <c r="AZ1429" s="14">
        <v>0.122715144128975</v>
      </c>
      <c r="BA1429" s="14">
        <v>0.12619171216522401</v>
      </c>
    </row>
    <row r="1430" spans="2:53" x14ac:dyDescent="0.35">
      <c r="B1430" t="s">
        <v>116</v>
      </c>
      <c r="C1430" s="14">
        <v>0.19097012306741901</v>
      </c>
      <c r="D1430" s="14">
        <v>0.18198377434582799</v>
      </c>
      <c r="E1430" s="14">
        <v>0.20015684833217201</v>
      </c>
      <c r="F1430" s="14"/>
      <c r="G1430" s="14">
        <v>0</v>
      </c>
      <c r="H1430" s="14">
        <v>0.134954384894996</v>
      </c>
      <c r="I1430" s="14">
        <v>0.16985525535080201</v>
      </c>
      <c r="J1430" s="14">
        <v>0.2190070194489</v>
      </c>
      <c r="K1430" s="14">
        <v>0.22777361939558999</v>
      </c>
      <c r="L1430" s="14">
        <v>8.9290686830474503E-2</v>
      </c>
      <c r="M1430" s="14"/>
      <c r="N1430" s="14">
        <v>0.126209390312852</v>
      </c>
      <c r="O1430" s="14">
        <v>0.201895625915992</v>
      </c>
      <c r="P1430" s="14">
        <v>0.20010528863723001</v>
      </c>
      <c r="Q1430" s="14">
        <v>0.24148101178411499</v>
      </c>
      <c r="R1430" s="14"/>
      <c r="S1430" s="14">
        <v>0.132546092221944</v>
      </c>
      <c r="T1430" s="14">
        <v>0.183933530224757</v>
      </c>
      <c r="U1430" s="14">
        <v>0.23763112305856801</v>
      </c>
      <c r="V1430" s="14">
        <v>0.25532278935160002</v>
      </c>
      <c r="W1430" s="14">
        <v>0.201410089098772</v>
      </c>
      <c r="X1430" s="14">
        <v>0.238151119456326</v>
      </c>
      <c r="Y1430" s="14">
        <v>0.20105731287192999</v>
      </c>
      <c r="Z1430" s="14">
        <v>9.0902641429481901E-2</v>
      </c>
      <c r="AA1430" s="14">
        <v>0.16466632210194601</v>
      </c>
      <c r="AB1430" s="14"/>
      <c r="AC1430" s="14">
        <v>0.242761923784346</v>
      </c>
      <c r="AD1430" s="14">
        <v>0.22214321123487801</v>
      </c>
      <c r="AE1430" s="14">
        <v>0.13456487333042599</v>
      </c>
      <c r="AF1430" s="14">
        <v>0.102250203754643</v>
      </c>
      <c r="AG1430" s="14">
        <v>3.0075705119914298E-2</v>
      </c>
      <c r="AH1430" s="14"/>
      <c r="AI1430" s="14">
        <v>0.15893350682710999</v>
      </c>
      <c r="AJ1430" s="14">
        <v>0.135182533291029</v>
      </c>
      <c r="AK1430" s="14">
        <v>0.22153167748529301</v>
      </c>
      <c r="AL1430" s="14">
        <v>0.238268200687686</v>
      </c>
      <c r="AM1430" s="14">
        <v>7.8825615486732503E-2</v>
      </c>
      <c r="AN1430" s="14">
        <v>0.32686754167857501</v>
      </c>
      <c r="AO1430" s="14"/>
      <c r="AP1430" s="14">
        <v>0.17422618662979</v>
      </c>
      <c r="AQ1430" s="14">
        <v>0.207060938626524</v>
      </c>
      <c r="AR1430" s="14"/>
      <c r="AS1430" s="14" t="s">
        <v>88</v>
      </c>
      <c r="AT1430" s="14" t="s">
        <v>88</v>
      </c>
      <c r="AU1430" s="14">
        <v>0.19097012306741901</v>
      </c>
      <c r="AV1430" s="14"/>
      <c r="AW1430" s="14">
        <v>0.20073791264336099</v>
      </c>
      <c r="AX1430" s="14">
        <v>9.4532313268938101E-2</v>
      </c>
      <c r="AY1430" s="14"/>
      <c r="AZ1430" s="14">
        <v>0.15518841725364399</v>
      </c>
      <c r="BA1430" s="14">
        <v>0.31584942544183697</v>
      </c>
    </row>
    <row r="1431" spans="2:53" x14ac:dyDescent="0.35">
      <c r="C1431" s="14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</row>
    <row r="1432" spans="2:53" x14ac:dyDescent="0.35">
      <c r="B1432" s="6" t="s">
        <v>356</v>
      </c>
      <c r="C1432" s="14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</row>
    <row r="1433" spans="2:53" x14ac:dyDescent="0.35">
      <c r="B1433" s="30" t="s">
        <v>463</v>
      </c>
      <c r="C1433" s="14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</row>
    <row r="1434" spans="2:53" x14ac:dyDescent="0.35">
      <c r="B1434" t="s">
        <v>214</v>
      </c>
      <c r="C1434" s="14">
        <v>0.15912474319833</v>
      </c>
      <c r="D1434" s="14">
        <v>0.197071688173688</v>
      </c>
      <c r="E1434" s="14">
        <v>0.122894194397263</v>
      </c>
      <c r="F1434" s="14"/>
      <c r="G1434" s="14">
        <v>0</v>
      </c>
      <c r="H1434" s="14">
        <v>0.19812412988745001</v>
      </c>
      <c r="I1434" s="14">
        <v>0.177803699926502</v>
      </c>
      <c r="J1434" s="14">
        <v>0.133793256167372</v>
      </c>
      <c r="K1434" s="14">
        <v>0.15429042445115199</v>
      </c>
      <c r="L1434" s="14">
        <v>0.159220303441648</v>
      </c>
      <c r="M1434" s="14"/>
      <c r="N1434" s="14">
        <v>0.155089992413557</v>
      </c>
      <c r="O1434" s="14">
        <v>0.11418207529679</v>
      </c>
      <c r="P1434" s="14">
        <v>0.16166410682619201</v>
      </c>
      <c r="Q1434" s="14">
        <v>0.216062425230511</v>
      </c>
      <c r="R1434" s="14"/>
      <c r="S1434" s="14">
        <v>0.20917187447550101</v>
      </c>
      <c r="T1434" s="14">
        <v>0.15675742544155899</v>
      </c>
      <c r="U1434" s="14">
        <v>0.14918621793607201</v>
      </c>
      <c r="V1434" s="14">
        <v>0.19093663894005999</v>
      </c>
      <c r="W1434" s="14">
        <v>0.13682449510133901</v>
      </c>
      <c r="X1434" s="14">
        <v>0.19861841068019201</v>
      </c>
      <c r="Y1434" s="14">
        <v>0.111397909597415</v>
      </c>
      <c r="Z1434" s="14">
        <v>0.172714123270057</v>
      </c>
      <c r="AA1434" s="14">
        <v>9.8888330446049305E-2</v>
      </c>
      <c r="AB1434" s="14"/>
      <c r="AC1434" s="14">
        <v>0.15870315589342901</v>
      </c>
      <c r="AD1434" s="14">
        <v>0.14670001564717799</v>
      </c>
      <c r="AE1434" s="14">
        <v>0.168890847780127</v>
      </c>
      <c r="AF1434" s="14">
        <v>0.13739114323875001</v>
      </c>
      <c r="AG1434" s="14">
        <v>0.289130732213363</v>
      </c>
      <c r="AH1434" s="14"/>
      <c r="AI1434" s="14">
        <v>0.221097524985927</v>
      </c>
      <c r="AJ1434" s="14">
        <v>0.180523753785888</v>
      </c>
      <c r="AK1434" s="14">
        <v>0.177149713435027</v>
      </c>
      <c r="AL1434" s="14">
        <v>0.124832024054243</v>
      </c>
      <c r="AM1434" s="14">
        <v>5.54914313961044E-2</v>
      </c>
      <c r="AN1434" s="14">
        <v>5.9881423386376899E-2</v>
      </c>
      <c r="AO1434" s="14"/>
      <c r="AP1434" s="14">
        <v>0.16883969682973499</v>
      </c>
      <c r="AQ1434" s="14">
        <v>0.147766176200022</v>
      </c>
      <c r="AR1434" s="14"/>
      <c r="AS1434" s="14" t="s">
        <v>88</v>
      </c>
      <c r="AT1434" s="14" t="s">
        <v>88</v>
      </c>
      <c r="AU1434" s="14">
        <v>0.15912474319833</v>
      </c>
      <c r="AV1434" s="14"/>
      <c r="AW1434" s="14">
        <v>0.144939009673586</v>
      </c>
      <c r="AX1434" s="14">
        <v>0.204069540930187</v>
      </c>
      <c r="AY1434" s="14"/>
      <c r="AZ1434" s="14">
        <v>0.176230049457483</v>
      </c>
      <c r="BA1434" s="14">
        <v>7.9710787228156693E-2</v>
      </c>
    </row>
    <row r="1435" spans="2:53" x14ac:dyDescent="0.35">
      <c r="B1435" t="s">
        <v>215</v>
      </c>
      <c r="C1435" s="14">
        <v>0.54247899282596501</v>
      </c>
      <c r="D1435" s="14">
        <v>0.53783953525259198</v>
      </c>
      <c r="E1435" s="14">
        <v>0.54812942586689495</v>
      </c>
      <c r="F1435" s="14"/>
      <c r="G1435" s="14">
        <v>0.43925619550893402</v>
      </c>
      <c r="H1435" s="14">
        <v>0.59390781772850298</v>
      </c>
      <c r="I1435" s="14">
        <v>0.54994243799091602</v>
      </c>
      <c r="J1435" s="14">
        <v>0.552066352101795</v>
      </c>
      <c r="K1435" s="14">
        <v>0.47682816387662202</v>
      </c>
      <c r="L1435" s="14">
        <v>0.45625447401212299</v>
      </c>
      <c r="M1435" s="14"/>
      <c r="N1435" s="14">
        <v>0.54748966704292901</v>
      </c>
      <c r="O1435" s="14">
        <v>0.50342246276609004</v>
      </c>
      <c r="P1435" s="14">
        <v>0.60404943310785297</v>
      </c>
      <c r="Q1435" s="14">
        <v>0.51710033645471098</v>
      </c>
      <c r="R1435" s="14"/>
      <c r="S1435" s="14">
        <v>0.53620089103826096</v>
      </c>
      <c r="T1435" s="14">
        <v>0.53053221943367301</v>
      </c>
      <c r="U1435" s="14">
        <v>0.46124732027122001</v>
      </c>
      <c r="V1435" s="14">
        <v>0.48467702012146002</v>
      </c>
      <c r="W1435" s="14">
        <v>0.57661506156466102</v>
      </c>
      <c r="X1435" s="14">
        <v>0.50871497913188202</v>
      </c>
      <c r="Y1435" s="14">
        <v>0.619055460669933</v>
      </c>
      <c r="Z1435" s="14">
        <v>0.52760188227112503</v>
      </c>
      <c r="AA1435" s="14">
        <v>0.61985646093818902</v>
      </c>
      <c r="AB1435" s="14"/>
      <c r="AC1435" s="14">
        <v>0.51417459668851595</v>
      </c>
      <c r="AD1435" s="14">
        <v>0.61534991845585196</v>
      </c>
      <c r="AE1435" s="14">
        <v>0.53361156034408996</v>
      </c>
      <c r="AF1435" s="14">
        <v>0.56993601206021804</v>
      </c>
      <c r="AG1435" s="14">
        <v>0.48076768082673099</v>
      </c>
      <c r="AH1435" s="14"/>
      <c r="AI1435" s="14">
        <v>0.52241330483515203</v>
      </c>
      <c r="AJ1435" s="14">
        <v>0.56860989421172103</v>
      </c>
      <c r="AK1435" s="14">
        <v>0.41860138455517298</v>
      </c>
      <c r="AL1435" s="14">
        <v>0.51692608457501099</v>
      </c>
      <c r="AM1435" s="14">
        <v>0.62449319607368103</v>
      </c>
      <c r="AN1435" s="14">
        <v>0.54443409427174505</v>
      </c>
      <c r="AO1435" s="14"/>
      <c r="AP1435" s="14">
        <v>0.55782256443424605</v>
      </c>
      <c r="AQ1435" s="14">
        <v>0.52342662508270299</v>
      </c>
      <c r="AR1435" s="14"/>
      <c r="AS1435" s="14" t="s">
        <v>88</v>
      </c>
      <c r="AT1435" s="14" t="s">
        <v>88</v>
      </c>
      <c r="AU1435" s="14">
        <v>0.54247899282596501</v>
      </c>
      <c r="AV1435" s="14"/>
      <c r="AW1435" s="14">
        <v>0.55551487043636805</v>
      </c>
      <c r="AX1435" s="14">
        <v>0.53791222142536899</v>
      </c>
      <c r="AY1435" s="14"/>
      <c r="AZ1435" s="14">
        <v>0.53945742646543005</v>
      </c>
      <c r="BA1435" s="14">
        <v>0.553639591864448</v>
      </c>
    </row>
    <row r="1436" spans="2:53" x14ac:dyDescent="0.35">
      <c r="B1436" t="s">
        <v>216</v>
      </c>
      <c r="C1436" s="14">
        <v>0.14026874977095399</v>
      </c>
      <c r="D1436" s="14">
        <v>0.110437440043008</v>
      </c>
      <c r="E1436" s="14">
        <v>0.16715471304441301</v>
      </c>
      <c r="F1436" s="14"/>
      <c r="G1436" s="14">
        <v>0</v>
      </c>
      <c r="H1436" s="14">
        <v>0.15059211767344999</v>
      </c>
      <c r="I1436" s="14">
        <v>0.134852001666667</v>
      </c>
      <c r="J1436" s="14">
        <v>0.138926609679005</v>
      </c>
      <c r="K1436" s="14">
        <v>0.13106306171268101</v>
      </c>
      <c r="L1436" s="14">
        <v>0.27979575500626702</v>
      </c>
      <c r="M1436" s="14"/>
      <c r="N1436" s="14">
        <v>0.13263225622003599</v>
      </c>
      <c r="O1436" s="14">
        <v>0.171232035013862</v>
      </c>
      <c r="P1436" s="14">
        <v>0.121642377459378</v>
      </c>
      <c r="Q1436" s="14">
        <v>0.13309075342683799</v>
      </c>
      <c r="R1436" s="14"/>
      <c r="S1436" s="14">
        <v>0.13304799489639901</v>
      </c>
      <c r="T1436" s="14">
        <v>0.14557989845966501</v>
      </c>
      <c r="U1436" s="14">
        <v>8.2241739865503302E-2</v>
      </c>
      <c r="V1436" s="14">
        <v>0.19704935457099401</v>
      </c>
      <c r="W1436" s="14">
        <v>0.15981170930935601</v>
      </c>
      <c r="X1436" s="14">
        <v>0.12653788933963001</v>
      </c>
      <c r="Y1436" s="14">
        <v>8.8538215564501796E-2</v>
      </c>
      <c r="Z1436" s="14">
        <v>0.150718362931754</v>
      </c>
      <c r="AA1436" s="14">
        <v>0.17015272846294899</v>
      </c>
      <c r="AB1436" s="14"/>
      <c r="AC1436" s="14">
        <v>0.16760480582776299</v>
      </c>
      <c r="AD1436" s="14">
        <v>0.103503877338399</v>
      </c>
      <c r="AE1436" s="14">
        <v>0.15001644242690301</v>
      </c>
      <c r="AF1436" s="14">
        <v>0.13337284555028001</v>
      </c>
      <c r="AG1436" s="14">
        <v>8.8844540498803706E-2</v>
      </c>
      <c r="AH1436" s="14"/>
      <c r="AI1436" s="14">
        <v>0.109882532482574</v>
      </c>
      <c r="AJ1436" s="14">
        <v>0.129749403548854</v>
      </c>
      <c r="AK1436" s="14">
        <v>0.221070052988738</v>
      </c>
      <c r="AL1436" s="14">
        <v>0.16528237151380501</v>
      </c>
      <c r="AM1436" s="14">
        <v>8.92016479320627E-2</v>
      </c>
      <c r="AN1436" s="14">
        <v>0.148378056691923</v>
      </c>
      <c r="AO1436" s="14"/>
      <c r="AP1436" s="14">
        <v>0.116417415300135</v>
      </c>
      <c r="AQ1436" s="14">
        <v>0.16898894409992299</v>
      </c>
      <c r="AR1436" s="14"/>
      <c r="AS1436" s="14" t="s">
        <v>88</v>
      </c>
      <c r="AT1436" s="14" t="s">
        <v>88</v>
      </c>
      <c r="AU1436" s="14">
        <v>0.14026874977095399</v>
      </c>
      <c r="AV1436" s="14"/>
      <c r="AW1436" s="14">
        <v>0.132287466261655</v>
      </c>
      <c r="AX1436" s="14">
        <v>0.126884357450358</v>
      </c>
      <c r="AY1436" s="14"/>
      <c r="AZ1436" s="14">
        <v>0.139652775140895</v>
      </c>
      <c r="BA1436" s="14">
        <v>0.14410343828744601</v>
      </c>
    </row>
    <row r="1437" spans="2:53" x14ac:dyDescent="0.35">
      <c r="B1437" t="s">
        <v>217</v>
      </c>
      <c r="C1437" s="14">
        <v>2.1054496301508699E-2</v>
      </c>
      <c r="D1437" s="14">
        <v>2.7150700963515802E-2</v>
      </c>
      <c r="E1437" s="14">
        <v>1.5224235933098801E-2</v>
      </c>
      <c r="F1437" s="14"/>
      <c r="G1437" s="14">
        <v>0</v>
      </c>
      <c r="H1437" s="14">
        <v>0</v>
      </c>
      <c r="I1437" s="14">
        <v>1.5405529732369199E-2</v>
      </c>
      <c r="J1437" s="14">
        <v>3.2828457465098597E-2</v>
      </c>
      <c r="K1437" s="14">
        <v>2.1761144406916701E-2</v>
      </c>
      <c r="L1437" s="14">
        <v>0</v>
      </c>
      <c r="M1437" s="14"/>
      <c r="N1437" s="14">
        <v>1.8905857170536399E-2</v>
      </c>
      <c r="O1437" s="14">
        <v>3.2919468851523602E-2</v>
      </c>
      <c r="P1437" s="14">
        <v>5.6803636882388304E-3</v>
      </c>
      <c r="Q1437" s="14">
        <v>2.6867431659837401E-2</v>
      </c>
      <c r="R1437" s="14"/>
      <c r="S1437" s="14">
        <v>9.70251395232739E-3</v>
      </c>
      <c r="T1437" s="14">
        <v>2.2262524235926499E-2</v>
      </c>
      <c r="U1437" s="14">
        <v>5.5360600740615599E-2</v>
      </c>
      <c r="V1437" s="14">
        <v>2.68116077972562E-2</v>
      </c>
      <c r="W1437" s="14">
        <v>7.2988288891517204E-3</v>
      </c>
      <c r="X1437" s="14">
        <v>1.11572738232686E-2</v>
      </c>
      <c r="Y1437" s="14">
        <v>2.1359213459811201E-2</v>
      </c>
      <c r="Z1437" s="14">
        <v>2.1697600515538401E-2</v>
      </c>
      <c r="AA1437" s="14">
        <v>2.11220189876541E-2</v>
      </c>
      <c r="AB1437" s="14"/>
      <c r="AC1437" s="14">
        <v>1.3420239125599399E-2</v>
      </c>
      <c r="AD1437" s="14">
        <v>3.2273414795804499E-2</v>
      </c>
      <c r="AE1437" s="14">
        <v>2.2563413893752601E-2</v>
      </c>
      <c r="AF1437" s="14">
        <v>2.1103329277043399E-2</v>
      </c>
      <c r="AG1437" s="14">
        <v>0</v>
      </c>
      <c r="AH1437" s="14"/>
      <c r="AI1437" s="14">
        <v>1.4728918401365001E-2</v>
      </c>
      <c r="AJ1437" s="14">
        <v>5.1743988107943503E-3</v>
      </c>
      <c r="AK1437" s="14">
        <v>5.5548830548860902E-2</v>
      </c>
      <c r="AL1437" s="14">
        <v>8.2099049956594703E-3</v>
      </c>
      <c r="AM1437" s="14">
        <v>2.6185608810701502E-2</v>
      </c>
      <c r="AN1437" s="14">
        <v>5.8682456488897999E-2</v>
      </c>
      <c r="AO1437" s="14"/>
      <c r="AP1437" s="14">
        <v>2.8248009968234102E-2</v>
      </c>
      <c r="AQ1437" s="14">
        <v>1.2492021579271701E-2</v>
      </c>
      <c r="AR1437" s="14"/>
      <c r="AS1437" s="14" t="s">
        <v>88</v>
      </c>
      <c r="AT1437" s="14" t="s">
        <v>88</v>
      </c>
      <c r="AU1437" s="14">
        <v>2.1054496301508699E-2</v>
      </c>
      <c r="AV1437" s="14"/>
      <c r="AW1437" s="14">
        <v>2.1311313809213198E-2</v>
      </c>
      <c r="AX1437" s="14">
        <v>1.88509864116276E-2</v>
      </c>
      <c r="AY1437" s="14"/>
      <c r="AZ1437" s="14">
        <v>1.9407386296406301E-2</v>
      </c>
      <c r="BA1437" s="14">
        <v>2.8944365891803599E-2</v>
      </c>
    </row>
    <row r="1438" spans="2:53" x14ac:dyDescent="0.35">
      <c r="B1438" t="s">
        <v>116</v>
      </c>
      <c r="C1438" s="14">
        <v>6.3111765460625399E-2</v>
      </c>
      <c r="D1438" s="14">
        <v>4.0578151548219699E-2</v>
      </c>
      <c r="E1438" s="14">
        <v>8.4968550110448904E-2</v>
      </c>
      <c r="F1438" s="14"/>
      <c r="G1438" s="14">
        <v>0</v>
      </c>
      <c r="H1438" s="14">
        <v>3.9257510452229902E-2</v>
      </c>
      <c r="I1438" s="14">
        <v>5.7286154318425903E-2</v>
      </c>
      <c r="J1438" s="14">
        <v>6.4107341972881607E-2</v>
      </c>
      <c r="K1438" s="14">
        <v>8.7356874124446399E-2</v>
      </c>
      <c r="L1438" s="14">
        <v>0.104729467539962</v>
      </c>
      <c r="M1438" s="14"/>
      <c r="N1438" s="14">
        <v>5.7004862581858003E-2</v>
      </c>
      <c r="O1438" s="14">
        <v>0.11273644665252</v>
      </c>
      <c r="P1438" s="14">
        <v>5.4332919087439598E-2</v>
      </c>
      <c r="Q1438" s="14">
        <v>2.12870695951029E-2</v>
      </c>
      <c r="R1438" s="14"/>
      <c r="S1438" s="14">
        <v>3.0244743306074299E-2</v>
      </c>
      <c r="T1438" s="14">
        <v>6.0044557329585198E-2</v>
      </c>
      <c r="U1438" s="14">
        <v>0.10271730621172501</v>
      </c>
      <c r="V1438" s="14">
        <v>5.9335250542177698E-2</v>
      </c>
      <c r="W1438" s="14">
        <v>7.3580107187676796E-2</v>
      </c>
      <c r="X1438" s="14">
        <v>8.9754800652192504E-2</v>
      </c>
      <c r="Y1438" s="14">
        <v>8.7203516665058003E-2</v>
      </c>
      <c r="Z1438" s="14">
        <v>7.2413548263428398E-2</v>
      </c>
      <c r="AA1438" s="14">
        <v>3.0865218281896398E-2</v>
      </c>
      <c r="AB1438" s="14"/>
      <c r="AC1438" s="14">
        <v>9.9408398213023302E-2</v>
      </c>
      <c r="AD1438" s="14">
        <v>5.3564737449821098E-2</v>
      </c>
      <c r="AE1438" s="14">
        <v>6.8897155753860406E-2</v>
      </c>
      <c r="AF1438" s="14">
        <v>2.5038871941275999E-2</v>
      </c>
      <c r="AG1438" s="14">
        <v>1.34545781342034E-2</v>
      </c>
      <c r="AH1438" s="14"/>
      <c r="AI1438" s="14">
        <v>6.0571371487974202E-2</v>
      </c>
      <c r="AJ1438" s="14">
        <v>6.1612416426936802E-2</v>
      </c>
      <c r="AK1438" s="14">
        <v>6.0597035404260501E-2</v>
      </c>
      <c r="AL1438" s="14">
        <v>7.7851162163223103E-2</v>
      </c>
      <c r="AM1438" s="14">
        <v>4.5528328305852302E-2</v>
      </c>
      <c r="AN1438" s="14">
        <v>9.6171994046429204E-2</v>
      </c>
      <c r="AO1438" s="14"/>
      <c r="AP1438" s="14">
        <v>5.6995209505242603E-2</v>
      </c>
      <c r="AQ1438" s="14">
        <v>7.0519528249092106E-2</v>
      </c>
      <c r="AR1438" s="14"/>
      <c r="AS1438" s="14" t="s">
        <v>88</v>
      </c>
      <c r="AT1438" s="14" t="s">
        <v>88</v>
      </c>
      <c r="AU1438" s="14">
        <v>6.3111765460625399E-2</v>
      </c>
      <c r="AV1438" s="14"/>
      <c r="AW1438" s="14">
        <v>7.1958156460908404E-2</v>
      </c>
      <c r="AX1438" s="14">
        <v>2.8101036878490498E-2</v>
      </c>
      <c r="AY1438" s="14"/>
      <c r="AZ1438" s="14">
        <v>5.2557041552055601E-2</v>
      </c>
      <c r="BA1438" s="14">
        <v>0.113190758564872</v>
      </c>
    </row>
    <row r="1439" spans="2:53" x14ac:dyDescent="0.35"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</row>
    <row r="1440" spans="2:53" x14ac:dyDescent="0.35">
      <c r="B1440" s="6" t="s">
        <v>357</v>
      </c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</row>
    <row r="1441" spans="2:53" x14ac:dyDescent="0.35">
      <c r="B1441" s="30" t="s">
        <v>463</v>
      </c>
      <c r="C1441" s="14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</row>
    <row r="1442" spans="2:53" x14ac:dyDescent="0.35">
      <c r="B1442" t="s">
        <v>220</v>
      </c>
      <c r="C1442" s="14">
        <v>0.208716421020474</v>
      </c>
      <c r="D1442" s="14">
        <v>0.25760728069275601</v>
      </c>
      <c r="E1442" s="14">
        <v>0.16204500537581801</v>
      </c>
      <c r="F1442" s="14"/>
      <c r="G1442" s="14">
        <v>0</v>
      </c>
      <c r="H1442" s="14">
        <v>0.31195630131340002</v>
      </c>
      <c r="I1442" s="14">
        <v>0.20797511773416399</v>
      </c>
      <c r="J1442" s="14">
        <v>0.196808262617508</v>
      </c>
      <c r="K1442" s="14">
        <v>0.17890721099005</v>
      </c>
      <c r="L1442" s="14">
        <v>0.25977453340345003</v>
      </c>
      <c r="M1442" s="14"/>
      <c r="N1442" s="14">
        <v>0.25215410072274203</v>
      </c>
      <c r="O1442" s="14">
        <v>0.17755610808060701</v>
      </c>
      <c r="P1442" s="14">
        <v>0.20077874305507101</v>
      </c>
      <c r="Q1442" s="14">
        <v>0.19352817371058001</v>
      </c>
      <c r="R1442" s="14"/>
      <c r="S1442" s="14">
        <v>0.29265668640180698</v>
      </c>
      <c r="T1442" s="14">
        <v>0.17486003636818101</v>
      </c>
      <c r="U1442" s="14">
        <v>0.22501431307432501</v>
      </c>
      <c r="V1442" s="14">
        <v>0.221326837378295</v>
      </c>
      <c r="W1442" s="14">
        <v>0.13204023381159499</v>
      </c>
      <c r="X1442" s="14">
        <v>0.20776443602376601</v>
      </c>
      <c r="Y1442" s="14">
        <v>0.209025904357453</v>
      </c>
      <c r="Z1442" s="14">
        <v>0.23275934499119399</v>
      </c>
      <c r="AA1442" s="14">
        <v>0.17208806051053199</v>
      </c>
      <c r="AB1442" s="14"/>
      <c r="AC1442" s="14">
        <v>0.18512524731954999</v>
      </c>
      <c r="AD1442" s="14">
        <v>0.19782926581372801</v>
      </c>
      <c r="AE1442" s="14">
        <v>0.18291426884188</v>
      </c>
      <c r="AF1442" s="14">
        <v>0.30795733039781198</v>
      </c>
      <c r="AG1442" s="14">
        <v>0.39473587497044799</v>
      </c>
      <c r="AH1442" s="14"/>
      <c r="AI1442" s="14">
        <v>0.26857012574499101</v>
      </c>
      <c r="AJ1442" s="14">
        <v>0.17552716948217101</v>
      </c>
      <c r="AK1442" s="14">
        <v>0.19423818782698299</v>
      </c>
      <c r="AL1442" s="14">
        <v>0.22411816938222501</v>
      </c>
      <c r="AM1442" s="14">
        <v>0.20602058333213799</v>
      </c>
      <c r="AN1442" s="14">
        <v>9.5275581464348003E-2</v>
      </c>
      <c r="AO1442" s="14"/>
      <c r="AP1442" s="14">
        <v>0.25698000767863999</v>
      </c>
      <c r="AQ1442" s="14">
        <v>0.151373943996712</v>
      </c>
      <c r="AR1442" s="14"/>
      <c r="AS1442" s="14" t="s">
        <v>88</v>
      </c>
      <c r="AT1442" s="14" t="s">
        <v>88</v>
      </c>
      <c r="AU1442" s="14">
        <v>0.208716421020474</v>
      </c>
      <c r="AV1442" s="14"/>
      <c r="AW1442" s="14">
        <v>0.19252441489927499</v>
      </c>
      <c r="AX1442" s="14">
        <v>0.30561589290515701</v>
      </c>
      <c r="AY1442" s="14"/>
      <c r="AZ1442" s="14">
        <v>0.22505606771911199</v>
      </c>
      <c r="BA1442" s="14">
        <v>0.126558198590558</v>
      </c>
    </row>
    <row r="1443" spans="2:53" x14ac:dyDescent="0.35">
      <c r="B1443" t="s">
        <v>221</v>
      </c>
      <c r="C1443" s="14">
        <v>0.50011107041316905</v>
      </c>
      <c r="D1443" s="14">
        <v>0.489714484473533</v>
      </c>
      <c r="E1443" s="14">
        <v>0.50904608895163905</v>
      </c>
      <c r="F1443" s="14"/>
      <c r="G1443" s="14">
        <v>0</v>
      </c>
      <c r="H1443" s="14">
        <v>0.423026858086681</v>
      </c>
      <c r="I1443" s="14">
        <v>0.53274056689717197</v>
      </c>
      <c r="J1443" s="14">
        <v>0.49420778645602698</v>
      </c>
      <c r="K1443" s="14">
        <v>0.466216296631905</v>
      </c>
      <c r="L1443" s="14">
        <v>0.51648023402464405</v>
      </c>
      <c r="M1443" s="14"/>
      <c r="N1443" s="14">
        <v>0.487849120689687</v>
      </c>
      <c r="O1443" s="14">
        <v>0.48760460653592202</v>
      </c>
      <c r="P1443" s="14">
        <v>0.52627738291338899</v>
      </c>
      <c r="Q1443" s="14">
        <v>0.50122294981735704</v>
      </c>
      <c r="R1443" s="14"/>
      <c r="S1443" s="14">
        <v>0.47786083103134402</v>
      </c>
      <c r="T1443" s="14">
        <v>0.49743198842957298</v>
      </c>
      <c r="U1443" s="14">
        <v>0.42680271941207898</v>
      </c>
      <c r="V1443" s="14">
        <v>0.48609268808976902</v>
      </c>
      <c r="W1443" s="14">
        <v>0.56620994710211703</v>
      </c>
      <c r="X1443" s="14">
        <v>0.54338050363581403</v>
      </c>
      <c r="Y1443" s="14">
        <v>0.43297856096624199</v>
      </c>
      <c r="Z1443" s="14">
        <v>0.45023164183004599</v>
      </c>
      <c r="AA1443" s="14">
        <v>0.58706689613763496</v>
      </c>
      <c r="AB1443" s="14"/>
      <c r="AC1443" s="14">
        <v>0.45421449576397599</v>
      </c>
      <c r="AD1443" s="14">
        <v>0.5123918848158</v>
      </c>
      <c r="AE1443" s="14">
        <v>0.57323021864462398</v>
      </c>
      <c r="AF1443" s="14">
        <v>0.45664588739097001</v>
      </c>
      <c r="AG1443" s="14">
        <v>0.40632164637511398</v>
      </c>
      <c r="AH1443" s="14"/>
      <c r="AI1443" s="14">
        <v>0.47941673335617602</v>
      </c>
      <c r="AJ1443" s="14">
        <v>0.576506574414412</v>
      </c>
      <c r="AK1443" s="14">
        <v>0.492315489408645</v>
      </c>
      <c r="AL1443" s="14">
        <v>0.41498911102907199</v>
      </c>
      <c r="AM1443" s="14">
        <v>0.42746020057653</v>
      </c>
      <c r="AN1443" s="14">
        <v>0.54479238235316396</v>
      </c>
      <c r="AO1443" s="14"/>
      <c r="AP1443" s="14">
        <v>0.49127848158306697</v>
      </c>
      <c r="AQ1443" s="14">
        <v>0.50988028320715895</v>
      </c>
      <c r="AR1443" s="14"/>
      <c r="AS1443" s="14" t="s">
        <v>88</v>
      </c>
      <c r="AT1443" s="14" t="s">
        <v>88</v>
      </c>
      <c r="AU1443" s="14">
        <v>0.50011107041316905</v>
      </c>
      <c r="AV1443" s="14"/>
      <c r="AW1443" s="14">
        <v>0.51675267804347602</v>
      </c>
      <c r="AX1443" s="14">
        <v>0.47817591793418002</v>
      </c>
      <c r="AY1443" s="14"/>
      <c r="AZ1443" s="14">
        <v>0.50709625473933095</v>
      </c>
      <c r="BA1443" s="14">
        <v>0.47058696133337302</v>
      </c>
    </row>
    <row r="1444" spans="2:53" x14ac:dyDescent="0.35">
      <c r="B1444" t="s">
        <v>222</v>
      </c>
      <c r="C1444" s="14">
        <v>0.168729706591524</v>
      </c>
      <c r="D1444" s="14">
        <v>0.146472555559232</v>
      </c>
      <c r="E1444" s="14">
        <v>0.190549473970681</v>
      </c>
      <c r="F1444" s="14"/>
      <c r="G1444" s="14">
        <v>0.43925619550893402</v>
      </c>
      <c r="H1444" s="14">
        <v>0.17265951397969201</v>
      </c>
      <c r="I1444" s="14">
        <v>0.14573491787830001</v>
      </c>
      <c r="J1444" s="14">
        <v>0.17992062667264999</v>
      </c>
      <c r="K1444" s="14">
        <v>0.19868903755247699</v>
      </c>
      <c r="L1444" s="14">
        <v>0.18445880466589901</v>
      </c>
      <c r="M1444" s="14"/>
      <c r="N1444" s="14">
        <v>0.142288031793527</v>
      </c>
      <c r="O1444" s="14">
        <v>0.179837746427294</v>
      </c>
      <c r="P1444" s="14">
        <v>0.17208983518474399</v>
      </c>
      <c r="Q1444" s="14">
        <v>0.19283315591328101</v>
      </c>
      <c r="R1444" s="14"/>
      <c r="S1444" s="14">
        <v>0.14911988650493299</v>
      </c>
      <c r="T1444" s="14">
        <v>0.16195110155384501</v>
      </c>
      <c r="U1444" s="14">
        <v>0.15557688370191</v>
      </c>
      <c r="V1444" s="14">
        <v>0.18010721305542901</v>
      </c>
      <c r="W1444" s="14">
        <v>0.19858246074717101</v>
      </c>
      <c r="X1444" s="14">
        <v>0.14170293926552999</v>
      </c>
      <c r="Y1444" s="14">
        <v>0.22078168809620899</v>
      </c>
      <c r="Z1444" s="14">
        <v>0.229324521245931</v>
      </c>
      <c r="AA1444" s="14">
        <v>0.132028452972696</v>
      </c>
      <c r="AB1444" s="14"/>
      <c r="AC1444" s="14">
        <v>0.22036124296557499</v>
      </c>
      <c r="AD1444" s="14">
        <v>0.19421791044185399</v>
      </c>
      <c r="AE1444" s="14">
        <v>0.13559472360406299</v>
      </c>
      <c r="AF1444" s="14">
        <v>0.12404875802587501</v>
      </c>
      <c r="AG1444" s="14">
        <v>9.1092538521412802E-2</v>
      </c>
      <c r="AH1444" s="14"/>
      <c r="AI1444" s="14">
        <v>0.13932105138645501</v>
      </c>
      <c r="AJ1444" s="14">
        <v>0.16334864576099001</v>
      </c>
      <c r="AK1444" s="14">
        <v>0.14675493433738901</v>
      </c>
      <c r="AL1444" s="14">
        <v>0.22299542214448201</v>
      </c>
      <c r="AM1444" s="14">
        <v>0.22340229666928499</v>
      </c>
      <c r="AN1444" s="14">
        <v>0.164562547260061</v>
      </c>
      <c r="AO1444" s="14"/>
      <c r="AP1444" s="14">
        <v>0.14021169353347601</v>
      </c>
      <c r="AQ1444" s="14">
        <v>0.20307080142661399</v>
      </c>
      <c r="AR1444" s="14"/>
      <c r="AS1444" s="14" t="s">
        <v>88</v>
      </c>
      <c r="AT1444" s="14" t="s">
        <v>88</v>
      </c>
      <c r="AU1444" s="14">
        <v>0.168729706591524</v>
      </c>
      <c r="AV1444" s="14"/>
      <c r="AW1444" s="14">
        <v>0.16716733265838199</v>
      </c>
      <c r="AX1444" s="14">
        <v>0.10018865828135901</v>
      </c>
      <c r="AY1444" s="14"/>
      <c r="AZ1444" s="14">
        <v>0.15804481794337699</v>
      </c>
      <c r="BA1444" s="14">
        <v>0.22012637731748499</v>
      </c>
    </row>
    <row r="1445" spans="2:53" x14ac:dyDescent="0.35">
      <c r="B1445" t="s">
        <v>223</v>
      </c>
      <c r="C1445" s="14">
        <v>1.39883071892524E-2</v>
      </c>
      <c r="D1445" s="14">
        <v>1.27497949221106E-2</v>
      </c>
      <c r="E1445" s="14">
        <v>1.52124730355574E-2</v>
      </c>
      <c r="F1445" s="14"/>
      <c r="G1445" s="14">
        <v>0</v>
      </c>
      <c r="H1445" s="14">
        <v>1.4377290619857E-2</v>
      </c>
      <c r="I1445" s="14">
        <v>1.21345751897753E-2</v>
      </c>
      <c r="J1445" s="14">
        <v>2.15585618884588E-2</v>
      </c>
      <c r="K1445" s="14">
        <v>0</v>
      </c>
      <c r="L1445" s="14">
        <v>0</v>
      </c>
      <c r="M1445" s="14"/>
      <c r="N1445" s="14">
        <v>6.9892495219129004E-3</v>
      </c>
      <c r="O1445" s="14">
        <v>1.02719928344103E-2</v>
      </c>
      <c r="P1445" s="14">
        <v>1.00461155997126E-2</v>
      </c>
      <c r="Q1445" s="14">
        <v>3.2579955933922697E-2</v>
      </c>
      <c r="R1445" s="14"/>
      <c r="S1445" s="14">
        <v>1.41379180835045E-2</v>
      </c>
      <c r="T1445" s="14">
        <v>3.2301979562735901E-2</v>
      </c>
      <c r="U1445" s="14">
        <v>9.2103644905640897E-3</v>
      </c>
      <c r="V1445" s="14">
        <v>0</v>
      </c>
      <c r="W1445" s="14">
        <v>0</v>
      </c>
      <c r="X1445" s="14">
        <v>2.23145476465373E-2</v>
      </c>
      <c r="Y1445" s="14">
        <v>2.1359213459811201E-2</v>
      </c>
      <c r="Z1445" s="14">
        <v>2.4893698048824998E-2</v>
      </c>
      <c r="AA1445" s="14">
        <v>0</v>
      </c>
      <c r="AB1445" s="14"/>
      <c r="AC1445" s="14">
        <v>2.05184155835401E-2</v>
      </c>
      <c r="AD1445" s="14">
        <v>2.8492927138970999E-2</v>
      </c>
      <c r="AE1445" s="14">
        <v>9.8214426587680502E-3</v>
      </c>
      <c r="AF1445" s="14">
        <v>0</v>
      </c>
      <c r="AG1445" s="14">
        <v>0</v>
      </c>
      <c r="AH1445" s="14"/>
      <c r="AI1445" s="14">
        <v>7.7986394164909802E-3</v>
      </c>
      <c r="AJ1445" s="14">
        <v>1.93706143685757E-3</v>
      </c>
      <c r="AK1445" s="14">
        <v>2.7467367576632599E-2</v>
      </c>
      <c r="AL1445" s="14">
        <v>1.5545036418613E-2</v>
      </c>
      <c r="AM1445" s="14">
        <v>5.1273805806557902E-2</v>
      </c>
      <c r="AN1445" s="14">
        <v>0</v>
      </c>
      <c r="AO1445" s="14"/>
      <c r="AP1445" s="14">
        <v>1.41087025289748E-2</v>
      </c>
      <c r="AQ1445" s="14">
        <v>1.38664090872477E-2</v>
      </c>
      <c r="AR1445" s="14"/>
      <c r="AS1445" s="14" t="s">
        <v>88</v>
      </c>
      <c r="AT1445" s="14" t="s">
        <v>88</v>
      </c>
      <c r="AU1445" s="14">
        <v>1.39883071892524E-2</v>
      </c>
      <c r="AV1445" s="14"/>
      <c r="AW1445" s="14">
        <v>1.21515071984776E-2</v>
      </c>
      <c r="AX1445" s="14">
        <v>1.0842876554823E-2</v>
      </c>
      <c r="AY1445" s="14"/>
      <c r="AZ1445" s="14">
        <v>8.6891111633000603E-3</v>
      </c>
      <c r="BA1445" s="14">
        <v>3.90132174573153E-2</v>
      </c>
    </row>
    <row r="1446" spans="2:53" x14ac:dyDescent="0.35">
      <c r="B1446" t="s">
        <v>116</v>
      </c>
      <c r="C1446" s="14">
        <v>2.93840633379919E-2</v>
      </c>
      <c r="D1446" s="14">
        <v>9.9706660402489895E-3</v>
      </c>
      <c r="E1446" s="14">
        <v>4.8160062634404102E-2</v>
      </c>
      <c r="F1446" s="14"/>
      <c r="G1446" s="14">
        <v>0</v>
      </c>
      <c r="H1446" s="14">
        <v>2.8091649287213499E-2</v>
      </c>
      <c r="I1446" s="14">
        <v>3.0909024911974701E-2</v>
      </c>
      <c r="J1446" s="14">
        <v>2.4670639741143498E-2</v>
      </c>
      <c r="K1446" s="14">
        <v>3.8248259394003302E-2</v>
      </c>
      <c r="L1446" s="14">
        <v>3.9286427906006602E-2</v>
      </c>
      <c r="M1446" s="14"/>
      <c r="N1446" s="14">
        <v>2.80602217234639E-2</v>
      </c>
      <c r="O1446" s="14">
        <v>5.2841544052005002E-2</v>
      </c>
      <c r="P1446" s="14">
        <v>1.9755194220218101E-2</v>
      </c>
      <c r="Q1446" s="14">
        <v>1.107746716642E-2</v>
      </c>
      <c r="R1446" s="14"/>
      <c r="S1446" s="14">
        <v>0</v>
      </c>
      <c r="T1446" s="14">
        <v>2.6821319748420398E-2</v>
      </c>
      <c r="U1446" s="14">
        <v>2.2050613006195E-2</v>
      </c>
      <c r="V1446" s="14">
        <v>4.3746062464666197E-2</v>
      </c>
      <c r="W1446" s="14">
        <v>3.6583080058393301E-2</v>
      </c>
      <c r="X1446" s="14">
        <v>5.1200111882782902E-2</v>
      </c>
      <c r="Y1446" s="14">
        <v>5.6246993116467497E-2</v>
      </c>
      <c r="Z1446" s="14">
        <v>1.39645820312038E-2</v>
      </c>
      <c r="AA1446" s="14">
        <v>2.8538275140367601E-2</v>
      </c>
      <c r="AB1446" s="14"/>
      <c r="AC1446" s="14">
        <v>4.5389189369504597E-2</v>
      </c>
      <c r="AD1446" s="14">
        <v>2.1387722394204001E-2</v>
      </c>
      <c r="AE1446" s="14">
        <v>3.7694286548224397E-2</v>
      </c>
      <c r="AF1446" s="14">
        <v>6.9714385378991904E-3</v>
      </c>
      <c r="AG1446" s="14">
        <v>0</v>
      </c>
      <c r="AH1446" s="14"/>
      <c r="AI1446" s="14">
        <v>3.3772008130845903E-2</v>
      </c>
      <c r="AJ1446" s="14">
        <v>1.8118010423341501E-2</v>
      </c>
      <c r="AK1446" s="14">
        <v>3.3615868069263401E-2</v>
      </c>
      <c r="AL1446" s="14">
        <v>2.54674250678248E-2</v>
      </c>
      <c r="AM1446" s="14">
        <v>1.4537295124638999E-2</v>
      </c>
      <c r="AN1446" s="14">
        <v>4.3284427602001602E-2</v>
      </c>
      <c r="AO1446" s="14"/>
      <c r="AP1446" s="14">
        <v>1.9208430908441501E-2</v>
      </c>
      <c r="AQ1446" s="14">
        <v>4.1589063506798397E-2</v>
      </c>
      <c r="AR1446" s="14"/>
      <c r="AS1446" s="14" t="s">
        <v>88</v>
      </c>
      <c r="AT1446" s="14" t="s">
        <v>88</v>
      </c>
      <c r="AU1446" s="14">
        <v>2.93840633379919E-2</v>
      </c>
      <c r="AV1446" s="14"/>
      <c r="AW1446" s="14">
        <v>2.9851963070269501E-2</v>
      </c>
      <c r="AX1446" s="14">
        <v>1.8480528349233499E-2</v>
      </c>
      <c r="AY1446" s="14"/>
      <c r="AZ1446" s="14">
        <v>2.2463997118050399E-2</v>
      </c>
      <c r="BA1446" s="14">
        <v>6.2137603674487799E-2</v>
      </c>
    </row>
    <row r="1447" spans="2:53" x14ac:dyDescent="0.35">
      <c r="B1447" t="s">
        <v>224</v>
      </c>
      <c r="C1447" s="14">
        <v>0.70882749143364199</v>
      </c>
      <c r="D1447" s="14">
        <v>0.74732176516628901</v>
      </c>
      <c r="E1447" s="14">
        <v>0.67109109432745695</v>
      </c>
      <c r="F1447" s="14"/>
      <c r="G1447" s="14">
        <v>0</v>
      </c>
      <c r="H1447" s="14">
        <v>0.73498315940008097</v>
      </c>
      <c r="I1447" s="14">
        <v>0.74071568463133597</v>
      </c>
      <c r="J1447" s="14">
        <v>0.69101604907353498</v>
      </c>
      <c r="K1447" s="14">
        <v>0.64512350762195503</v>
      </c>
      <c r="L1447" s="14">
        <v>0.77625476742809396</v>
      </c>
      <c r="M1447" s="14"/>
      <c r="N1447" s="14">
        <v>0.74000322141242902</v>
      </c>
      <c r="O1447" s="14">
        <v>0.66516071461653004</v>
      </c>
      <c r="P1447" s="14">
        <v>0.72705612596846003</v>
      </c>
      <c r="Q1447" s="14">
        <v>0.694751123527937</v>
      </c>
      <c r="R1447" s="14"/>
      <c r="S1447" s="14">
        <v>0.770517517433151</v>
      </c>
      <c r="T1447" s="14">
        <v>0.67229202479775496</v>
      </c>
      <c r="U1447" s="14">
        <v>0.65181703248640399</v>
      </c>
      <c r="V1447" s="14">
        <v>0.70741952546806397</v>
      </c>
      <c r="W1447" s="14">
        <v>0.69825018091371205</v>
      </c>
      <c r="X1447" s="14">
        <v>0.75114493965957996</v>
      </c>
      <c r="Y1447" s="14">
        <v>0.64200446532369404</v>
      </c>
      <c r="Z1447" s="14">
        <v>0.68299098682124004</v>
      </c>
      <c r="AA1447" s="14">
        <v>0.75915495664816701</v>
      </c>
      <c r="AB1447" s="14"/>
      <c r="AC1447" s="14">
        <v>0.63933974308352504</v>
      </c>
      <c r="AD1447" s="14">
        <v>0.71022115062952795</v>
      </c>
      <c r="AE1447" s="14">
        <v>0.75614448748650298</v>
      </c>
      <c r="AF1447" s="14">
        <v>0.76460321778878104</v>
      </c>
      <c r="AG1447" s="14">
        <v>0.80105752134556196</v>
      </c>
      <c r="AH1447" s="14"/>
      <c r="AI1447" s="14">
        <v>0.74798685910116702</v>
      </c>
      <c r="AJ1447" s="14">
        <v>0.75203374389658295</v>
      </c>
      <c r="AK1447" s="14">
        <v>0.68655367723562799</v>
      </c>
      <c r="AL1447" s="14">
        <v>0.63910728041129705</v>
      </c>
      <c r="AM1447" s="14">
        <v>0.63348078390866802</v>
      </c>
      <c r="AN1447" s="14">
        <v>0.64006796381751196</v>
      </c>
      <c r="AO1447" s="14"/>
      <c r="AP1447" s="14">
        <v>0.74825848926170702</v>
      </c>
      <c r="AQ1447" s="14">
        <v>0.66125422720387095</v>
      </c>
      <c r="AR1447" s="14"/>
      <c r="AS1447" s="14" t="s">
        <v>88</v>
      </c>
      <c r="AT1447" s="14" t="s">
        <v>88</v>
      </c>
      <c r="AU1447" s="14">
        <v>0.70882749143364199</v>
      </c>
      <c r="AV1447" s="14"/>
      <c r="AW1447" s="14">
        <v>0.70927709294275099</v>
      </c>
      <c r="AX1447" s="14">
        <v>0.78379181083933702</v>
      </c>
      <c r="AY1447" s="14"/>
      <c r="AZ1447" s="14">
        <v>0.73215232245844297</v>
      </c>
      <c r="BA1447" s="14">
        <v>0.59714515992393102</v>
      </c>
    </row>
    <row r="1448" spans="2:53" x14ac:dyDescent="0.35"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</row>
    <row r="1449" spans="2:53" x14ac:dyDescent="0.35">
      <c r="B1449" s="6" t="s">
        <v>358</v>
      </c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</row>
    <row r="1450" spans="2:53" x14ac:dyDescent="0.35">
      <c r="B1450" s="30" t="s">
        <v>463</v>
      </c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</row>
    <row r="1451" spans="2:53" x14ac:dyDescent="0.35">
      <c r="B1451" t="s">
        <v>226</v>
      </c>
      <c r="C1451" s="14">
        <v>0.17072767122014501</v>
      </c>
      <c r="D1451" s="14">
        <v>0.21231048864857099</v>
      </c>
      <c r="E1451" s="14">
        <v>0.13101779006232001</v>
      </c>
      <c r="F1451" s="14"/>
      <c r="G1451" s="14">
        <v>0.43925619550893402</v>
      </c>
      <c r="H1451" s="14">
        <v>0.31686223423475401</v>
      </c>
      <c r="I1451" s="14">
        <v>0.18087828641165399</v>
      </c>
      <c r="J1451" s="14">
        <v>0.14276676170115299</v>
      </c>
      <c r="K1451" s="14">
        <v>0.11848960422893</v>
      </c>
      <c r="L1451" s="14">
        <v>0.203553294734235</v>
      </c>
      <c r="M1451" s="14"/>
      <c r="N1451" s="14">
        <v>0.198679714870964</v>
      </c>
      <c r="O1451" s="14">
        <v>0.116744471617606</v>
      </c>
      <c r="P1451" s="14">
        <v>0.19379646230681899</v>
      </c>
      <c r="Q1451" s="14">
        <v>0.170994503419545</v>
      </c>
      <c r="R1451" s="14"/>
      <c r="S1451" s="14">
        <v>0.24724032078816899</v>
      </c>
      <c r="T1451" s="14">
        <v>0.147317748005276</v>
      </c>
      <c r="U1451" s="14">
        <v>0.15714925733114599</v>
      </c>
      <c r="V1451" s="14">
        <v>0.20091314319207901</v>
      </c>
      <c r="W1451" s="14">
        <v>9.8736304559133403E-2</v>
      </c>
      <c r="X1451" s="14">
        <v>0.17555599297051799</v>
      </c>
      <c r="Y1451" s="14">
        <v>0.15160178761875401</v>
      </c>
      <c r="Z1451" s="14">
        <v>0.122469832466489</v>
      </c>
      <c r="AA1451" s="14">
        <v>0.17934525423508499</v>
      </c>
      <c r="AB1451" s="14"/>
      <c r="AC1451" s="14">
        <v>0.16684439424849001</v>
      </c>
      <c r="AD1451" s="14">
        <v>0.124055075677241</v>
      </c>
      <c r="AE1451" s="14">
        <v>0.14840460155702101</v>
      </c>
      <c r="AF1451" s="14">
        <v>0.23285544094225299</v>
      </c>
      <c r="AG1451" s="14">
        <v>0.39431798138873397</v>
      </c>
      <c r="AH1451" s="14"/>
      <c r="AI1451" s="14">
        <v>0.23196590656368599</v>
      </c>
      <c r="AJ1451" s="14">
        <v>0.185748993105458</v>
      </c>
      <c r="AK1451" s="14">
        <v>0.15301521215045899</v>
      </c>
      <c r="AL1451" s="14">
        <v>0.13571447538484599</v>
      </c>
      <c r="AM1451" s="14">
        <v>2.8010405947950401E-2</v>
      </c>
      <c r="AN1451" s="14">
        <v>0.12596925830142899</v>
      </c>
      <c r="AO1451" s="14"/>
      <c r="AP1451" s="14">
        <v>0.20823177207697099</v>
      </c>
      <c r="AQ1451" s="14">
        <v>0.12461201388479801</v>
      </c>
      <c r="AR1451" s="14"/>
      <c r="AS1451" s="14" t="s">
        <v>88</v>
      </c>
      <c r="AT1451" s="14" t="s">
        <v>88</v>
      </c>
      <c r="AU1451" s="14">
        <v>0.17072767122014501</v>
      </c>
      <c r="AV1451" s="14"/>
      <c r="AW1451" s="14">
        <v>0.15378871673789099</v>
      </c>
      <c r="AX1451" s="14">
        <v>0.272771435395676</v>
      </c>
      <c r="AY1451" s="14"/>
      <c r="AZ1451" s="14">
        <v>0.18767729322610799</v>
      </c>
      <c r="BA1451" s="14">
        <v>8.5445978421192795E-2</v>
      </c>
    </row>
    <row r="1452" spans="2:53" x14ac:dyDescent="0.35">
      <c r="B1452" t="s">
        <v>227</v>
      </c>
      <c r="C1452" s="14">
        <v>0.35785359726673399</v>
      </c>
      <c r="D1452" s="14">
        <v>0.394897724325601</v>
      </c>
      <c r="E1452" s="14">
        <v>0.322925002278798</v>
      </c>
      <c r="F1452" s="14"/>
      <c r="G1452" s="14">
        <v>0</v>
      </c>
      <c r="H1452" s="14">
        <v>0.276111197959584</v>
      </c>
      <c r="I1452" s="14">
        <v>0.37808306081799198</v>
      </c>
      <c r="J1452" s="14">
        <v>0.366420224879486</v>
      </c>
      <c r="K1452" s="14">
        <v>0.33494161968074698</v>
      </c>
      <c r="L1452" s="14">
        <v>0.30308144597019299</v>
      </c>
      <c r="M1452" s="14"/>
      <c r="N1452" s="14">
        <v>0.35155125092463702</v>
      </c>
      <c r="O1452" s="14">
        <v>0.35661555613835599</v>
      </c>
      <c r="P1452" s="14">
        <v>0.44688466839700203</v>
      </c>
      <c r="Q1452" s="14">
        <v>0.27404332807666498</v>
      </c>
      <c r="R1452" s="14"/>
      <c r="S1452" s="14">
        <v>0.39241165230986202</v>
      </c>
      <c r="T1452" s="14">
        <v>0.34343080607825499</v>
      </c>
      <c r="U1452" s="14">
        <v>0.321917283181612</v>
      </c>
      <c r="V1452" s="14">
        <v>0.38735158653380403</v>
      </c>
      <c r="W1452" s="14">
        <v>0.37775574086123598</v>
      </c>
      <c r="X1452" s="14">
        <v>0.40029087896114202</v>
      </c>
      <c r="Y1452" s="14">
        <v>0.39091619262864202</v>
      </c>
      <c r="Z1452" s="14">
        <v>0.28675934880362203</v>
      </c>
      <c r="AA1452" s="14">
        <v>0.29695683660473499</v>
      </c>
      <c r="AB1452" s="14"/>
      <c r="AC1452" s="14">
        <v>0.29332408257363002</v>
      </c>
      <c r="AD1452" s="14">
        <v>0.39619153151084102</v>
      </c>
      <c r="AE1452" s="14">
        <v>0.418191825941714</v>
      </c>
      <c r="AF1452" s="14">
        <v>0.34409280991771501</v>
      </c>
      <c r="AG1452" s="14">
        <v>0.33637736453114297</v>
      </c>
      <c r="AH1452" s="14"/>
      <c r="AI1452" s="14">
        <v>0.33481270327896501</v>
      </c>
      <c r="AJ1452" s="14">
        <v>0.39377400128512302</v>
      </c>
      <c r="AK1452" s="14">
        <v>0.31787915968549102</v>
      </c>
      <c r="AL1452" s="14">
        <v>0.38876308632289103</v>
      </c>
      <c r="AM1452" s="14">
        <v>0.31786991103172701</v>
      </c>
      <c r="AN1452" s="14">
        <v>0.339173251899063</v>
      </c>
      <c r="AO1452" s="14"/>
      <c r="AP1452" s="14">
        <v>0.35992546794298402</v>
      </c>
      <c r="AQ1452" s="14">
        <v>0.35593976595400401</v>
      </c>
      <c r="AR1452" s="14"/>
      <c r="AS1452" s="14" t="s">
        <v>88</v>
      </c>
      <c r="AT1452" s="14" t="s">
        <v>88</v>
      </c>
      <c r="AU1452" s="14">
        <v>0.35785359726673399</v>
      </c>
      <c r="AV1452" s="14"/>
      <c r="AW1452" s="14">
        <v>0.35310382596014001</v>
      </c>
      <c r="AX1452" s="14">
        <v>0.42130377485521597</v>
      </c>
      <c r="AY1452" s="14"/>
      <c r="AZ1452" s="14">
        <v>0.39248811160802299</v>
      </c>
      <c r="BA1452" s="14">
        <v>0.197295787979513</v>
      </c>
    </row>
    <row r="1453" spans="2:53" x14ac:dyDescent="0.35">
      <c r="B1453" t="s">
        <v>228</v>
      </c>
      <c r="C1453" s="14">
        <v>0.26171953063002001</v>
      </c>
      <c r="D1453" s="14">
        <v>0.23475978624461799</v>
      </c>
      <c r="E1453" s="14">
        <v>0.28827405213606799</v>
      </c>
      <c r="F1453" s="14"/>
      <c r="G1453" s="14">
        <v>0</v>
      </c>
      <c r="H1453" s="14">
        <v>0.21514917126751701</v>
      </c>
      <c r="I1453" s="14">
        <v>0.25509444776465501</v>
      </c>
      <c r="J1453" s="14">
        <v>0.27070871111746497</v>
      </c>
      <c r="K1453" s="14">
        <v>0.25596482315366098</v>
      </c>
      <c r="L1453" s="14">
        <v>0.43625307071133301</v>
      </c>
      <c r="M1453" s="14"/>
      <c r="N1453" s="14">
        <v>0.25707046786686399</v>
      </c>
      <c r="O1453" s="14">
        <v>0.28912126498044399</v>
      </c>
      <c r="P1453" s="14">
        <v>0.18219611436041799</v>
      </c>
      <c r="Q1453" s="14">
        <v>0.31957197176677399</v>
      </c>
      <c r="R1453" s="14"/>
      <c r="S1453" s="14">
        <v>0.21057703036952899</v>
      </c>
      <c r="T1453" s="14">
        <v>0.23245692780940999</v>
      </c>
      <c r="U1453" s="14">
        <v>0.24299706558017201</v>
      </c>
      <c r="V1453" s="14">
        <v>0.258027887155312</v>
      </c>
      <c r="W1453" s="14">
        <v>0.35487597508489499</v>
      </c>
      <c r="X1453" s="14">
        <v>0.20742218994582801</v>
      </c>
      <c r="Y1453" s="14">
        <v>0.24835057292177601</v>
      </c>
      <c r="Z1453" s="14">
        <v>0.30848569874038201</v>
      </c>
      <c r="AA1453" s="14">
        <v>0.33489229725442399</v>
      </c>
      <c r="AB1453" s="14"/>
      <c r="AC1453" s="14">
        <v>0.265127793505823</v>
      </c>
      <c r="AD1453" s="14">
        <v>0.26755493979419098</v>
      </c>
      <c r="AE1453" s="14">
        <v>0.27155707357720299</v>
      </c>
      <c r="AF1453" s="14">
        <v>0.24006732846881601</v>
      </c>
      <c r="AG1453" s="14">
        <v>0.12836995826962599</v>
      </c>
      <c r="AH1453" s="14"/>
      <c r="AI1453" s="14">
        <v>0.26368884027964801</v>
      </c>
      <c r="AJ1453" s="14">
        <v>0.27257189759213502</v>
      </c>
      <c r="AK1453" s="14">
        <v>0.29449059326114402</v>
      </c>
      <c r="AL1453" s="14">
        <v>0.21637301809086301</v>
      </c>
      <c r="AM1453" s="14">
        <v>0.231811803827603</v>
      </c>
      <c r="AN1453" s="14">
        <v>0.25972782334774303</v>
      </c>
      <c r="AO1453" s="14"/>
      <c r="AP1453" s="14">
        <v>0.249977538812553</v>
      </c>
      <c r="AQ1453" s="14">
        <v>0.27616095196636697</v>
      </c>
      <c r="AR1453" s="14"/>
      <c r="AS1453" s="14" t="s">
        <v>88</v>
      </c>
      <c r="AT1453" s="14" t="s">
        <v>88</v>
      </c>
      <c r="AU1453" s="14">
        <v>0.26171953063002001</v>
      </c>
      <c r="AV1453" s="14"/>
      <c r="AW1453" s="14">
        <v>0.28083496951181602</v>
      </c>
      <c r="AX1453" s="14">
        <v>0.17095184979883701</v>
      </c>
      <c r="AY1453" s="14"/>
      <c r="AZ1453" s="14">
        <v>0.23115657816271101</v>
      </c>
      <c r="BA1453" s="14">
        <v>0.40725888458533199</v>
      </c>
    </row>
    <row r="1454" spans="2:53" x14ac:dyDescent="0.35">
      <c r="B1454" t="s">
        <v>229</v>
      </c>
      <c r="C1454" s="14">
        <v>0.101894217453651</v>
      </c>
      <c r="D1454" s="14">
        <v>5.9308465961343398E-2</v>
      </c>
      <c r="E1454" s="14">
        <v>0.140990545864004</v>
      </c>
      <c r="F1454" s="14"/>
      <c r="G1454" s="14">
        <v>0</v>
      </c>
      <c r="H1454" s="14">
        <v>9.4873501422965398E-2</v>
      </c>
      <c r="I1454" s="14">
        <v>9.5913346096139995E-2</v>
      </c>
      <c r="J1454" s="14">
        <v>0.11296235665507</v>
      </c>
      <c r="K1454" s="14">
        <v>0.10788187992033001</v>
      </c>
      <c r="L1454" s="14">
        <v>3.9286427906006602E-2</v>
      </c>
      <c r="M1454" s="14"/>
      <c r="N1454" s="14">
        <v>8.7766333793799098E-2</v>
      </c>
      <c r="O1454" s="14">
        <v>9.9615786234170695E-2</v>
      </c>
      <c r="P1454" s="14">
        <v>7.0556482557764505E-2</v>
      </c>
      <c r="Q1454" s="14">
        <v>0.158877342059701</v>
      </c>
      <c r="R1454" s="14"/>
      <c r="S1454" s="14">
        <v>6.9606162114643003E-2</v>
      </c>
      <c r="T1454" s="14">
        <v>0.145377013466889</v>
      </c>
      <c r="U1454" s="14">
        <v>9.6617443144006596E-2</v>
      </c>
      <c r="V1454" s="14">
        <v>5.5045870244631999E-2</v>
      </c>
      <c r="W1454" s="14">
        <v>0.104598349526213</v>
      </c>
      <c r="X1454" s="14">
        <v>9.7987363424154594E-2</v>
      </c>
      <c r="Y1454" s="14">
        <v>9.0100619601948095E-2</v>
      </c>
      <c r="Z1454" s="14">
        <v>0.197597956461181</v>
      </c>
      <c r="AA1454" s="14">
        <v>9.4925520822968401E-2</v>
      </c>
      <c r="AB1454" s="14"/>
      <c r="AC1454" s="14">
        <v>0.16036338521280699</v>
      </c>
      <c r="AD1454" s="14">
        <v>0.13452507065470201</v>
      </c>
      <c r="AE1454" s="14">
        <v>6.6278868974586805E-2</v>
      </c>
      <c r="AF1454" s="14">
        <v>4.75502342001516E-2</v>
      </c>
      <c r="AG1454" s="14">
        <v>3.5792439054717899E-2</v>
      </c>
      <c r="AH1454" s="14"/>
      <c r="AI1454" s="14">
        <v>8.0404261481002701E-2</v>
      </c>
      <c r="AJ1454" s="14">
        <v>6.6585423460306201E-2</v>
      </c>
      <c r="AK1454" s="14">
        <v>5.78206107862149E-2</v>
      </c>
      <c r="AL1454" s="14">
        <v>0.12974309486671201</v>
      </c>
      <c r="AM1454" s="14">
        <v>0.26352010675218601</v>
      </c>
      <c r="AN1454" s="14">
        <v>9.5699815668171706E-2</v>
      </c>
      <c r="AO1454" s="14"/>
      <c r="AP1454" s="14">
        <v>7.8290450343562995E-2</v>
      </c>
      <c r="AQ1454" s="14">
        <v>0.13025834360594099</v>
      </c>
      <c r="AR1454" s="14"/>
      <c r="AS1454" s="14" t="s">
        <v>88</v>
      </c>
      <c r="AT1454" s="14" t="s">
        <v>88</v>
      </c>
      <c r="AU1454" s="14">
        <v>0.101894217453651</v>
      </c>
      <c r="AV1454" s="14"/>
      <c r="AW1454" s="14">
        <v>9.9768192387084995E-2</v>
      </c>
      <c r="AX1454" s="14">
        <v>4.9301112431380599E-2</v>
      </c>
      <c r="AY1454" s="14"/>
      <c r="AZ1454" s="14">
        <v>8.7312210950049401E-2</v>
      </c>
      <c r="BA1454" s="14">
        <v>0.171179627366497</v>
      </c>
    </row>
    <row r="1455" spans="2:53" x14ac:dyDescent="0.35">
      <c r="B1455" t="s">
        <v>116</v>
      </c>
      <c r="C1455" s="14">
        <v>4.8294996341581603E-2</v>
      </c>
      <c r="D1455" s="14">
        <v>3.1908036245785698E-2</v>
      </c>
      <c r="E1455" s="14">
        <v>6.4194961919815302E-2</v>
      </c>
      <c r="F1455" s="14"/>
      <c r="G1455" s="14">
        <v>0</v>
      </c>
      <c r="H1455" s="14">
        <v>3.9257510452229902E-2</v>
      </c>
      <c r="I1455" s="14">
        <v>5.1463205410147102E-2</v>
      </c>
      <c r="J1455" s="14">
        <v>4.6492710437043699E-2</v>
      </c>
      <c r="K1455" s="14">
        <v>5.6325357394023702E-2</v>
      </c>
      <c r="L1455" s="14">
        <v>1.7825760678232501E-2</v>
      </c>
      <c r="M1455" s="14"/>
      <c r="N1455" s="14">
        <v>5.0489476757839498E-2</v>
      </c>
      <c r="O1455" s="14">
        <v>7.7978018867551194E-2</v>
      </c>
      <c r="P1455" s="14">
        <v>4.06246285366876E-2</v>
      </c>
      <c r="Q1455" s="14">
        <v>1.6054398727287901E-2</v>
      </c>
      <c r="R1455" s="14"/>
      <c r="S1455" s="14">
        <v>3.4847075876324303E-2</v>
      </c>
      <c r="T1455" s="14">
        <v>3.7587281771478701E-2</v>
      </c>
      <c r="U1455" s="14">
        <v>7.0251594934056E-2</v>
      </c>
      <c r="V1455" s="14">
        <v>5.9335250542177698E-2</v>
      </c>
      <c r="W1455" s="14">
        <v>3.04758981681949E-2</v>
      </c>
      <c r="X1455" s="14">
        <v>6.6331272987080095E-2</v>
      </c>
      <c r="Y1455" s="14">
        <v>5.6246993116467497E-2</v>
      </c>
      <c r="Z1455" s="14">
        <v>5.15302898489024E-2</v>
      </c>
      <c r="AA1455" s="14">
        <v>4.6031242148483198E-2</v>
      </c>
      <c r="AB1455" s="14"/>
      <c r="AC1455" s="14">
        <v>5.75571486396209E-2</v>
      </c>
      <c r="AD1455" s="14">
        <v>3.8086979547481498E-2</v>
      </c>
      <c r="AE1455" s="14">
        <v>6.2279215025957901E-2</v>
      </c>
      <c r="AF1455" s="14">
        <v>2.8111955401525598E-2</v>
      </c>
      <c r="AG1455" s="14">
        <v>3.4637041446017598E-2</v>
      </c>
      <c r="AH1455" s="14"/>
      <c r="AI1455" s="14">
        <v>4.8054159401554601E-2</v>
      </c>
      <c r="AJ1455" s="14">
        <v>2.90709489455463E-2</v>
      </c>
      <c r="AK1455" s="14">
        <v>8.4892678012956899E-2</v>
      </c>
      <c r="AL1455" s="14">
        <v>5.5661585813574402E-2</v>
      </c>
      <c r="AM1455" s="14">
        <v>3.2269536729783499E-2</v>
      </c>
      <c r="AN1455" s="14">
        <v>7.08753234445689E-2</v>
      </c>
      <c r="AO1455" s="14"/>
      <c r="AP1455" s="14">
        <v>4.0685933732738801E-2</v>
      </c>
      <c r="AQ1455" s="14">
        <v>5.7462892662814798E-2</v>
      </c>
      <c r="AR1455" s="14"/>
      <c r="AS1455" s="14" t="s">
        <v>88</v>
      </c>
      <c r="AT1455" s="14" t="s">
        <v>88</v>
      </c>
      <c r="AU1455" s="14">
        <v>4.8294996341581603E-2</v>
      </c>
      <c r="AV1455" s="14"/>
      <c r="AW1455" s="14">
        <v>5.07218231423643E-2</v>
      </c>
      <c r="AX1455" s="14">
        <v>3.2409062781871702E-2</v>
      </c>
      <c r="AY1455" s="14"/>
      <c r="AZ1455" s="14">
        <v>4.2186239929128802E-2</v>
      </c>
      <c r="BA1455" s="14">
        <v>7.7357791353510105E-2</v>
      </c>
    </row>
    <row r="1456" spans="2:53" x14ac:dyDescent="0.35"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</row>
    <row r="1457" spans="2:53" x14ac:dyDescent="0.35">
      <c r="B1457" s="6" t="s">
        <v>359</v>
      </c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</row>
    <row r="1458" spans="2:53" x14ac:dyDescent="0.35">
      <c r="B1458" s="30" t="s">
        <v>463</v>
      </c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4"/>
      <c r="AP1458" s="14"/>
      <c r="AQ1458" s="14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</row>
    <row r="1459" spans="2:53" x14ac:dyDescent="0.35">
      <c r="B1459" t="s">
        <v>231</v>
      </c>
      <c r="C1459" s="14">
        <v>7.8239062183975694E-2</v>
      </c>
      <c r="D1459" s="14">
        <v>6.4201642825305494E-2</v>
      </c>
      <c r="E1459" s="14">
        <v>9.19394101103196E-2</v>
      </c>
      <c r="F1459" s="14"/>
      <c r="G1459" s="14">
        <v>0</v>
      </c>
      <c r="H1459" s="14">
        <v>0.111920220229613</v>
      </c>
      <c r="I1459" s="14">
        <v>9.0733254132562793E-2</v>
      </c>
      <c r="J1459" s="14">
        <v>7.8066870005588401E-2</v>
      </c>
      <c r="K1459" s="14">
        <v>3.4312749856262703E-2</v>
      </c>
      <c r="L1459" s="14">
        <v>0</v>
      </c>
      <c r="M1459" s="14"/>
      <c r="N1459" s="14">
        <v>7.5648453526667894E-2</v>
      </c>
      <c r="O1459" s="14">
        <v>6.3480175843299305E-2</v>
      </c>
      <c r="P1459" s="14">
        <v>7.5448161999046595E-2</v>
      </c>
      <c r="Q1459" s="14">
        <v>0.10290599300702</v>
      </c>
      <c r="R1459" s="14"/>
      <c r="S1459" s="14">
        <v>8.6737881576366097E-2</v>
      </c>
      <c r="T1459" s="14">
        <v>4.0978949971419598E-2</v>
      </c>
      <c r="U1459" s="14">
        <v>6.9079072757397497E-2</v>
      </c>
      <c r="V1459" s="14">
        <v>0.122156895559418</v>
      </c>
      <c r="W1459" s="14">
        <v>8.5416280883546802E-2</v>
      </c>
      <c r="X1459" s="14">
        <v>9.4184776709770199E-2</v>
      </c>
      <c r="Y1459" s="14">
        <v>7.8068415281426204E-2</v>
      </c>
      <c r="Z1459" s="14">
        <v>6.7052775854612806E-2</v>
      </c>
      <c r="AA1459" s="14">
        <v>7.3283194167858196E-2</v>
      </c>
      <c r="AB1459" s="14"/>
      <c r="AC1459" s="14">
        <v>9.3653650298781296E-2</v>
      </c>
      <c r="AD1459" s="14">
        <v>8.9881581365535798E-2</v>
      </c>
      <c r="AE1459" s="14">
        <v>6.4958295505772895E-2</v>
      </c>
      <c r="AF1459" s="14">
        <v>9.8799799520341999E-2</v>
      </c>
      <c r="AG1459" s="14">
        <v>5.9572468222720901E-2</v>
      </c>
      <c r="AH1459" s="14"/>
      <c r="AI1459" s="14">
        <v>0.105171368766464</v>
      </c>
      <c r="AJ1459" s="14">
        <v>6.7362583052304206E-2</v>
      </c>
      <c r="AK1459" s="14">
        <v>6.9649524471912194E-2</v>
      </c>
      <c r="AL1459" s="14">
        <v>4.8302512893443901E-2</v>
      </c>
      <c r="AM1459" s="14">
        <v>8.9996831647698602E-2</v>
      </c>
      <c r="AN1459" s="14">
        <v>3.8461090047541599E-2</v>
      </c>
      <c r="AO1459" s="14"/>
      <c r="AP1459" s="14">
        <v>7.3175654095446199E-2</v>
      </c>
      <c r="AQ1459" s="14">
        <v>8.4412168908393606E-2</v>
      </c>
      <c r="AR1459" s="14"/>
      <c r="AS1459" s="14" t="s">
        <v>88</v>
      </c>
      <c r="AT1459" s="14" t="s">
        <v>88</v>
      </c>
      <c r="AU1459" s="14">
        <v>7.8239062183975694E-2</v>
      </c>
      <c r="AV1459" s="14"/>
      <c r="AW1459" s="14">
        <v>7.6314931899961094E-2</v>
      </c>
      <c r="AX1459" s="14">
        <v>9.8470290078900499E-2</v>
      </c>
      <c r="AY1459" s="14"/>
      <c r="AZ1459" s="14">
        <v>7.9226142344979697E-2</v>
      </c>
      <c r="BA1459" s="14">
        <v>7.4117531723988994E-2</v>
      </c>
    </row>
    <row r="1460" spans="2:53" x14ac:dyDescent="0.35">
      <c r="B1460" t="s">
        <v>232</v>
      </c>
      <c r="C1460" s="14">
        <v>0.76053831233529501</v>
      </c>
      <c r="D1460" s="14">
        <v>0.80744420172554199</v>
      </c>
      <c r="E1460" s="14">
        <v>0.71480648155367399</v>
      </c>
      <c r="F1460" s="14"/>
      <c r="G1460" s="14">
        <v>1</v>
      </c>
      <c r="H1460" s="14">
        <v>0.69529370470243901</v>
      </c>
      <c r="I1460" s="14">
        <v>0.73688080699707004</v>
      </c>
      <c r="J1460" s="14">
        <v>0.78893683319935803</v>
      </c>
      <c r="K1460" s="14">
        <v>0.77905313043079805</v>
      </c>
      <c r="L1460" s="14">
        <v>0.79776380775922295</v>
      </c>
      <c r="M1460" s="14"/>
      <c r="N1460" s="14">
        <v>0.759296297681053</v>
      </c>
      <c r="O1460" s="14">
        <v>0.728914203333908</v>
      </c>
      <c r="P1460" s="14">
        <v>0.80565583316143496</v>
      </c>
      <c r="Q1460" s="14">
        <v>0.75182613701203904</v>
      </c>
      <c r="R1460" s="14"/>
      <c r="S1460" s="14">
        <v>0.74764899293046405</v>
      </c>
      <c r="T1460" s="14">
        <v>0.78631760835092801</v>
      </c>
      <c r="U1460" s="14">
        <v>0.76833573376424202</v>
      </c>
      <c r="V1460" s="14">
        <v>0.76992933591026103</v>
      </c>
      <c r="W1460" s="14">
        <v>0.72830908809240602</v>
      </c>
      <c r="X1460" s="14">
        <v>0.70303882719885202</v>
      </c>
      <c r="Y1460" s="14">
        <v>0.79072677158222704</v>
      </c>
      <c r="Z1460" s="14">
        <v>0.79171036209718004</v>
      </c>
      <c r="AA1460" s="14">
        <v>0.76259131088952403</v>
      </c>
      <c r="AB1460" s="14"/>
      <c r="AC1460" s="14">
        <v>0.71205820458108104</v>
      </c>
      <c r="AD1460" s="14">
        <v>0.76154448898704497</v>
      </c>
      <c r="AE1460" s="14">
        <v>0.78199389730340096</v>
      </c>
      <c r="AF1460" s="14">
        <v>0.75287121541231194</v>
      </c>
      <c r="AG1460" s="14">
        <v>0.80793428292153602</v>
      </c>
      <c r="AH1460" s="14"/>
      <c r="AI1460" s="14">
        <v>0.72998358171699995</v>
      </c>
      <c r="AJ1460" s="14">
        <v>0.756371301851954</v>
      </c>
      <c r="AK1460" s="14">
        <v>0.77118933005532697</v>
      </c>
      <c r="AL1460" s="14">
        <v>0.84400690822844404</v>
      </c>
      <c r="AM1460" s="14">
        <v>0.75712310441343</v>
      </c>
      <c r="AN1460" s="14">
        <v>0.73623204605624604</v>
      </c>
      <c r="AO1460" s="14"/>
      <c r="AP1460" s="14">
        <v>0.78960360123441198</v>
      </c>
      <c r="AQ1460" s="14">
        <v>0.72543222482250103</v>
      </c>
      <c r="AR1460" s="14"/>
      <c r="AS1460" s="14" t="s">
        <v>88</v>
      </c>
      <c r="AT1460" s="14" t="s">
        <v>88</v>
      </c>
      <c r="AU1460" s="14">
        <v>0.76053831233529501</v>
      </c>
      <c r="AV1460" s="14"/>
      <c r="AW1460" s="14">
        <v>0.75918362376088</v>
      </c>
      <c r="AX1460" s="14">
        <v>0.79956894656463295</v>
      </c>
      <c r="AY1460" s="14"/>
      <c r="AZ1460" s="14">
        <v>0.76201050172433005</v>
      </c>
      <c r="BA1460" s="14">
        <v>0.75201295160952597</v>
      </c>
    </row>
    <row r="1461" spans="2:53" x14ac:dyDescent="0.35">
      <c r="B1461" t="s">
        <v>233</v>
      </c>
      <c r="C1461" s="14">
        <v>8.9970628568198693E-2</v>
      </c>
      <c r="D1461" s="14">
        <v>9.6178345190205503E-2</v>
      </c>
      <c r="E1461" s="14">
        <v>8.4182607390772102E-2</v>
      </c>
      <c r="F1461" s="14"/>
      <c r="G1461" s="14">
        <v>0</v>
      </c>
      <c r="H1461" s="14">
        <v>0.129005279380974</v>
      </c>
      <c r="I1461" s="14">
        <v>0.10041663954371299</v>
      </c>
      <c r="J1461" s="14">
        <v>6.2817381521975205E-2</v>
      </c>
      <c r="K1461" s="14">
        <v>0.114921312800094</v>
      </c>
      <c r="L1461" s="14">
        <v>9.7506724700814798E-2</v>
      </c>
      <c r="M1461" s="14"/>
      <c r="N1461" s="14">
        <v>0.10709647249738601</v>
      </c>
      <c r="O1461" s="14">
        <v>7.6812621806743003E-2</v>
      </c>
      <c r="P1461" s="14">
        <v>8.6913936877238196E-2</v>
      </c>
      <c r="Q1461" s="14">
        <v>8.5018424327861997E-2</v>
      </c>
      <c r="R1461" s="14"/>
      <c r="S1461" s="14">
        <v>0.118183984827922</v>
      </c>
      <c r="T1461" s="14">
        <v>0.10023615259357301</v>
      </c>
      <c r="U1461" s="14">
        <v>4.5964102009283199E-2</v>
      </c>
      <c r="V1461" s="14">
        <v>3.8314711517177399E-2</v>
      </c>
      <c r="W1461" s="14">
        <v>0.104048753567151</v>
      </c>
      <c r="X1461" s="14">
        <v>0.11524351465548099</v>
      </c>
      <c r="Y1461" s="14">
        <v>6.3463641812469898E-2</v>
      </c>
      <c r="Z1461" s="14">
        <v>0.102866069223537</v>
      </c>
      <c r="AA1461" s="14">
        <v>9.9947782816897701E-2</v>
      </c>
      <c r="AB1461" s="14"/>
      <c r="AC1461" s="14">
        <v>7.8861231269953896E-2</v>
      </c>
      <c r="AD1461" s="14">
        <v>8.6884327183259294E-2</v>
      </c>
      <c r="AE1461" s="14">
        <v>8.52465294527672E-2</v>
      </c>
      <c r="AF1461" s="14">
        <v>0.124797394081844</v>
      </c>
      <c r="AG1461" s="14">
        <v>6.1664726964087299E-2</v>
      </c>
      <c r="AH1461" s="14"/>
      <c r="AI1461" s="14">
        <v>9.8308791430364903E-2</v>
      </c>
      <c r="AJ1461" s="14">
        <v>0.121515904294446</v>
      </c>
      <c r="AK1461" s="14">
        <v>7.1671861147966906E-2</v>
      </c>
      <c r="AL1461" s="14">
        <v>5.8661565658876903E-2</v>
      </c>
      <c r="AM1461" s="14">
        <v>5.7599957251870497E-2</v>
      </c>
      <c r="AN1461" s="14">
        <v>8.5961699687423301E-2</v>
      </c>
      <c r="AO1461" s="14"/>
      <c r="AP1461" s="14">
        <v>7.8147316787016793E-2</v>
      </c>
      <c r="AQ1461" s="14">
        <v>0.10423956505370301</v>
      </c>
      <c r="AR1461" s="14"/>
      <c r="AS1461" s="14" t="s">
        <v>88</v>
      </c>
      <c r="AT1461" s="14" t="s">
        <v>88</v>
      </c>
      <c r="AU1461" s="14">
        <v>8.9970628568198693E-2</v>
      </c>
      <c r="AV1461" s="14"/>
      <c r="AW1461" s="14">
        <v>9.2591940327459599E-2</v>
      </c>
      <c r="AX1461" s="14">
        <v>7.1698514558500404E-2</v>
      </c>
      <c r="AY1461" s="14"/>
      <c r="AZ1461" s="14">
        <v>9.8554963201161E-2</v>
      </c>
      <c r="BA1461" s="14">
        <v>5.0184099350886198E-2</v>
      </c>
    </row>
    <row r="1462" spans="2:53" x14ac:dyDescent="0.35">
      <c r="B1462" t="s">
        <v>116</v>
      </c>
      <c r="C1462" s="14">
        <v>7.1251996912530202E-2</v>
      </c>
      <c r="D1462" s="14">
        <v>3.2175810258946599E-2</v>
      </c>
      <c r="E1462" s="14">
        <v>0.109071500945235</v>
      </c>
      <c r="F1462" s="14"/>
      <c r="G1462" s="14">
        <v>0</v>
      </c>
      <c r="H1462" s="14">
        <v>6.3780795686972799E-2</v>
      </c>
      <c r="I1462" s="14">
        <v>7.1969299326654204E-2</v>
      </c>
      <c r="J1462" s="14">
        <v>7.0178915273078804E-2</v>
      </c>
      <c r="K1462" s="14">
        <v>7.1712806912844707E-2</v>
      </c>
      <c r="L1462" s="14">
        <v>0.104729467539962</v>
      </c>
      <c r="M1462" s="14"/>
      <c r="N1462" s="14">
        <v>5.7958776294893502E-2</v>
      </c>
      <c r="O1462" s="14">
        <v>0.13079299901604999</v>
      </c>
      <c r="P1462" s="14">
        <v>3.1982067962280397E-2</v>
      </c>
      <c r="Q1462" s="14">
        <v>6.0249445653079402E-2</v>
      </c>
      <c r="R1462" s="14"/>
      <c r="S1462" s="14">
        <v>4.7429140665247699E-2</v>
      </c>
      <c r="T1462" s="14">
        <v>7.24672890840794E-2</v>
      </c>
      <c r="U1462" s="14">
        <v>0.116621091469077</v>
      </c>
      <c r="V1462" s="14">
        <v>6.9599057013143797E-2</v>
      </c>
      <c r="W1462" s="14">
        <v>8.2225877456895802E-2</v>
      </c>
      <c r="X1462" s="14">
        <v>8.7532881435896506E-2</v>
      </c>
      <c r="Y1462" s="14">
        <v>6.7741171323876595E-2</v>
      </c>
      <c r="Z1462" s="14">
        <v>3.8370792824670499E-2</v>
      </c>
      <c r="AA1462" s="14">
        <v>6.4177712125720002E-2</v>
      </c>
      <c r="AB1462" s="14"/>
      <c r="AC1462" s="14">
        <v>0.115426913850183</v>
      </c>
      <c r="AD1462" s="14">
        <v>6.1689602464160401E-2</v>
      </c>
      <c r="AE1462" s="14">
        <v>6.7801277738058996E-2</v>
      </c>
      <c r="AF1462" s="14">
        <v>2.35315909855018E-2</v>
      </c>
      <c r="AG1462" s="14">
        <v>7.0828521891656296E-2</v>
      </c>
      <c r="AH1462" s="14"/>
      <c r="AI1462" s="14">
        <v>6.6536258086170905E-2</v>
      </c>
      <c r="AJ1462" s="14">
        <v>5.4750210801295898E-2</v>
      </c>
      <c r="AK1462" s="14">
        <v>8.7489284324794497E-2</v>
      </c>
      <c r="AL1462" s="14">
        <v>4.9029013219235001E-2</v>
      </c>
      <c r="AM1462" s="14">
        <v>9.5280106687000599E-2</v>
      </c>
      <c r="AN1462" s="14">
        <v>0.13934516420878901</v>
      </c>
      <c r="AO1462" s="14"/>
      <c r="AP1462" s="14">
        <v>5.9073427883125099E-2</v>
      </c>
      <c r="AQ1462" s="14">
        <v>8.5916041215402306E-2</v>
      </c>
      <c r="AR1462" s="14"/>
      <c r="AS1462" s="14" t="s">
        <v>88</v>
      </c>
      <c r="AT1462" s="14" t="s">
        <v>88</v>
      </c>
      <c r="AU1462" s="14">
        <v>7.1251996912530202E-2</v>
      </c>
      <c r="AV1462" s="14"/>
      <c r="AW1462" s="14">
        <v>7.1909504011699404E-2</v>
      </c>
      <c r="AX1462" s="14">
        <v>3.0262248797966199E-2</v>
      </c>
      <c r="AY1462" s="14"/>
      <c r="AZ1462" s="14">
        <v>6.0208392729529499E-2</v>
      </c>
      <c r="BA1462" s="14">
        <v>0.123685417315599</v>
      </c>
    </row>
    <row r="1463" spans="2:53" x14ac:dyDescent="0.35">
      <c r="C1463" s="14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</row>
    <row r="1464" spans="2:53" x14ac:dyDescent="0.35">
      <c r="B1464" s="6" t="s">
        <v>360</v>
      </c>
      <c r="C1464" s="14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</row>
    <row r="1465" spans="2:53" x14ac:dyDescent="0.35">
      <c r="B1465" s="30" t="s">
        <v>463</v>
      </c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</row>
    <row r="1466" spans="2:53" x14ac:dyDescent="0.35">
      <c r="B1466" t="s">
        <v>235</v>
      </c>
      <c r="C1466" s="14">
        <v>0.22550877648795301</v>
      </c>
      <c r="D1466" s="14">
        <v>0.295069629043618</v>
      </c>
      <c r="E1466" s="14">
        <v>0.158950475975324</v>
      </c>
      <c r="F1466" s="14"/>
      <c r="G1466" s="14">
        <v>0.182858017741347</v>
      </c>
      <c r="H1466" s="14">
        <v>0.38536884205411898</v>
      </c>
      <c r="I1466" s="14">
        <v>0.23412060798180201</v>
      </c>
      <c r="J1466" s="14">
        <v>0.18033210425787</v>
      </c>
      <c r="K1466" s="14">
        <v>0.22254687723147601</v>
      </c>
      <c r="L1466" s="14">
        <v>0.298533804620012</v>
      </c>
      <c r="M1466" s="14"/>
      <c r="N1466" s="14">
        <v>0.25889657370861902</v>
      </c>
      <c r="O1466" s="14">
        <v>0.149833855696242</v>
      </c>
      <c r="P1466" s="14">
        <v>0.24002293894792501</v>
      </c>
      <c r="Q1466" s="14">
        <v>0.25255353588674401</v>
      </c>
      <c r="R1466" s="14"/>
      <c r="S1466" s="14">
        <v>0.27614067684507998</v>
      </c>
      <c r="T1466" s="14">
        <v>0.208764971969083</v>
      </c>
      <c r="U1466" s="14">
        <v>0.26048138889873501</v>
      </c>
      <c r="V1466" s="14">
        <v>0.21287046155279399</v>
      </c>
      <c r="W1466" s="14">
        <v>0.14697584379190901</v>
      </c>
      <c r="X1466" s="14">
        <v>0.27877589404292802</v>
      </c>
      <c r="Y1466" s="14">
        <v>0.21667536310242799</v>
      </c>
      <c r="Z1466" s="14">
        <v>0.24274813469472301</v>
      </c>
      <c r="AA1466" s="14">
        <v>0.186516589307791</v>
      </c>
      <c r="AB1466" s="14"/>
      <c r="AC1466" s="14">
        <v>0.19297902367022701</v>
      </c>
      <c r="AD1466" s="14">
        <v>0.177034174964773</v>
      </c>
      <c r="AE1466" s="14">
        <v>0.22909235677699899</v>
      </c>
      <c r="AF1466" s="14">
        <v>0.30754859608949298</v>
      </c>
      <c r="AG1466" s="14">
        <v>0.48433308226183702</v>
      </c>
      <c r="AH1466" s="14"/>
      <c r="AI1466" s="14">
        <v>0.28805458812207102</v>
      </c>
      <c r="AJ1466" s="14">
        <v>0.22589287974372099</v>
      </c>
      <c r="AK1466" s="14">
        <v>0.191980180297148</v>
      </c>
      <c r="AL1466" s="14">
        <v>0.221189928200485</v>
      </c>
      <c r="AM1466" s="14">
        <v>6.3708171614540302E-2</v>
      </c>
      <c r="AN1466" s="14">
        <v>0.19538507139484401</v>
      </c>
      <c r="AO1466" s="14"/>
      <c r="AP1466" s="14">
        <v>0.26160035004776599</v>
      </c>
      <c r="AQ1466" s="14">
        <v>0.18273700580819499</v>
      </c>
      <c r="AR1466" s="14"/>
      <c r="AS1466" s="14" t="s">
        <v>88</v>
      </c>
      <c r="AT1466" s="14" t="s">
        <v>88</v>
      </c>
      <c r="AU1466" s="14">
        <v>0.22550877648795301</v>
      </c>
      <c r="AV1466" s="14"/>
      <c r="AW1466" s="14">
        <v>0.209526980395492</v>
      </c>
      <c r="AX1466" s="14">
        <v>0.33629828131043699</v>
      </c>
      <c r="AY1466" s="14"/>
      <c r="AZ1466" s="14">
        <v>0.25069200396671898</v>
      </c>
      <c r="BA1466" s="14">
        <v>0.10185567042249399</v>
      </c>
    </row>
    <row r="1467" spans="2:53" x14ac:dyDescent="0.35">
      <c r="B1467" t="s">
        <v>236</v>
      </c>
      <c r="C1467" s="14">
        <v>0.53843572742298096</v>
      </c>
      <c r="D1467" s="14">
        <v>0.54648521355021795</v>
      </c>
      <c r="E1467" s="14">
        <v>0.52967423094913302</v>
      </c>
      <c r="F1467" s="14"/>
      <c r="G1467" s="14">
        <v>0</v>
      </c>
      <c r="H1467" s="14">
        <v>0.45578764578808401</v>
      </c>
      <c r="I1467" s="14">
        <v>0.53185746617086205</v>
      </c>
      <c r="J1467" s="14">
        <v>0.56516261796219502</v>
      </c>
      <c r="K1467" s="14">
        <v>0.58245948880585197</v>
      </c>
      <c r="L1467" s="14">
        <v>0.34975887040655301</v>
      </c>
      <c r="M1467" s="14"/>
      <c r="N1467" s="14">
        <v>0.52593929174685705</v>
      </c>
      <c r="O1467" s="14">
        <v>0.55808578870857795</v>
      </c>
      <c r="P1467" s="14">
        <v>0.54887979506496498</v>
      </c>
      <c r="Q1467" s="14">
        <v>0.51619625681264503</v>
      </c>
      <c r="R1467" s="14"/>
      <c r="S1467" s="14">
        <v>0.539776667763464</v>
      </c>
      <c r="T1467" s="14">
        <v>0.54175006184867502</v>
      </c>
      <c r="U1467" s="14">
        <v>0.52853069790150797</v>
      </c>
      <c r="V1467" s="14">
        <v>0.54787165132345494</v>
      </c>
      <c r="W1467" s="14">
        <v>0.622739054194278</v>
      </c>
      <c r="X1467" s="14">
        <v>0.44141950370487798</v>
      </c>
      <c r="Y1467" s="14">
        <v>0.50173925605710101</v>
      </c>
      <c r="Z1467" s="14">
        <v>0.51391722700907105</v>
      </c>
      <c r="AA1467" s="14">
        <v>0.57842930177002705</v>
      </c>
      <c r="AB1467" s="14"/>
      <c r="AC1467" s="14">
        <v>0.55885280411827998</v>
      </c>
      <c r="AD1467" s="14">
        <v>0.53787183272320105</v>
      </c>
      <c r="AE1467" s="14">
        <v>0.54778245583485397</v>
      </c>
      <c r="AF1467" s="14">
        <v>0.56254872325965299</v>
      </c>
      <c r="AG1467" s="14">
        <v>0.48628168883336098</v>
      </c>
      <c r="AH1467" s="14"/>
      <c r="AI1467" s="14">
        <v>0.49072162851517098</v>
      </c>
      <c r="AJ1467" s="14">
        <v>0.58324296645303297</v>
      </c>
      <c r="AK1467" s="14">
        <v>0.60191402447456599</v>
      </c>
      <c r="AL1467" s="14">
        <v>0.48921446013554098</v>
      </c>
      <c r="AM1467" s="14">
        <v>0.61467698446561703</v>
      </c>
      <c r="AN1467" s="14">
        <v>0.60957452171147097</v>
      </c>
      <c r="AO1467" s="14"/>
      <c r="AP1467" s="14">
        <v>0.53109108596733201</v>
      </c>
      <c r="AQ1467" s="14">
        <v>0.54805721153244802</v>
      </c>
      <c r="AR1467" s="14"/>
      <c r="AS1467" s="14" t="s">
        <v>88</v>
      </c>
      <c r="AT1467" s="14" t="s">
        <v>88</v>
      </c>
      <c r="AU1467" s="14">
        <v>0.53843572742298096</v>
      </c>
      <c r="AV1467" s="14"/>
      <c r="AW1467" s="14">
        <v>0.54066124665034698</v>
      </c>
      <c r="AX1467" s="14">
        <v>0.55704881691081998</v>
      </c>
      <c r="AY1467" s="14"/>
      <c r="AZ1467" s="14">
        <v>0.53869179274491896</v>
      </c>
      <c r="BA1467" s="14">
        <v>0.54082649824990803</v>
      </c>
    </row>
    <row r="1468" spans="2:53" x14ac:dyDescent="0.35">
      <c r="B1468" t="s">
        <v>237</v>
      </c>
      <c r="C1468" s="14">
        <v>0.187753266864258</v>
      </c>
      <c r="D1468" s="14">
        <v>0.125453163758423</v>
      </c>
      <c r="E1468" s="14">
        <v>0.248210914445325</v>
      </c>
      <c r="F1468" s="14"/>
      <c r="G1468" s="14">
        <v>0.81714198225865298</v>
      </c>
      <c r="H1468" s="14">
        <v>0.14573088175335699</v>
      </c>
      <c r="I1468" s="14">
        <v>0.194783875918735</v>
      </c>
      <c r="J1468" s="14">
        <v>0.186299463373922</v>
      </c>
      <c r="K1468" s="14">
        <v>0.16650329538318601</v>
      </c>
      <c r="L1468" s="14">
        <v>0.24449511697083101</v>
      </c>
      <c r="M1468" s="14"/>
      <c r="N1468" s="14">
        <v>0.176401700213066</v>
      </c>
      <c r="O1468" s="14">
        <v>0.22846029552722999</v>
      </c>
      <c r="P1468" s="14">
        <v>0.17434921765546399</v>
      </c>
      <c r="Q1468" s="14">
        <v>0.174088587136632</v>
      </c>
      <c r="R1468" s="14"/>
      <c r="S1468" s="14">
        <v>0.14946853514040701</v>
      </c>
      <c r="T1468" s="14">
        <v>0.22130936877464</v>
      </c>
      <c r="U1468" s="14">
        <v>0.19405875153364899</v>
      </c>
      <c r="V1468" s="14">
        <v>0.20937770305944201</v>
      </c>
      <c r="W1468" s="14">
        <v>0.15904410965134799</v>
      </c>
      <c r="X1468" s="14">
        <v>0.21992547255045899</v>
      </c>
      <c r="Y1468" s="14">
        <v>0.21293934772117701</v>
      </c>
      <c r="Z1468" s="14">
        <v>0.16018247245668099</v>
      </c>
      <c r="AA1468" s="14">
        <v>0.16481775121254</v>
      </c>
      <c r="AB1468" s="14"/>
      <c r="AC1468" s="14">
        <v>0.21730901770139499</v>
      </c>
      <c r="AD1468" s="14">
        <v>0.21385824563782499</v>
      </c>
      <c r="AE1468" s="14">
        <v>0.173171822205549</v>
      </c>
      <c r="AF1468" s="14">
        <v>0.12592568422471601</v>
      </c>
      <c r="AG1468" s="14">
        <v>2.1357080949975502E-2</v>
      </c>
      <c r="AH1468" s="14"/>
      <c r="AI1468" s="14">
        <v>0.17970978565031401</v>
      </c>
      <c r="AJ1468" s="14">
        <v>0.142198729328952</v>
      </c>
      <c r="AK1468" s="14">
        <v>0.18947814927784101</v>
      </c>
      <c r="AL1468" s="14">
        <v>0.218540344715387</v>
      </c>
      <c r="AM1468" s="14">
        <v>0.26890447795379702</v>
      </c>
      <c r="AN1468" s="14">
        <v>0.139160238232409</v>
      </c>
      <c r="AO1468" s="14"/>
      <c r="AP1468" s="14">
        <v>0.16482723244908901</v>
      </c>
      <c r="AQ1468" s="14">
        <v>0.213872324472723</v>
      </c>
      <c r="AR1468" s="14"/>
      <c r="AS1468" s="14" t="s">
        <v>88</v>
      </c>
      <c r="AT1468" s="14" t="s">
        <v>88</v>
      </c>
      <c r="AU1468" s="14">
        <v>0.187753266864258</v>
      </c>
      <c r="AV1468" s="14"/>
      <c r="AW1468" s="14">
        <v>0.20581077426611299</v>
      </c>
      <c r="AX1468" s="14">
        <v>6.3401426595327201E-2</v>
      </c>
      <c r="AY1468" s="14"/>
      <c r="AZ1468" s="14">
        <v>0.16872431646063801</v>
      </c>
      <c r="BA1468" s="14">
        <v>0.27853386596270802</v>
      </c>
    </row>
    <row r="1469" spans="2:53" x14ac:dyDescent="0.35">
      <c r="B1469" t="s">
        <v>238</v>
      </c>
      <c r="C1469" s="14">
        <v>2.37518285486495E-2</v>
      </c>
      <c r="D1469" s="14">
        <v>2.5031324665471401E-2</v>
      </c>
      <c r="E1469" s="14">
        <v>2.2570151274839301E-2</v>
      </c>
      <c r="F1469" s="14"/>
      <c r="G1469" s="14">
        <v>0</v>
      </c>
      <c r="H1469" s="14">
        <v>1.3112630404439199E-2</v>
      </c>
      <c r="I1469" s="14">
        <v>1.2119034642294701E-2</v>
      </c>
      <c r="J1469" s="14">
        <v>3.6249848956092602E-2</v>
      </c>
      <c r="K1469" s="14">
        <v>1.8057552879345001E-2</v>
      </c>
      <c r="L1469" s="14">
        <v>8.9386447324371704E-2</v>
      </c>
      <c r="M1469" s="14"/>
      <c r="N1469" s="14">
        <v>2.2770369336452798E-2</v>
      </c>
      <c r="O1469" s="14">
        <v>2.4739043532757E-2</v>
      </c>
      <c r="P1469" s="14">
        <v>1.39264196132277E-2</v>
      </c>
      <c r="Q1469" s="14">
        <v>3.4611424295623097E-2</v>
      </c>
      <c r="R1469" s="14"/>
      <c r="S1469" s="14">
        <v>2.1427446952508901E-2</v>
      </c>
      <c r="T1469" s="14">
        <v>9.8397900921633093E-3</v>
      </c>
      <c r="U1469" s="14">
        <v>0</v>
      </c>
      <c r="V1469" s="14">
        <v>1.5348953089905099E-2</v>
      </c>
      <c r="W1469" s="14">
        <v>6.1479575075338702E-2</v>
      </c>
      <c r="X1469" s="14">
        <v>2.4246807505493101E-2</v>
      </c>
      <c r="Y1469" s="14">
        <v>1.8683243057041901E-2</v>
      </c>
      <c r="Z1469" s="14">
        <v>5.2108692948663202E-2</v>
      </c>
      <c r="AA1469" s="14">
        <v>2.9012516786435801E-2</v>
      </c>
      <c r="AB1469" s="14"/>
      <c r="AC1469" s="14">
        <v>2.3677200138489899E-2</v>
      </c>
      <c r="AD1469" s="14">
        <v>4.4770175272609201E-2</v>
      </c>
      <c r="AE1469" s="14">
        <v>9.5980465406228302E-3</v>
      </c>
      <c r="AF1469" s="14">
        <v>3.9769964261385802E-3</v>
      </c>
      <c r="AG1469" s="14">
        <v>8.0281479548266702E-3</v>
      </c>
      <c r="AH1469" s="14"/>
      <c r="AI1469" s="14">
        <v>1.8349580828608901E-2</v>
      </c>
      <c r="AJ1469" s="14">
        <v>1.6146095161158301E-2</v>
      </c>
      <c r="AK1469" s="14">
        <v>0</v>
      </c>
      <c r="AL1469" s="14">
        <v>6.2364808390546998E-2</v>
      </c>
      <c r="AM1469" s="14">
        <v>0</v>
      </c>
      <c r="AN1469" s="14">
        <v>1.43983834416414E-2</v>
      </c>
      <c r="AO1469" s="14"/>
      <c r="AP1469" s="14">
        <v>1.5732626935609301E-2</v>
      </c>
      <c r="AQ1469" s="14">
        <v>3.3371266107470203E-2</v>
      </c>
      <c r="AR1469" s="14"/>
      <c r="AS1469" s="14" t="s">
        <v>88</v>
      </c>
      <c r="AT1469" s="14" t="s">
        <v>88</v>
      </c>
      <c r="AU1469" s="14">
        <v>2.37518285486495E-2</v>
      </c>
      <c r="AV1469" s="14"/>
      <c r="AW1469" s="14">
        <v>2.4832425989862999E-2</v>
      </c>
      <c r="AX1469" s="14">
        <v>2.01620590738372E-2</v>
      </c>
      <c r="AY1469" s="14"/>
      <c r="AZ1469" s="14">
        <v>2.1814313000858801E-2</v>
      </c>
      <c r="BA1469" s="14">
        <v>3.30260014664246E-2</v>
      </c>
    </row>
    <row r="1470" spans="2:53" x14ac:dyDescent="0.35">
      <c r="B1470" t="s">
        <v>116</v>
      </c>
      <c r="C1470" s="14">
        <v>2.4550400676159299E-2</v>
      </c>
      <c r="D1470" s="14">
        <v>7.9606689822693099E-3</v>
      </c>
      <c r="E1470" s="14">
        <v>4.0594227355379098E-2</v>
      </c>
      <c r="F1470" s="14"/>
      <c r="G1470" s="14">
        <v>0</v>
      </c>
      <c r="H1470" s="14">
        <v>0</v>
      </c>
      <c r="I1470" s="14">
        <v>2.71190152863067E-2</v>
      </c>
      <c r="J1470" s="14">
        <v>3.19559654499205E-2</v>
      </c>
      <c r="K1470" s="14">
        <v>1.04327857001409E-2</v>
      </c>
      <c r="L1470" s="14">
        <v>1.7825760678232501E-2</v>
      </c>
      <c r="M1470" s="14"/>
      <c r="N1470" s="14">
        <v>1.5992064995004801E-2</v>
      </c>
      <c r="O1470" s="14">
        <v>3.88810165351932E-2</v>
      </c>
      <c r="P1470" s="14">
        <v>2.2821628718418401E-2</v>
      </c>
      <c r="Q1470" s="14">
        <v>2.25501958683566E-2</v>
      </c>
      <c r="R1470" s="14"/>
      <c r="S1470" s="14">
        <v>1.3186673298539399E-2</v>
      </c>
      <c r="T1470" s="14">
        <v>1.8335807315438098E-2</v>
      </c>
      <c r="U1470" s="14">
        <v>1.69291616661085E-2</v>
      </c>
      <c r="V1470" s="14">
        <v>1.45312309744035E-2</v>
      </c>
      <c r="W1470" s="14">
        <v>9.76141728712656E-3</v>
      </c>
      <c r="X1470" s="14">
        <v>3.5632322196241802E-2</v>
      </c>
      <c r="Y1470" s="14">
        <v>4.9962790062251197E-2</v>
      </c>
      <c r="Z1470" s="14">
        <v>3.1043472890861502E-2</v>
      </c>
      <c r="AA1470" s="14">
        <v>4.1223840923205898E-2</v>
      </c>
      <c r="AB1470" s="14"/>
      <c r="AC1470" s="14">
        <v>7.1819543716076899E-3</v>
      </c>
      <c r="AD1470" s="14">
        <v>2.64655714015921E-2</v>
      </c>
      <c r="AE1470" s="14">
        <v>4.0355318641975398E-2</v>
      </c>
      <c r="AF1470" s="14">
        <v>0</v>
      </c>
      <c r="AG1470" s="14">
        <v>0</v>
      </c>
      <c r="AH1470" s="14"/>
      <c r="AI1470" s="14">
        <v>2.31644168838352E-2</v>
      </c>
      <c r="AJ1470" s="14">
        <v>3.25193293131356E-2</v>
      </c>
      <c r="AK1470" s="14">
        <v>1.6627645950445701E-2</v>
      </c>
      <c r="AL1470" s="14">
        <v>8.69045855804048E-3</v>
      </c>
      <c r="AM1470" s="14">
        <v>5.2710365966046301E-2</v>
      </c>
      <c r="AN1470" s="14">
        <v>4.1481785219633999E-2</v>
      </c>
      <c r="AO1470" s="14"/>
      <c r="AP1470" s="14">
        <v>2.67487046002042E-2</v>
      </c>
      <c r="AQ1470" s="14">
        <v>2.1962192079164E-2</v>
      </c>
      <c r="AR1470" s="14"/>
      <c r="AS1470" s="14" t="s">
        <v>88</v>
      </c>
      <c r="AT1470" s="14" t="s">
        <v>88</v>
      </c>
      <c r="AU1470" s="14">
        <v>2.4550400676159299E-2</v>
      </c>
      <c r="AV1470" s="14"/>
      <c r="AW1470" s="14">
        <v>1.9168572698184901E-2</v>
      </c>
      <c r="AX1470" s="14">
        <v>2.3089416109578199E-2</v>
      </c>
      <c r="AY1470" s="14"/>
      <c r="AZ1470" s="14">
        <v>2.00775738268659E-2</v>
      </c>
      <c r="BA1470" s="14">
        <v>4.5757963898465502E-2</v>
      </c>
    </row>
    <row r="1471" spans="2:53" x14ac:dyDescent="0.35"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  <c r="AO1471" s="14"/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</row>
    <row r="1472" spans="2:53" x14ac:dyDescent="0.35">
      <c r="B1472" s="6" t="s">
        <v>361</v>
      </c>
      <c r="C1472" s="14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</row>
    <row r="1473" spans="2:53" x14ac:dyDescent="0.35">
      <c r="B1473" s="30" t="s">
        <v>463</v>
      </c>
      <c r="C1473" s="14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/>
      <c r="AN1473" s="14"/>
      <c r="AO1473" s="14"/>
      <c r="AP1473" s="14"/>
      <c r="AQ1473" s="14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</row>
    <row r="1474" spans="2:53" x14ac:dyDescent="0.35">
      <c r="B1474" t="s">
        <v>220</v>
      </c>
      <c r="C1474" s="14">
        <v>0.243476724994558</v>
      </c>
      <c r="D1474" s="14">
        <v>0.31909804632078898</v>
      </c>
      <c r="E1474" s="14">
        <v>0.17111590352492001</v>
      </c>
      <c r="F1474" s="14"/>
      <c r="G1474" s="14">
        <v>0.56074380449106598</v>
      </c>
      <c r="H1474" s="14">
        <v>0.42496583731061299</v>
      </c>
      <c r="I1474" s="14">
        <v>0.25175420727835701</v>
      </c>
      <c r="J1474" s="14">
        <v>0.20863390504968099</v>
      </c>
      <c r="K1474" s="14">
        <v>0.218948141600773</v>
      </c>
      <c r="L1474" s="14">
        <v>0.16251236595915</v>
      </c>
      <c r="M1474" s="14"/>
      <c r="N1474" s="14">
        <v>0.28091856068915899</v>
      </c>
      <c r="O1474" s="14">
        <v>0.167210665385183</v>
      </c>
      <c r="P1474" s="14">
        <v>0.30078114935086098</v>
      </c>
      <c r="Q1474" s="14">
        <v>0.22106846852828399</v>
      </c>
      <c r="R1474" s="14"/>
      <c r="S1474" s="14">
        <v>0.331904423188225</v>
      </c>
      <c r="T1474" s="14">
        <v>0.213649643896627</v>
      </c>
      <c r="U1474" s="14">
        <v>0.26953576163364701</v>
      </c>
      <c r="V1474" s="14">
        <v>0.22296316079137701</v>
      </c>
      <c r="W1474" s="14">
        <v>0.29892563871989503</v>
      </c>
      <c r="X1474" s="14">
        <v>0.19884338598830201</v>
      </c>
      <c r="Y1474" s="14">
        <v>0.20456738396959501</v>
      </c>
      <c r="Z1474" s="14">
        <v>0.22992871624022901</v>
      </c>
      <c r="AA1474" s="14">
        <v>0.191884121822328</v>
      </c>
      <c r="AB1474" s="14"/>
      <c r="AC1474" s="14">
        <v>0.213677358493609</v>
      </c>
      <c r="AD1474" s="14">
        <v>0.190784735232393</v>
      </c>
      <c r="AE1474" s="14">
        <v>0.216261100895038</v>
      </c>
      <c r="AF1474" s="14">
        <v>0.36422057569267202</v>
      </c>
      <c r="AG1474" s="14">
        <v>0.56699879943985199</v>
      </c>
      <c r="AH1474" s="14"/>
      <c r="AI1474" s="14">
        <v>0.32198914962508002</v>
      </c>
      <c r="AJ1474" s="14">
        <v>0.219208163424395</v>
      </c>
      <c r="AK1474" s="14">
        <v>0.22330878368547999</v>
      </c>
      <c r="AL1474" s="14">
        <v>0.26877347730900503</v>
      </c>
      <c r="AM1474" s="14">
        <v>0.131529922013599</v>
      </c>
      <c r="AN1474" s="14">
        <v>0.16320438343046501</v>
      </c>
      <c r="AO1474" s="14"/>
      <c r="AP1474" s="14">
        <v>0.26205627257849401</v>
      </c>
      <c r="AQ1474" s="14">
        <v>0.221658289135957</v>
      </c>
      <c r="AR1474" s="14"/>
      <c r="AS1474" s="14" t="s">
        <v>88</v>
      </c>
      <c r="AT1474" s="14" t="s">
        <v>88</v>
      </c>
      <c r="AU1474" s="14">
        <v>0.243476724994558</v>
      </c>
      <c r="AV1474" s="14"/>
      <c r="AW1474" s="14">
        <v>0.23426266970159501</v>
      </c>
      <c r="AX1474" s="14">
        <v>0.34763915641967003</v>
      </c>
      <c r="AY1474" s="14"/>
      <c r="AZ1474" s="14">
        <v>0.27796924553247998</v>
      </c>
      <c r="BA1474" s="14">
        <v>7.6145516153477505E-2</v>
      </c>
    </row>
    <row r="1475" spans="2:53" x14ac:dyDescent="0.35">
      <c r="B1475" t="s">
        <v>221</v>
      </c>
      <c r="C1475" s="14">
        <v>0.431835447245419</v>
      </c>
      <c r="D1475" s="14">
        <v>0.411276281561052</v>
      </c>
      <c r="E1475" s="14">
        <v>0.45041762880979702</v>
      </c>
      <c r="F1475" s="14"/>
      <c r="G1475" s="14">
        <v>0</v>
      </c>
      <c r="H1475" s="14">
        <v>0.31019328660210799</v>
      </c>
      <c r="I1475" s="14">
        <v>0.456622859334334</v>
      </c>
      <c r="J1475" s="14">
        <v>0.44305356481157798</v>
      </c>
      <c r="K1475" s="14">
        <v>0.38318177324420299</v>
      </c>
      <c r="L1475" s="14">
        <v>0.51742224626192301</v>
      </c>
      <c r="M1475" s="14"/>
      <c r="N1475" s="14">
        <v>0.434929266836453</v>
      </c>
      <c r="O1475" s="14">
        <v>0.435836830677795</v>
      </c>
      <c r="P1475" s="14">
        <v>0.45788329052764298</v>
      </c>
      <c r="Q1475" s="14">
        <v>0.39117455194193501</v>
      </c>
      <c r="R1475" s="14"/>
      <c r="S1475" s="14">
        <v>0.402822945450935</v>
      </c>
      <c r="T1475" s="14">
        <v>0.40116850952060801</v>
      </c>
      <c r="U1475" s="14">
        <v>0.39797790710440001</v>
      </c>
      <c r="V1475" s="14">
        <v>0.47832605827591501</v>
      </c>
      <c r="W1475" s="14">
        <v>0.38921752800819498</v>
      </c>
      <c r="X1475" s="14">
        <v>0.45795540614281899</v>
      </c>
      <c r="Y1475" s="14">
        <v>0.40296234887929799</v>
      </c>
      <c r="Z1475" s="14">
        <v>0.45269594860293899</v>
      </c>
      <c r="AA1475" s="14">
        <v>0.51998691355996196</v>
      </c>
      <c r="AB1475" s="14"/>
      <c r="AC1475" s="14">
        <v>0.38147307029894201</v>
      </c>
      <c r="AD1475" s="14">
        <v>0.48089312092287201</v>
      </c>
      <c r="AE1475" s="14">
        <v>0.50020704492283297</v>
      </c>
      <c r="AF1475" s="14">
        <v>0.427860925754597</v>
      </c>
      <c r="AG1475" s="14">
        <v>0.24239850129639501</v>
      </c>
      <c r="AH1475" s="14"/>
      <c r="AI1475" s="14">
        <v>0.39929529666860702</v>
      </c>
      <c r="AJ1475" s="14">
        <v>0.51346622724424695</v>
      </c>
      <c r="AK1475" s="14">
        <v>0.47179030647856401</v>
      </c>
      <c r="AL1475" s="14">
        <v>0.30372879355105997</v>
      </c>
      <c r="AM1475" s="14">
        <v>0.46719544899239601</v>
      </c>
      <c r="AN1475" s="14">
        <v>0.435884981877046</v>
      </c>
      <c r="AO1475" s="14"/>
      <c r="AP1475" s="14">
        <v>0.44123424551187401</v>
      </c>
      <c r="AQ1475" s="14">
        <v>0.421282823388687</v>
      </c>
      <c r="AR1475" s="14"/>
      <c r="AS1475" s="14" t="s">
        <v>88</v>
      </c>
      <c r="AT1475" s="14" t="s">
        <v>88</v>
      </c>
      <c r="AU1475" s="14">
        <v>0.431835447245419</v>
      </c>
      <c r="AV1475" s="14"/>
      <c r="AW1475" s="14">
        <v>0.42075612809083401</v>
      </c>
      <c r="AX1475" s="14">
        <v>0.43550502897198901</v>
      </c>
      <c r="AY1475" s="14"/>
      <c r="AZ1475" s="14">
        <v>0.45005094649353899</v>
      </c>
      <c r="BA1475" s="14">
        <v>0.34901936185461202</v>
      </c>
    </row>
    <row r="1476" spans="2:53" x14ac:dyDescent="0.35">
      <c r="B1476" t="s">
        <v>222</v>
      </c>
      <c r="C1476" s="14">
        <v>0.19542514988022899</v>
      </c>
      <c r="D1476" s="14">
        <v>0.14992119415660901</v>
      </c>
      <c r="E1476" s="14">
        <v>0.239710015354242</v>
      </c>
      <c r="F1476" s="14"/>
      <c r="G1476" s="14">
        <v>0.43925619550893402</v>
      </c>
      <c r="H1476" s="14">
        <v>0.20565470093318</v>
      </c>
      <c r="I1476" s="14">
        <v>0.17765100688060201</v>
      </c>
      <c r="J1476" s="14">
        <v>0.219539571287859</v>
      </c>
      <c r="K1476" s="14">
        <v>0.16918190675964201</v>
      </c>
      <c r="L1476" s="14">
        <v>0.191392512548549</v>
      </c>
      <c r="M1476" s="14"/>
      <c r="N1476" s="14">
        <v>0.15834253724883399</v>
      </c>
      <c r="O1476" s="14">
        <v>0.243902711406976</v>
      </c>
      <c r="P1476" s="14">
        <v>0.15707310508726</v>
      </c>
      <c r="Q1476" s="14">
        <v>0.23581365428954501</v>
      </c>
      <c r="R1476" s="14"/>
      <c r="S1476" s="14">
        <v>0.15982760921547201</v>
      </c>
      <c r="T1476" s="14">
        <v>0.22172286593514501</v>
      </c>
      <c r="U1476" s="14">
        <v>0.18238342342474201</v>
      </c>
      <c r="V1476" s="14">
        <v>0.20862810397090301</v>
      </c>
      <c r="W1476" s="14">
        <v>0.19003634396118799</v>
      </c>
      <c r="X1476" s="14">
        <v>0.18203794733652001</v>
      </c>
      <c r="Y1476" s="14">
        <v>0.23842379705928099</v>
      </c>
      <c r="Z1476" s="14">
        <v>0.20682264973144099</v>
      </c>
      <c r="AA1476" s="14">
        <v>0.183556552524826</v>
      </c>
      <c r="AB1476" s="14"/>
      <c r="AC1476" s="14">
        <v>0.27892772118758602</v>
      </c>
      <c r="AD1476" s="14">
        <v>0.18950025880212301</v>
      </c>
      <c r="AE1476" s="14">
        <v>0.17359103540274901</v>
      </c>
      <c r="AF1476" s="14">
        <v>8.0810778793395197E-2</v>
      </c>
      <c r="AG1476" s="14">
        <v>0.14994267741286599</v>
      </c>
      <c r="AH1476" s="14"/>
      <c r="AI1476" s="14">
        <v>0.15830403645430999</v>
      </c>
      <c r="AJ1476" s="14">
        <v>0.15679145453811599</v>
      </c>
      <c r="AK1476" s="14">
        <v>0.159151941723322</v>
      </c>
      <c r="AL1476" s="14">
        <v>0.27014009088989799</v>
      </c>
      <c r="AM1476" s="14">
        <v>0.26891546404649402</v>
      </c>
      <c r="AN1476" s="14">
        <v>0.25487721762384502</v>
      </c>
      <c r="AO1476" s="14"/>
      <c r="AP1476" s="14">
        <v>0.16558265819218701</v>
      </c>
      <c r="AQ1476" s="14">
        <v>0.22982072926287</v>
      </c>
      <c r="AR1476" s="14"/>
      <c r="AS1476" s="14" t="s">
        <v>88</v>
      </c>
      <c r="AT1476" s="14" t="s">
        <v>88</v>
      </c>
      <c r="AU1476" s="14">
        <v>0.19542514988022899</v>
      </c>
      <c r="AV1476" s="14"/>
      <c r="AW1476" s="14">
        <v>0.21176339424548399</v>
      </c>
      <c r="AX1476" s="14">
        <v>9.6950310026504102E-2</v>
      </c>
      <c r="AY1476" s="14"/>
      <c r="AZ1476" s="14">
        <v>0.158526994427163</v>
      </c>
      <c r="BA1476" s="14">
        <v>0.37032748725005299</v>
      </c>
    </row>
    <row r="1477" spans="2:53" x14ac:dyDescent="0.35">
      <c r="B1477" t="s">
        <v>223</v>
      </c>
      <c r="C1477" s="14">
        <v>4.5863392398287198E-2</v>
      </c>
      <c r="D1477" s="14">
        <v>2.6336295352902099E-2</v>
      </c>
      <c r="E1477" s="14">
        <v>6.4784786502143907E-2</v>
      </c>
      <c r="F1477" s="14"/>
      <c r="G1477" s="14">
        <v>0</v>
      </c>
      <c r="H1477" s="14">
        <v>2.8932025353051598E-2</v>
      </c>
      <c r="I1477" s="14">
        <v>4.3380957643732801E-2</v>
      </c>
      <c r="J1477" s="14">
        <v>3.75035508194696E-2</v>
      </c>
      <c r="K1477" s="14">
        <v>7.4381062370125706E-2</v>
      </c>
      <c r="L1477" s="14">
        <v>0.12867287523037799</v>
      </c>
      <c r="M1477" s="14"/>
      <c r="N1477" s="14">
        <v>3.8148981328269799E-2</v>
      </c>
      <c r="O1477" s="14">
        <v>4.7115874525029897E-2</v>
      </c>
      <c r="P1477" s="14">
        <v>3.9695503358453101E-2</v>
      </c>
      <c r="Q1477" s="14">
        <v>5.8778063589516101E-2</v>
      </c>
      <c r="R1477" s="14"/>
      <c r="S1477" s="14">
        <v>4.6255056620700397E-2</v>
      </c>
      <c r="T1477" s="14">
        <v>3.9954114793208199E-2</v>
      </c>
      <c r="U1477" s="14">
        <v>1.7134603441892202E-2</v>
      </c>
      <c r="V1477" s="14">
        <v>1.6455208326371099E-2</v>
      </c>
      <c r="W1477" s="14">
        <v>5.52362110299972E-2</v>
      </c>
      <c r="X1477" s="14">
        <v>7.8907916528715302E-2</v>
      </c>
      <c r="Y1477" s="14">
        <v>6.3735927120583097E-2</v>
      </c>
      <c r="Z1477" s="14">
        <v>8.2936587038675805E-2</v>
      </c>
      <c r="AA1477" s="14">
        <v>3.4747053987970802E-2</v>
      </c>
      <c r="AB1477" s="14"/>
      <c r="AC1477" s="14">
        <v>4.7736384585251299E-2</v>
      </c>
      <c r="AD1477" s="14">
        <v>6.7822537047037695E-2</v>
      </c>
      <c r="AE1477" s="14">
        <v>3.2173941382491703E-2</v>
      </c>
      <c r="AF1477" s="14">
        <v>3.5510741523626099E-2</v>
      </c>
      <c r="AG1477" s="14">
        <v>0</v>
      </c>
      <c r="AH1477" s="14"/>
      <c r="AI1477" s="14">
        <v>4.63563628400235E-2</v>
      </c>
      <c r="AJ1477" s="14">
        <v>3.1797213198855097E-2</v>
      </c>
      <c r="AK1477" s="14">
        <v>1.88843674369778E-2</v>
      </c>
      <c r="AL1477" s="14">
        <v>7.88971231152822E-2</v>
      </c>
      <c r="AM1477" s="14">
        <v>5.09121701092159E-2</v>
      </c>
      <c r="AN1477" s="14">
        <v>2.11122726607243E-2</v>
      </c>
      <c r="AO1477" s="14"/>
      <c r="AP1477" s="14">
        <v>4.8885949965068697E-2</v>
      </c>
      <c r="AQ1477" s="14">
        <v>4.2323745344377099E-2</v>
      </c>
      <c r="AR1477" s="14"/>
      <c r="AS1477" s="14" t="s">
        <v>88</v>
      </c>
      <c r="AT1477" s="14" t="s">
        <v>88</v>
      </c>
      <c r="AU1477" s="14">
        <v>4.5863392398287198E-2</v>
      </c>
      <c r="AV1477" s="14"/>
      <c r="AW1477" s="14">
        <v>4.8785695993267E-2</v>
      </c>
      <c r="AX1477" s="14">
        <v>3.7042362394563502E-2</v>
      </c>
      <c r="AY1477" s="14"/>
      <c r="AZ1477" s="14">
        <v>3.0211045736367001E-2</v>
      </c>
      <c r="BA1477" s="14">
        <v>0.11981035136059601</v>
      </c>
    </row>
    <row r="1478" spans="2:53" x14ac:dyDescent="0.35">
      <c r="B1478" t="s">
        <v>116</v>
      </c>
      <c r="C1478" s="14">
        <v>1.3798055796044701E-2</v>
      </c>
      <c r="D1478" s="14">
        <v>8.8800525795229793E-3</v>
      </c>
      <c r="E1478" s="14">
        <v>1.8568391461598301E-2</v>
      </c>
      <c r="F1478" s="14"/>
      <c r="G1478" s="14">
        <v>0</v>
      </c>
      <c r="H1478" s="14">
        <v>1.04917162905381E-2</v>
      </c>
      <c r="I1478" s="14">
        <v>1.40127625244957E-2</v>
      </c>
      <c r="J1478" s="14">
        <v>1.54075252029333E-2</v>
      </c>
      <c r="K1478" s="14">
        <v>1.33892967444139E-2</v>
      </c>
      <c r="L1478" s="14">
        <v>0</v>
      </c>
      <c r="M1478" s="14"/>
      <c r="N1478" s="14">
        <v>1.20213310481524E-2</v>
      </c>
      <c r="O1478" s="14">
        <v>2.51994753169149E-2</v>
      </c>
      <c r="P1478" s="14">
        <v>1.71412666476124E-2</v>
      </c>
      <c r="Q1478" s="14">
        <v>0</v>
      </c>
      <c r="R1478" s="14"/>
      <c r="S1478" s="14">
        <v>1.9177930724297701E-2</v>
      </c>
      <c r="T1478" s="14">
        <v>4.6059662182734397E-3</v>
      </c>
      <c r="U1478" s="14">
        <v>0</v>
      </c>
      <c r="V1478" s="14">
        <v>2.2205707519356001E-2</v>
      </c>
      <c r="W1478" s="14">
        <v>9.76141728712656E-3</v>
      </c>
      <c r="X1478" s="14">
        <v>3.2495900289342301E-2</v>
      </c>
      <c r="Y1478" s="14">
        <v>8.40446176514896E-3</v>
      </c>
      <c r="Z1478" s="14">
        <v>1.39645820312038E-2</v>
      </c>
      <c r="AA1478" s="14">
        <v>1.51660238665868E-2</v>
      </c>
      <c r="AB1478" s="14"/>
      <c r="AC1478" s="14">
        <v>4.9403348525224001E-3</v>
      </c>
      <c r="AD1478" s="14">
        <v>1.18063908762238E-2</v>
      </c>
      <c r="AE1478" s="14">
        <v>3.1747185626460402E-2</v>
      </c>
      <c r="AF1478" s="14">
        <v>0</v>
      </c>
      <c r="AG1478" s="14">
        <v>0</v>
      </c>
      <c r="AH1478" s="14"/>
      <c r="AI1478" s="14">
        <v>1.6972318324287802E-2</v>
      </c>
      <c r="AJ1478" s="14">
        <v>1.37627652776303E-2</v>
      </c>
      <c r="AK1478" s="14">
        <v>3.4148228474791001E-2</v>
      </c>
      <c r="AL1478" s="14">
        <v>8.69045855804048E-3</v>
      </c>
      <c r="AM1478" s="14">
        <v>0</v>
      </c>
      <c r="AN1478" s="14">
        <v>0</v>
      </c>
      <c r="AO1478" s="14"/>
      <c r="AP1478" s="14">
        <v>1.1124488249795001E-2</v>
      </c>
      <c r="AQ1478" s="14">
        <v>1.70143659498532E-2</v>
      </c>
      <c r="AR1478" s="14"/>
      <c r="AS1478" s="14" t="s">
        <v>88</v>
      </c>
      <c r="AT1478" s="14" t="s">
        <v>88</v>
      </c>
      <c r="AU1478" s="14">
        <v>1.3798055796044701E-2</v>
      </c>
      <c r="AV1478" s="14"/>
      <c r="AW1478" s="14">
        <v>9.6852065141522399E-3</v>
      </c>
      <c r="AX1478" s="14">
        <v>1.7981962868418501E-2</v>
      </c>
      <c r="AY1478" s="14"/>
      <c r="AZ1478" s="14">
        <v>1.17896657864765E-2</v>
      </c>
      <c r="BA1478" s="14">
        <v>2.3339208717011398E-2</v>
      </c>
    </row>
    <row r="1479" spans="2:53" x14ac:dyDescent="0.35">
      <c r="B1479" t="s">
        <v>224</v>
      </c>
      <c r="C1479" s="14">
        <v>0.67531217223997697</v>
      </c>
      <c r="D1479" s="14">
        <v>0.73037432788184098</v>
      </c>
      <c r="E1479" s="14">
        <v>0.62153353233471698</v>
      </c>
      <c r="F1479" s="14"/>
      <c r="G1479" s="14">
        <v>0.56074380449106598</v>
      </c>
      <c r="H1479" s="14">
        <v>0.73515912391272098</v>
      </c>
      <c r="I1479" s="14">
        <v>0.70837706661269195</v>
      </c>
      <c r="J1479" s="14">
        <v>0.65168746986125903</v>
      </c>
      <c r="K1479" s="14">
        <v>0.60212991484497602</v>
      </c>
      <c r="L1479" s="14">
        <v>0.67993461222107299</v>
      </c>
      <c r="M1479" s="14"/>
      <c r="N1479" s="14">
        <v>0.71584782752561305</v>
      </c>
      <c r="O1479" s="14">
        <v>0.60304749606297803</v>
      </c>
      <c r="P1479" s="14">
        <v>0.75866443987850396</v>
      </c>
      <c r="Q1479" s="14">
        <v>0.61224302047021895</v>
      </c>
      <c r="R1479" s="14"/>
      <c r="S1479" s="14">
        <v>0.73472736863915999</v>
      </c>
      <c r="T1479" s="14">
        <v>0.614818153417234</v>
      </c>
      <c r="U1479" s="14">
        <v>0.66751366873804796</v>
      </c>
      <c r="V1479" s="14">
        <v>0.70128921906729202</v>
      </c>
      <c r="W1479" s="14">
        <v>0.68814316672808995</v>
      </c>
      <c r="X1479" s="14">
        <v>0.65679879213112202</v>
      </c>
      <c r="Y1479" s="14">
        <v>0.607529732848894</v>
      </c>
      <c r="Z1479" s="14">
        <v>0.68262466484316797</v>
      </c>
      <c r="AA1479" s="14">
        <v>0.71187103538229002</v>
      </c>
      <c r="AB1479" s="14"/>
      <c r="AC1479" s="14">
        <v>0.59515042879255198</v>
      </c>
      <c r="AD1479" s="14">
        <v>0.67167785615526499</v>
      </c>
      <c r="AE1479" s="14">
        <v>0.71646814581787099</v>
      </c>
      <c r="AF1479" s="14">
        <v>0.79208150144726797</v>
      </c>
      <c r="AG1479" s="14">
        <v>0.80939730073624705</v>
      </c>
      <c r="AH1479" s="14"/>
      <c r="AI1479" s="14">
        <v>0.72128444629368704</v>
      </c>
      <c r="AJ1479" s="14">
        <v>0.73267439066864304</v>
      </c>
      <c r="AK1479" s="14">
        <v>0.69509909016404403</v>
      </c>
      <c r="AL1479" s="14">
        <v>0.572502270860065</v>
      </c>
      <c r="AM1479" s="14">
        <v>0.59872537100599499</v>
      </c>
      <c r="AN1479" s="14">
        <v>0.599089365307511</v>
      </c>
      <c r="AO1479" s="14"/>
      <c r="AP1479" s="14">
        <v>0.70329051809036802</v>
      </c>
      <c r="AQ1479" s="14">
        <v>0.64294111252464403</v>
      </c>
      <c r="AR1479" s="14"/>
      <c r="AS1479" s="14" t="s">
        <v>88</v>
      </c>
      <c r="AT1479" s="14" t="s">
        <v>88</v>
      </c>
      <c r="AU1479" s="14">
        <v>0.67531217223997697</v>
      </c>
      <c r="AV1479" s="14"/>
      <c r="AW1479" s="14">
        <v>0.655018797792429</v>
      </c>
      <c r="AX1479" s="14">
        <v>0.78314418539165997</v>
      </c>
      <c r="AY1479" s="14"/>
      <c r="AZ1479" s="14">
        <v>0.72802019202601997</v>
      </c>
      <c r="BA1479" s="14">
        <v>0.425164878008089</v>
      </c>
    </row>
    <row r="1480" spans="2:53" x14ac:dyDescent="0.35"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</row>
    <row r="1481" spans="2:53" x14ac:dyDescent="0.35">
      <c r="B1481" s="6" t="s">
        <v>362</v>
      </c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  <c r="AO1481" s="14"/>
      <c r="AP1481" s="14"/>
      <c r="AQ1481" s="14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</row>
    <row r="1482" spans="2:53" x14ac:dyDescent="0.35">
      <c r="B1482" s="24" t="s">
        <v>101</v>
      </c>
      <c r="C1482" s="14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</row>
    <row r="1483" spans="2:53" x14ac:dyDescent="0.35">
      <c r="B1483" t="s">
        <v>154</v>
      </c>
      <c r="C1483" s="14">
        <v>0.52603891575170203</v>
      </c>
      <c r="D1483" s="14">
        <v>0.53759271010113396</v>
      </c>
      <c r="E1483" s="14">
        <v>0.51539219351261301</v>
      </c>
      <c r="F1483" s="14"/>
      <c r="G1483" s="14">
        <v>0.56074380449106598</v>
      </c>
      <c r="H1483" s="14">
        <v>0.51092838910732297</v>
      </c>
      <c r="I1483" s="14">
        <v>0.56255234271479304</v>
      </c>
      <c r="J1483" s="14">
        <v>0.50538825873794002</v>
      </c>
      <c r="K1483" s="14">
        <v>0.47166846441924998</v>
      </c>
      <c r="L1483" s="14">
        <v>0.60312531604224495</v>
      </c>
      <c r="M1483" s="14"/>
      <c r="N1483" s="14">
        <v>0.618151599792787</v>
      </c>
      <c r="O1483" s="14">
        <v>0.529500298673239</v>
      </c>
      <c r="P1483" s="14">
        <v>0.50660907779585096</v>
      </c>
      <c r="Q1483" s="14">
        <v>0.43497829033852098</v>
      </c>
      <c r="R1483" s="14"/>
      <c r="S1483" s="14">
        <v>0.56768600472337205</v>
      </c>
      <c r="T1483" s="14">
        <v>0.50828848137669103</v>
      </c>
      <c r="U1483" s="14">
        <v>0.48000703532387801</v>
      </c>
      <c r="V1483" s="14">
        <v>0.46682359582802402</v>
      </c>
      <c r="W1483" s="14">
        <v>0.50208941799548901</v>
      </c>
      <c r="X1483" s="14">
        <v>0.56387248895259001</v>
      </c>
      <c r="Y1483" s="14">
        <v>0.53641343340492298</v>
      </c>
      <c r="Z1483" s="14">
        <v>0.56486609361167905</v>
      </c>
      <c r="AA1483" s="14">
        <v>0.54808673510635597</v>
      </c>
      <c r="AB1483" s="14"/>
      <c r="AC1483" s="14">
        <v>0.38960944004867598</v>
      </c>
      <c r="AD1483" s="14">
        <v>0.55549934246979704</v>
      </c>
      <c r="AE1483" s="14">
        <v>0.58030168558345696</v>
      </c>
      <c r="AF1483" s="14">
        <v>0.71003604863994796</v>
      </c>
      <c r="AG1483" s="14">
        <v>0.812007991400021</v>
      </c>
      <c r="AH1483" s="14"/>
      <c r="AI1483" s="14">
        <v>0.55960863762031599</v>
      </c>
      <c r="AJ1483" s="14">
        <v>0.62748734828758901</v>
      </c>
      <c r="AK1483" s="14">
        <v>0.54783698081196197</v>
      </c>
      <c r="AL1483" s="14">
        <v>0.44782810905042197</v>
      </c>
      <c r="AM1483" s="14">
        <v>0.54187855106263805</v>
      </c>
      <c r="AN1483" s="14">
        <v>0.429522082904083</v>
      </c>
      <c r="AO1483" s="14"/>
      <c r="AP1483" s="14">
        <v>0.54888968609693101</v>
      </c>
      <c r="AQ1483" s="14">
        <v>0.50257366564242101</v>
      </c>
      <c r="AR1483" s="14"/>
      <c r="AS1483" s="14" t="s">
        <v>88</v>
      </c>
      <c r="AT1483" s="14" t="s">
        <v>88</v>
      </c>
      <c r="AU1483" s="14">
        <v>0.52603891575170203</v>
      </c>
      <c r="AV1483" s="14"/>
      <c r="AW1483" s="14">
        <v>0.52580106692697803</v>
      </c>
      <c r="AX1483" s="14">
        <v>0.68032176865162397</v>
      </c>
      <c r="AY1483" s="14"/>
      <c r="AZ1483" s="14">
        <v>0.56720086282505899</v>
      </c>
      <c r="BA1483" s="14">
        <v>0.378478588530618</v>
      </c>
    </row>
    <row r="1484" spans="2:53" x14ac:dyDescent="0.35">
      <c r="B1484" t="s">
        <v>155</v>
      </c>
      <c r="C1484" s="14">
        <v>0.20848393576569399</v>
      </c>
      <c r="D1484" s="14">
        <v>0.21798944214402599</v>
      </c>
      <c r="E1484" s="14">
        <v>0.19787659725216</v>
      </c>
      <c r="F1484" s="14"/>
      <c r="G1484" s="14">
        <v>0</v>
      </c>
      <c r="H1484" s="14">
        <v>0.30295216112562201</v>
      </c>
      <c r="I1484" s="14">
        <v>0.19913583112898001</v>
      </c>
      <c r="J1484" s="14">
        <v>0.19635130957522001</v>
      </c>
      <c r="K1484" s="14">
        <v>0.22610790126549099</v>
      </c>
      <c r="L1484" s="14">
        <v>0.155305891974199</v>
      </c>
      <c r="M1484" s="14"/>
      <c r="N1484" s="14">
        <v>0.18499479627389301</v>
      </c>
      <c r="O1484" s="14">
        <v>0.17536795566213401</v>
      </c>
      <c r="P1484" s="14">
        <v>0.20237433837577701</v>
      </c>
      <c r="Q1484" s="14">
        <v>0.27826448166464701</v>
      </c>
      <c r="R1484" s="14"/>
      <c r="S1484" s="14">
        <v>0.21049577291268901</v>
      </c>
      <c r="T1484" s="14">
        <v>0.21513472850622201</v>
      </c>
      <c r="U1484" s="14">
        <v>0.238609607468732</v>
      </c>
      <c r="V1484" s="14">
        <v>0.16788226251383201</v>
      </c>
      <c r="W1484" s="14">
        <v>0.21981624836067901</v>
      </c>
      <c r="X1484" s="14">
        <v>0.16073519680204101</v>
      </c>
      <c r="Y1484" s="14">
        <v>0.233263853165188</v>
      </c>
      <c r="Z1484" s="14">
        <v>0.220298367324018</v>
      </c>
      <c r="AA1484" s="14">
        <v>0.21499066554782001</v>
      </c>
      <c r="AB1484" s="14"/>
      <c r="AC1484" s="14">
        <v>0.25029052179716199</v>
      </c>
      <c r="AD1484" s="14">
        <v>0.21893030737482799</v>
      </c>
      <c r="AE1484" s="14">
        <v>0.17520354006451699</v>
      </c>
      <c r="AF1484" s="14">
        <v>0.18486751724702499</v>
      </c>
      <c r="AG1484" s="14">
        <v>0.11434862267978101</v>
      </c>
      <c r="AH1484" s="14"/>
      <c r="AI1484" s="14">
        <v>0.22051574401618801</v>
      </c>
      <c r="AJ1484" s="14">
        <v>0.2054563457263</v>
      </c>
      <c r="AK1484" s="14">
        <v>0.13951636723278099</v>
      </c>
      <c r="AL1484" s="14">
        <v>0.19599934454308399</v>
      </c>
      <c r="AM1484" s="14">
        <v>0.28132444225059899</v>
      </c>
      <c r="AN1484" s="14">
        <v>0.147836065162083</v>
      </c>
      <c r="AO1484" s="14"/>
      <c r="AP1484" s="14">
        <v>0.20068321380809201</v>
      </c>
      <c r="AQ1484" s="14">
        <v>0.21741696089691101</v>
      </c>
      <c r="AR1484" s="14"/>
      <c r="AS1484" s="14" t="s">
        <v>88</v>
      </c>
      <c r="AT1484" s="14" t="s">
        <v>88</v>
      </c>
      <c r="AU1484" s="14">
        <v>0.20848393576569399</v>
      </c>
      <c r="AV1484" s="14"/>
      <c r="AW1484" s="14">
        <v>0.19892407490398201</v>
      </c>
      <c r="AX1484" s="14">
        <v>0.18628365964277899</v>
      </c>
      <c r="AY1484" s="14"/>
      <c r="AZ1484" s="14">
        <v>0.21488088824880999</v>
      </c>
      <c r="BA1484" s="14">
        <v>0.187528846172379</v>
      </c>
    </row>
    <row r="1485" spans="2:53" x14ac:dyDescent="0.35">
      <c r="B1485" t="s">
        <v>116</v>
      </c>
      <c r="C1485" s="14">
        <v>0.26547714848260401</v>
      </c>
      <c r="D1485" s="14">
        <v>0.24441784775483999</v>
      </c>
      <c r="E1485" s="14">
        <v>0.28673120923522699</v>
      </c>
      <c r="F1485" s="14"/>
      <c r="G1485" s="14">
        <v>0.43925619550893402</v>
      </c>
      <c r="H1485" s="14">
        <v>0.186119449767055</v>
      </c>
      <c r="I1485" s="14">
        <v>0.23831182615622701</v>
      </c>
      <c r="J1485" s="14">
        <v>0.29826043168683902</v>
      </c>
      <c r="K1485" s="14">
        <v>0.302223634315259</v>
      </c>
      <c r="L1485" s="14">
        <v>0.24156879198355699</v>
      </c>
      <c r="M1485" s="14"/>
      <c r="N1485" s="14">
        <v>0.19685360393331999</v>
      </c>
      <c r="O1485" s="14">
        <v>0.29513174566462702</v>
      </c>
      <c r="P1485" s="14">
        <v>0.29101658382837098</v>
      </c>
      <c r="Q1485" s="14">
        <v>0.28675722799683201</v>
      </c>
      <c r="R1485" s="14"/>
      <c r="S1485" s="14">
        <v>0.221818222363938</v>
      </c>
      <c r="T1485" s="14">
        <v>0.27657679011708702</v>
      </c>
      <c r="U1485" s="14">
        <v>0.28138335720738999</v>
      </c>
      <c r="V1485" s="14">
        <v>0.365294141658144</v>
      </c>
      <c r="W1485" s="14">
        <v>0.27809433364383201</v>
      </c>
      <c r="X1485" s="14">
        <v>0.27539231424536897</v>
      </c>
      <c r="Y1485" s="14">
        <v>0.230322713429889</v>
      </c>
      <c r="Z1485" s="14">
        <v>0.214835539064303</v>
      </c>
      <c r="AA1485" s="14">
        <v>0.23692259934582399</v>
      </c>
      <c r="AB1485" s="14"/>
      <c r="AC1485" s="14">
        <v>0.36010003815416097</v>
      </c>
      <c r="AD1485" s="14">
        <v>0.22557035015537599</v>
      </c>
      <c r="AE1485" s="14">
        <v>0.24449477435202599</v>
      </c>
      <c r="AF1485" s="14">
        <v>0.10509643411302701</v>
      </c>
      <c r="AG1485" s="14">
        <v>7.3643385920198506E-2</v>
      </c>
      <c r="AH1485" s="14"/>
      <c r="AI1485" s="14">
        <v>0.21987561836349601</v>
      </c>
      <c r="AJ1485" s="14">
        <v>0.16705630598611099</v>
      </c>
      <c r="AK1485" s="14">
        <v>0.31264665195525698</v>
      </c>
      <c r="AL1485" s="14">
        <v>0.35617254640649398</v>
      </c>
      <c r="AM1485" s="14">
        <v>0.17679700668676299</v>
      </c>
      <c r="AN1485" s="14">
        <v>0.42264185193383402</v>
      </c>
      <c r="AO1485" s="14"/>
      <c r="AP1485" s="14">
        <v>0.25042710009497698</v>
      </c>
      <c r="AQ1485" s="14">
        <v>0.28000937346066801</v>
      </c>
      <c r="AR1485" s="14"/>
      <c r="AS1485" s="14" t="s">
        <v>88</v>
      </c>
      <c r="AT1485" s="14" t="s">
        <v>88</v>
      </c>
      <c r="AU1485" s="14">
        <v>0.26547714848260401</v>
      </c>
      <c r="AV1485" s="14"/>
      <c r="AW1485" s="14">
        <v>0.27527485816904002</v>
      </c>
      <c r="AX1485" s="14">
        <v>0.13339457170559699</v>
      </c>
      <c r="AY1485" s="14"/>
      <c r="AZ1485" s="14">
        <v>0.21791824892613099</v>
      </c>
      <c r="BA1485" s="14">
        <v>0.43399256529700297</v>
      </c>
    </row>
    <row r="1486" spans="2:53" x14ac:dyDescent="0.35"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</row>
    <row r="1487" spans="2:53" x14ac:dyDescent="0.35">
      <c r="B1487" s="6" t="s">
        <v>363</v>
      </c>
      <c r="C1487" s="14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4"/>
      <c r="AP1487" s="14"/>
      <c r="AQ1487" s="14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</row>
    <row r="1488" spans="2:53" x14ac:dyDescent="0.35">
      <c r="B1488" s="30" t="s">
        <v>463</v>
      </c>
      <c r="C1488" s="14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  <c r="AO1488" s="14"/>
      <c r="AP1488" s="14"/>
      <c r="AQ1488" s="14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</row>
    <row r="1489" spans="2:53" x14ac:dyDescent="0.35">
      <c r="B1489" t="s">
        <v>214</v>
      </c>
      <c r="C1489" s="14">
        <v>0.19477235438934101</v>
      </c>
      <c r="D1489" s="14">
        <v>0.20822797359220499</v>
      </c>
      <c r="E1489" s="14">
        <v>0.18087441350748501</v>
      </c>
      <c r="F1489" s="14"/>
      <c r="G1489" s="14">
        <v>0</v>
      </c>
      <c r="H1489" s="14">
        <v>0.26332680147688298</v>
      </c>
      <c r="I1489" s="14">
        <v>0.242787857344754</v>
      </c>
      <c r="J1489" s="14">
        <v>0.15757061851098</v>
      </c>
      <c r="K1489" s="14">
        <v>8.9870216791671398E-2</v>
      </c>
      <c r="L1489" s="14">
        <v>0.21377019383291701</v>
      </c>
      <c r="M1489" s="14"/>
      <c r="N1489" s="14">
        <v>0.20158410006179001</v>
      </c>
      <c r="O1489" s="14">
        <v>0.12717972698168101</v>
      </c>
      <c r="P1489" s="14">
        <v>0.20562996571421599</v>
      </c>
      <c r="Q1489" s="14">
        <v>0.25926076116094499</v>
      </c>
      <c r="R1489" s="14"/>
      <c r="S1489" s="14">
        <v>0.270125365867879</v>
      </c>
      <c r="T1489" s="14">
        <v>0.190983758735952</v>
      </c>
      <c r="U1489" s="14">
        <v>0.18575996820250101</v>
      </c>
      <c r="V1489" s="14">
        <v>0.231830006888565</v>
      </c>
      <c r="W1489" s="14">
        <v>9.7828672411890999E-2</v>
      </c>
      <c r="X1489" s="14">
        <v>0.22622557940000901</v>
      </c>
      <c r="Y1489" s="14">
        <v>0.187775051021459</v>
      </c>
      <c r="Z1489" s="14">
        <v>0.21266483165959499</v>
      </c>
      <c r="AA1489" s="14">
        <v>0.125104019581353</v>
      </c>
      <c r="AB1489" s="14"/>
      <c r="AC1489" s="14">
        <v>0.14897030561416799</v>
      </c>
      <c r="AD1489" s="14">
        <v>0.18280784166293601</v>
      </c>
      <c r="AE1489" s="14">
        <v>0.18432596092817</v>
      </c>
      <c r="AF1489" s="14">
        <v>0.24228610819447099</v>
      </c>
      <c r="AG1489" s="14">
        <v>0.28865218546430299</v>
      </c>
      <c r="AH1489" s="14"/>
      <c r="AI1489" s="14">
        <v>0.25451239663866199</v>
      </c>
      <c r="AJ1489" s="14">
        <v>0.19304668693140201</v>
      </c>
      <c r="AK1489" s="14">
        <v>0.19484079816095501</v>
      </c>
      <c r="AL1489" s="14">
        <v>0.13443127434031299</v>
      </c>
      <c r="AM1489" s="14">
        <v>9.11793452198396E-2</v>
      </c>
      <c r="AN1489" s="14">
        <v>0.112097202164956</v>
      </c>
      <c r="AO1489" s="14"/>
      <c r="AP1489" s="14">
        <v>0.20665123433996299</v>
      </c>
      <c r="AQ1489" s="14">
        <v>0.179928946550864</v>
      </c>
      <c r="AR1489" s="14"/>
      <c r="AS1489" s="14" t="s">
        <v>88</v>
      </c>
      <c r="AT1489" s="14" t="s">
        <v>88</v>
      </c>
      <c r="AU1489" s="14">
        <v>0.19477235438934101</v>
      </c>
      <c r="AV1489" s="14"/>
      <c r="AW1489" s="14">
        <v>0.17459835330705301</v>
      </c>
      <c r="AX1489" s="14">
        <v>0.28267412596876901</v>
      </c>
      <c r="AY1489" s="14"/>
      <c r="AZ1489" s="14">
        <v>0.20928237566843</v>
      </c>
      <c r="BA1489" s="14">
        <v>0.117638454964983</v>
      </c>
    </row>
    <row r="1490" spans="2:53" x14ac:dyDescent="0.35">
      <c r="B1490" t="s">
        <v>215</v>
      </c>
      <c r="C1490" s="14">
        <v>0.56485045287761604</v>
      </c>
      <c r="D1490" s="14">
        <v>0.56576592488020105</v>
      </c>
      <c r="E1490" s="14">
        <v>0.56390488689666096</v>
      </c>
      <c r="F1490" s="14"/>
      <c r="G1490" s="14">
        <v>0</v>
      </c>
      <c r="H1490" s="14">
        <v>0.53822694417510097</v>
      </c>
      <c r="I1490" s="14">
        <v>0.53937503995810998</v>
      </c>
      <c r="J1490" s="14">
        <v>0.58153228172676596</v>
      </c>
      <c r="K1490" s="14">
        <v>0.629572538443956</v>
      </c>
      <c r="L1490" s="14">
        <v>0.59161901689769603</v>
      </c>
      <c r="M1490" s="14"/>
      <c r="N1490" s="14">
        <v>0.56912632247554795</v>
      </c>
      <c r="O1490" s="14">
        <v>0.59806961411172699</v>
      </c>
      <c r="P1490" s="14">
        <v>0.58709993556050999</v>
      </c>
      <c r="Q1490" s="14">
        <v>0.49399016194737499</v>
      </c>
      <c r="R1490" s="14"/>
      <c r="S1490" s="14">
        <v>0.59634600443508901</v>
      </c>
      <c r="T1490" s="14">
        <v>0.47951024646952101</v>
      </c>
      <c r="U1490" s="14">
        <v>0.553417034139705</v>
      </c>
      <c r="V1490" s="14">
        <v>0.521319820468374</v>
      </c>
      <c r="W1490" s="14">
        <v>0.66746507644782904</v>
      </c>
      <c r="X1490" s="14">
        <v>0.55183287390670699</v>
      </c>
      <c r="Y1490" s="14">
        <v>0.53553438652001695</v>
      </c>
      <c r="Z1490" s="14">
        <v>0.61271873834276602</v>
      </c>
      <c r="AA1490" s="14">
        <v>0.60320920933149702</v>
      </c>
      <c r="AB1490" s="14"/>
      <c r="AC1490" s="14">
        <v>0.604591046862334</v>
      </c>
      <c r="AD1490" s="14">
        <v>0.59859985095719304</v>
      </c>
      <c r="AE1490" s="14">
        <v>0.56324461143536397</v>
      </c>
      <c r="AF1490" s="14">
        <v>0.55085041476697905</v>
      </c>
      <c r="AG1490" s="14">
        <v>0.52429817823590397</v>
      </c>
      <c r="AH1490" s="14"/>
      <c r="AI1490" s="14">
        <v>0.51969730177593498</v>
      </c>
      <c r="AJ1490" s="14">
        <v>0.60384058551091002</v>
      </c>
      <c r="AK1490" s="14">
        <v>0.620049957740896</v>
      </c>
      <c r="AL1490" s="14">
        <v>0.47315223842216497</v>
      </c>
      <c r="AM1490" s="14">
        <v>0.69247310211427004</v>
      </c>
      <c r="AN1490" s="14">
        <v>0.62711912361546795</v>
      </c>
      <c r="AO1490" s="14"/>
      <c r="AP1490" s="14">
        <v>0.588890415626522</v>
      </c>
      <c r="AQ1490" s="14">
        <v>0.53481100698818296</v>
      </c>
      <c r="AR1490" s="14"/>
      <c r="AS1490" s="14" t="s">
        <v>88</v>
      </c>
      <c r="AT1490" s="14" t="s">
        <v>88</v>
      </c>
      <c r="AU1490" s="14">
        <v>0.56485045287761604</v>
      </c>
      <c r="AV1490" s="14"/>
      <c r="AW1490" s="14">
        <v>0.59576180452966998</v>
      </c>
      <c r="AX1490" s="14">
        <v>0.49620549313837597</v>
      </c>
      <c r="AY1490" s="14"/>
      <c r="AZ1490" s="14">
        <v>0.57117948245157402</v>
      </c>
      <c r="BA1490" s="14">
        <v>0.52608583511235396</v>
      </c>
    </row>
    <row r="1491" spans="2:53" x14ac:dyDescent="0.35">
      <c r="B1491" t="s">
        <v>216</v>
      </c>
      <c r="C1491" s="14">
        <v>0.10591454214740501</v>
      </c>
      <c r="D1491" s="14">
        <v>7.1660793572410494E-2</v>
      </c>
      <c r="E1491" s="14">
        <v>0.14129430174820301</v>
      </c>
      <c r="F1491" s="14"/>
      <c r="G1491" s="14">
        <v>0</v>
      </c>
      <c r="H1491" s="14">
        <v>0.16247759362488101</v>
      </c>
      <c r="I1491" s="14">
        <v>0.107972101186739</v>
      </c>
      <c r="J1491" s="14">
        <v>0.111664620023971</v>
      </c>
      <c r="K1491" s="14">
        <v>5.2224090621717199E-2</v>
      </c>
      <c r="L1491" s="14">
        <v>5.5267794972932702E-2</v>
      </c>
      <c r="M1491" s="14"/>
      <c r="N1491" s="14">
        <v>8.3495735467222096E-2</v>
      </c>
      <c r="O1491" s="14">
        <v>0.14428943601618099</v>
      </c>
      <c r="P1491" s="14">
        <v>9.1486489380369407E-2</v>
      </c>
      <c r="Q1491" s="14">
        <v>0.107444477578666</v>
      </c>
      <c r="R1491" s="14"/>
      <c r="S1491" s="14">
        <v>4.6435583548271597E-2</v>
      </c>
      <c r="T1491" s="14">
        <v>0.119566788073783</v>
      </c>
      <c r="U1491" s="14">
        <v>6.0829784249318397E-2</v>
      </c>
      <c r="V1491" s="14">
        <v>0.16153483121141601</v>
      </c>
      <c r="W1491" s="14">
        <v>0.12637174866813899</v>
      </c>
      <c r="X1491" s="14">
        <v>7.8432027996942794E-2</v>
      </c>
      <c r="Y1491" s="14">
        <v>0.14830931930260999</v>
      </c>
      <c r="Z1491" s="14">
        <v>7.0581445821589095E-2</v>
      </c>
      <c r="AA1491" s="14">
        <v>0.14186527363575199</v>
      </c>
      <c r="AB1491" s="14"/>
      <c r="AC1491" s="14">
        <v>8.3237783058736206E-2</v>
      </c>
      <c r="AD1491" s="14">
        <v>0.123794018974167</v>
      </c>
      <c r="AE1491" s="14">
        <v>0.100717463218023</v>
      </c>
      <c r="AF1491" s="14">
        <v>0.12079713444123399</v>
      </c>
      <c r="AG1491" s="14">
        <v>1.32474335517752E-2</v>
      </c>
      <c r="AH1491" s="14"/>
      <c r="AI1491" s="14">
        <v>9.0022600227124494E-2</v>
      </c>
      <c r="AJ1491" s="14">
        <v>9.6095456072006799E-2</v>
      </c>
      <c r="AK1491" s="14">
        <v>8.9778016667672406E-2</v>
      </c>
      <c r="AL1491" s="14">
        <v>0.226962329844905</v>
      </c>
      <c r="AM1491" s="14">
        <v>5.4615065354806099E-2</v>
      </c>
      <c r="AN1491" s="14">
        <v>5.1412941540797799E-2</v>
      </c>
      <c r="AO1491" s="14"/>
      <c r="AP1491" s="14">
        <v>8.4391233387590303E-2</v>
      </c>
      <c r="AQ1491" s="14">
        <v>0.13280927054632599</v>
      </c>
      <c r="AR1491" s="14"/>
      <c r="AS1491" s="14" t="s">
        <v>88</v>
      </c>
      <c r="AT1491" s="14" t="s">
        <v>88</v>
      </c>
      <c r="AU1491" s="14">
        <v>0.10591454214740501</v>
      </c>
      <c r="AV1491" s="14"/>
      <c r="AW1491" s="14">
        <v>0.105622864394302</v>
      </c>
      <c r="AX1491" s="14">
        <v>8.3930397481775304E-2</v>
      </c>
      <c r="AY1491" s="14"/>
      <c r="AZ1491" s="14">
        <v>0.102095986556409</v>
      </c>
      <c r="BA1491" s="14">
        <v>0.12776087690627899</v>
      </c>
    </row>
    <row r="1492" spans="2:53" x14ac:dyDescent="0.35">
      <c r="B1492" t="s">
        <v>217</v>
      </c>
      <c r="C1492" s="14">
        <v>2.1010767418618698E-2</v>
      </c>
      <c r="D1492" s="14">
        <v>2.1389634697879901E-2</v>
      </c>
      <c r="E1492" s="14">
        <v>2.0619445773003099E-2</v>
      </c>
      <c r="F1492" s="14"/>
      <c r="G1492" s="14">
        <v>0.67390095748394496</v>
      </c>
      <c r="H1492" s="14">
        <v>0</v>
      </c>
      <c r="I1492" s="14">
        <v>2.7610050387923201E-2</v>
      </c>
      <c r="J1492" s="14">
        <v>1.2665139154048001E-2</v>
      </c>
      <c r="K1492" s="14">
        <v>1.87298954865255E-2</v>
      </c>
      <c r="L1492" s="14">
        <v>5.1478752330020298E-2</v>
      </c>
      <c r="M1492" s="14"/>
      <c r="N1492" s="14">
        <v>1.3753684517576401E-2</v>
      </c>
      <c r="O1492" s="14">
        <v>2.6113078925188399E-2</v>
      </c>
      <c r="P1492" s="14">
        <v>2.9319395609756899E-2</v>
      </c>
      <c r="Q1492" s="14">
        <v>1.76370440398688E-2</v>
      </c>
      <c r="R1492" s="14"/>
      <c r="S1492" s="14">
        <v>1.99746935068735E-2</v>
      </c>
      <c r="T1492" s="14">
        <v>3.8478433324639003E-2</v>
      </c>
      <c r="U1492" s="14">
        <v>3.9595229313030098E-2</v>
      </c>
      <c r="V1492" s="14">
        <v>1.6882838178274601E-2</v>
      </c>
      <c r="W1492" s="14">
        <v>1.02854718166954E-2</v>
      </c>
      <c r="X1492" s="14">
        <v>1.30367569858558E-2</v>
      </c>
      <c r="Y1492" s="14">
        <v>0</v>
      </c>
      <c r="Z1492" s="14">
        <v>1.95712101124428E-2</v>
      </c>
      <c r="AA1492" s="14">
        <v>2.4701314532013002E-2</v>
      </c>
      <c r="AB1492" s="14"/>
      <c r="AC1492" s="14">
        <v>1.0392652974798199E-2</v>
      </c>
      <c r="AD1492" s="14">
        <v>4.3537010671238503E-2</v>
      </c>
      <c r="AE1492" s="14">
        <v>1.55873822880402E-2</v>
      </c>
      <c r="AF1492" s="14">
        <v>8.5125216688445807E-3</v>
      </c>
      <c r="AG1492" s="14">
        <v>8.7573164580439893E-3</v>
      </c>
      <c r="AH1492" s="14"/>
      <c r="AI1492" s="14">
        <v>2.1622189367418901E-2</v>
      </c>
      <c r="AJ1492" s="14">
        <v>3.21815689284419E-2</v>
      </c>
      <c r="AK1492" s="14">
        <v>2.0438430513642501E-2</v>
      </c>
      <c r="AL1492" s="14">
        <v>2.0564654917471899E-2</v>
      </c>
      <c r="AM1492" s="14">
        <v>2.77591800181404E-2</v>
      </c>
      <c r="AN1492" s="14">
        <v>0</v>
      </c>
      <c r="AO1492" s="14"/>
      <c r="AP1492" s="14">
        <v>1.51414416656095E-2</v>
      </c>
      <c r="AQ1492" s="14">
        <v>2.83448592059697E-2</v>
      </c>
      <c r="AR1492" s="14"/>
      <c r="AS1492" s="14" t="s">
        <v>88</v>
      </c>
      <c r="AT1492" s="14" t="s">
        <v>88</v>
      </c>
      <c r="AU1492" s="14">
        <v>2.1010767418618698E-2</v>
      </c>
      <c r="AV1492" s="14"/>
      <c r="AW1492" s="14">
        <v>1.6684775429263901E-2</v>
      </c>
      <c r="AX1492" s="14">
        <v>2.62937710927032E-2</v>
      </c>
      <c r="AY1492" s="14"/>
      <c r="AZ1492" s="14">
        <v>1.5144736354048101E-2</v>
      </c>
      <c r="BA1492" s="14">
        <v>5.3176027453519799E-2</v>
      </c>
    </row>
    <row r="1493" spans="2:53" x14ac:dyDescent="0.35">
      <c r="B1493" t="s">
        <v>116</v>
      </c>
      <c r="C1493" s="14">
        <v>4.3660684380632302E-2</v>
      </c>
      <c r="D1493" s="14">
        <v>3.05513618329817E-2</v>
      </c>
      <c r="E1493" s="14">
        <v>5.7200944923205203E-2</v>
      </c>
      <c r="F1493" s="14"/>
      <c r="G1493" s="14">
        <v>0</v>
      </c>
      <c r="H1493" s="14">
        <v>1.29541451367428E-2</v>
      </c>
      <c r="I1493" s="14">
        <v>3.09505473113619E-2</v>
      </c>
      <c r="J1493" s="14">
        <v>5.8760051229701703E-2</v>
      </c>
      <c r="K1493" s="14">
        <v>5.4179145495999802E-2</v>
      </c>
      <c r="L1493" s="14">
        <v>8.7864241966433304E-2</v>
      </c>
      <c r="M1493" s="14"/>
      <c r="N1493" s="14">
        <v>3.5867723235727303E-2</v>
      </c>
      <c r="O1493" s="14">
        <v>5.3041201521954698E-2</v>
      </c>
      <c r="P1493" s="14">
        <v>4.5261133734231601E-2</v>
      </c>
      <c r="Q1493" s="14">
        <v>3.8492082577080498E-2</v>
      </c>
      <c r="R1493" s="14"/>
      <c r="S1493" s="14">
        <v>2.33993823683275E-2</v>
      </c>
      <c r="T1493" s="14">
        <v>5.0516744196087503E-2</v>
      </c>
      <c r="U1493" s="14">
        <v>7.7020068502188704E-2</v>
      </c>
      <c r="V1493" s="14">
        <v>1.0321766803212401E-2</v>
      </c>
      <c r="W1493" s="14">
        <v>2.9190738885124901E-2</v>
      </c>
      <c r="X1493" s="14">
        <v>4.8596493019615203E-2</v>
      </c>
      <c r="Y1493" s="14">
        <v>6.7560139903320604E-2</v>
      </c>
      <c r="Z1493" s="14">
        <v>6.4892563806877898E-2</v>
      </c>
      <c r="AA1493" s="14">
        <v>4.1676224183280597E-2</v>
      </c>
      <c r="AB1493" s="14"/>
      <c r="AC1493" s="14">
        <v>7.0138133331365704E-2</v>
      </c>
      <c r="AD1493" s="14">
        <v>1.2530197254865E-2</v>
      </c>
      <c r="AE1493" s="14">
        <v>5.60682058636656E-2</v>
      </c>
      <c r="AF1493" s="14">
        <v>1.6120344521814999E-2</v>
      </c>
      <c r="AG1493" s="14">
        <v>7.5717421448168995E-2</v>
      </c>
      <c r="AH1493" s="14"/>
      <c r="AI1493" s="14">
        <v>4.3384281138703899E-2</v>
      </c>
      <c r="AJ1493" s="14">
        <v>1.1549370802592E-2</v>
      </c>
      <c r="AK1493" s="14">
        <v>3.0315794216286599E-3</v>
      </c>
      <c r="AL1493" s="14">
        <v>4.0758119901288699E-2</v>
      </c>
      <c r="AM1493" s="14">
        <v>3.5850808140266102E-2</v>
      </c>
      <c r="AN1493" s="14">
        <v>0.204232969296686</v>
      </c>
      <c r="AO1493" s="14"/>
      <c r="AP1493" s="14">
        <v>4.6109384092829803E-2</v>
      </c>
      <c r="AQ1493" s="14">
        <v>4.0600880034330697E-2</v>
      </c>
      <c r="AR1493" s="14"/>
      <c r="AS1493" s="14" t="s">
        <v>88</v>
      </c>
      <c r="AT1493" s="14" t="s">
        <v>88</v>
      </c>
      <c r="AU1493" s="14">
        <v>4.3660684380632302E-2</v>
      </c>
      <c r="AV1493" s="14"/>
      <c r="AW1493" s="14">
        <v>4.0245154977248503E-2</v>
      </c>
      <c r="AX1493" s="14">
        <v>2.45460787814222E-2</v>
      </c>
      <c r="AY1493" s="14"/>
      <c r="AZ1493" s="14">
        <v>3.2282639364351003E-2</v>
      </c>
      <c r="BA1493" s="14">
        <v>0.106078638299761</v>
      </c>
    </row>
    <row r="1494" spans="2:53" x14ac:dyDescent="0.35">
      <c r="C1494" s="14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4"/>
      <c r="AP1494" s="14"/>
      <c r="AQ1494" s="14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</row>
    <row r="1495" spans="2:53" x14ac:dyDescent="0.35">
      <c r="B1495" s="6" t="s">
        <v>364</v>
      </c>
      <c r="C1495" s="14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</row>
    <row r="1496" spans="2:53" x14ac:dyDescent="0.35">
      <c r="B1496" s="30" t="s">
        <v>463</v>
      </c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/>
      <c r="AM1496" s="14"/>
      <c r="AN1496" s="14"/>
      <c r="AO1496" s="14"/>
      <c r="AP1496" s="14"/>
      <c r="AQ1496" s="14"/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</row>
    <row r="1497" spans="2:53" x14ac:dyDescent="0.35">
      <c r="B1497" t="s">
        <v>220</v>
      </c>
      <c r="C1497" s="14">
        <v>0.23092702825581901</v>
      </c>
      <c r="D1497" s="14">
        <v>0.26987571781595299</v>
      </c>
      <c r="E1497" s="14">
        <v>0.190697992581467</v>
      </c>
      <c r="F1497" s="14"/>
      <c r="G1497" s="14">
        <v>0</v>
      </c>
      <c r="H1497" s="14">
        <v>0.26736798372575499</v>
      </c>
      <c r="I1497" s="14">
        <v>0.223649237822657</v>
      </c>
      <c r="J1497" s="14">
        <v>0.20491863105395999</v>
      </c>
      <c r="K1497" s="14">
        <v>0.28465728386271999</v>
      </c>
      <c r="L1497" s="14">
        <v>0.40820507110990001</v>
      </c>
      <c r="M1497" s="14"/>
      <c r="N1497" s="14">
        <v>0.25303233517798401</v>
      </c>
      <c r="O1497" s="14">
        <v>0.17422640688327801</v>
      </c>
      <c r="P1497" s="14">
        <v>0.23483096579330001</v>
      </c>
      <c r="Q1497" s="14">
        <v>0.26554680605952702</v>
      </c>
      <c r="R1497" s="14"/>
      <c r="S1497" s="14">
        <v>0.28189780964431499</v>
      </c>
      <c r="T1497" s="14">
        <v>0.231243858785802</v>
      </c>
      <c r="U1497" s="14">
        <v>0.18832528274396701</v>
      </c>
      <c r="V1497" s="14">
        <v>0.173371063473684</v>
      </c>
      <c r="W1497" s="14">
        <v>0.19629147759725099</v>
      </c>
      <c r="X1497" s="14">
        <v>0.27227167270588398</v>
      </c>
      <c r="Y1497" s="14">
        <v>0.19726378659923699</v>
      </c>
      <c r="Z1497" s="14">
        <v>0.20219892956142399</v>
      </c>
      <c r="AA1497" s="14">
        <v>0.26743023488529799</v>
      </c>
      <c r="AB1497" s="14"/>
      <c r="AC1497" s="14">
        <v>0.22536408160639401</v>
      </c>
      <c r="AD1497" s="14">
        <v>0.21742884031430401</v>
      </c>
      <c r="AE1497" s="14">
        <v>0.19427706189687499</v>
      </c>
      <c r="AF1497" s="14">
        <v>0.26758723928087802</v>
      </c>
      <c r="AG1497" s="14">
        <v>0.36893433960694799</v>
      </c>
      <c r="AH1497" s="14"/>
      <c r="AI1497" s="14">
        <v>0.28851778597532501</v>
      </c>
      <c r="AJ1497" s="14">
        <v>0.17123686570184901</v>
      </c>
      <c r="AK1497" s="14">
        <v>0.24063443861817699</v>
      </c>
      <c r="AL1497" s="14">
        <v>0.19567241983424599</v>
      </c>
      <c r="AM1497" s="14">
        <v>0.17275457760916399</v>
      </c>
      <c r="AN1497" s="14">
        <v>0.18799390140121899</v>
      </c>
      <c r="AO1497" s="14"/>
      <c r="AP1497" s="14">
        <v>0.249761058390018</v>
      </c>
      <c r="AQ1497" s="14">
        <v>0.20739272269114101</v>
      </c>
      <c r="AR1497" s="14"/>
      <c r="AS1497" s="14" t="s">
        <v>88</v>
      </c>
      <c r="AT1497" s="14" t="s">
        <v>88</v>
      </c>
      <c r="AU1497" s="14">
        <v>0.23092702825581901</v>
      </c>
      <c r="AV1497" s="14"/>
      <c r="AW1497" s="14">
        <v>0.22622196029071501</v>
      </c>
      <c r="AX1497" s="14">
        <v>0.26290459825349599</v>
      </c>
      <c r="AY1497" s="14"/>
      <c r="AZ1497" s="14">
        <v>0.25390525639328498</v>
      </c>
      <c r="BA1497" s="14">
        <v>0.108013843806195</v>
      </c>
    </row>
    <row r="1498" spans="2:53" x14ac:dyDescent="0.35">
      <c r="B1498" t="s">
        <v>221</v>
      </c>
      <c r="C1498" s="14">
        <v>0.48384835329673498</v>
      </c>
      <c r="D1498" s="14">
        <v>0.50473467385225301</v>
      </c>
      <c r="E1498" s="14">
        <v>0.46227544431769102</v>
      </c>
      <c r="F1498" s="14"/>
      <c r="G1498" s="14">
        <v>0</v>
      </c>
      <c r="H1498" s="14">
        <v>0.55586464283861303</v>
      </c>
      <c r="I1498" s="14">
        <v>0.49103361881441498</v>
      </c>
      <c r="J1498" s="14">
        <v>0.47985523509597999</v>
      </c>
      <c r="K1498" s="14">
        <v>0.43433331985256002</v>
      </c>
      <c r="L1498" s="14">
        <v>0.46002104589742598</v>
      </c>
      <c r="M1498" s="14"/>
      <c r="N1498" s="14">
        <v>0.48444606072903101</v>
      </c>
      <c r="O1498" s="14">
        <v>0.53699733445758702</v>
      </c>
      <c r="P1498" s="14">
        <v>0.49510532786956801</v>
      </c>
      <c r="Q1498" s="14">
        <v>0.39958630890466401</v>
      </c>
      <c r="R1498" s="14"/>
      <c r="S1498" s="14">
        <v>0.57205125035165605</v>
      </c>
      <c r="T1498" s="14">
        <v>0.40693205943829103</v>
      </c>
      <c r="U1498" s="14">
        <v>0.51616362013348505</v>
      </c>
      <c r="V1498" s="14">
        <v>0.50856750815889296</v>
      </c>
      <c r="W1498" s="14">
        <v>0.53825296026040703</v>
      </c>
      <c r="X1498" s="14">
        <v>0.410080923650332</v>
      </c>
      <c r="Y1498" s="14">
        <v>0.50150093330219903</v>
      </c>
      <c r="Z1498" s="14">
        <v>0.61285414057101995</v>
      </c>
      <c r="AA1498" s="14">
        <v>0.37671010475739802</v>
      </c>
      <c r="AB1498" s="14"/>
      <c r="AC1498" s="14">
        <v>0.42923257167412099</v>
      </c>
      <c r="AD1498" s="14">
        <v>0.46103315360334801</v>
      </c>
      <c r="AE1498" s="14">
        <v>0.52050760851468802</v>
      </c>
      <c r="AF1498" s="14">
        <v>0.54314179693287201</v>
      </c>
      <c r="AG1498" s="14">
        <v>0.44999930615658801</v>
      </c>
      <c r="AH1498" s="14"/>
      <c r="AI1498" s="14">
        <v>0.46715004025833101</v>
      </c>
      <c r="AJ1498" s="14">
        <v>0.54095734956004504</v>
      </c>
      <c r="AK1498" s="14">
        <v>0.48785987741484599</v>
      </c>
      <c r="AL1498" s="14">
        <v>0.45565551302205398</v>
      </c>
      <c r="AM1498" s="14">
        <v>0.51037438206261598</v>
      </c>
      <c r="AN1498" s="14">
        <v>0.44444811888184199</v>
      </c>
      <c r="AO1498" s="14"/>
      <c r="AP1498" s="14">
        <v>0.540456172846706</v>
      </c>
      <c r="AQ1498" s="14">
        <v>0.41311332138128398</v>
      </c>
      <c r="AR1498" s="14"/>
      <c r="AS1498" s="14" t="s">
        <v>88</v>
      </c>
      <c r="AT1498" s="14" t="s">
        <v>88</v>
      </c>
      <c r="AU1498" s="14">
        <v>0.48384835329673498</v>
      </c>
      <c r="AV1498" s="14"/>
      <c r="AW1498" s="14">
        <v>0.49955986996469398</v>
      </c>
      <c r="AX1498" s="14">
        <v>0.48233122503457498</v>
      </c>
      <c r="AY1498" s="14"/>
      <c r="AZ1498" s="14">
        <v>0.49302819363346501</v>
      </c>
      <c r="BA1498" s="14">
        <v>0.42875496808792901</v>
      </c>
    </row>
    <row r="1499" spans="2:53" x14ac:dyDescent="0.35">
      <c r="B1499" t="s">
        <v>222</v>
      </c>
      <c r="C1499" s="14">
        <v>0.18708044337096</v>
      </c>
      <c r="D1499" s="14">
        <v>0.13718364759318299</v>
      </c>
      <c r="E1499" s="14">
        <v>0.23861747837905301</v>
      </c>
      <c r="F1499" s="14"/>
      <c r="G1499" s="14">
        <v>0.67390095748394496</v>
      </c>
      <c r="H1499" s="14">
        <v>0.17199004437848001</v>
      </c>
      <c r="I1499" s="14">
        <v>0.18378733164661001</v>
      </c>
      <c r="J1499" s="14">
        <v>0.19282118538554999</v>
      </c>
      <c r="K1499" s="14">
        <v>0.21051378544045099</v>
      </c>
      <c r="L1499" s="14">
        <v>5.1478752330020298E-2</v>
      </c>
      <c r="M1499" s="14"/>
      <c r="N1499" s="14">
        <v>0.16112868130918001</v>
      </c>
      <c r="O1499" s="14">
        <v>0.18630120949453999</v>
      </c>
      <c r="P1499" s="14">
        <v>0.21350815555347599</v>
      </c>
      <c r="Q1499" s="14">
        <v>0.20456615587122601</v>
      </c>
      <c r="R1499" s="14"/>
      <c r="S1499" s="14">
        <v>0.109740715892896</v>
      </c>
      <c r="T1499" s="14">
        <v>0.23105101980856099</v>
      </c>
      <c r="U1499" s="14">
        <v>0.137011985920165</v>
      </c>
      <c r="V1499" s="14">
        <v>0.25447352046041699</v>
      </c>
      <c r="W1499" s="14">
        <v>0.18527574797795701</v>
      </c>
      <c r="X1499" s="14">
        <v>0.22193024021513599</v>
      </c>
      <c r="Y1499" s="14">
        <v>0.19394814500475899</v>
      </c>
      <c r="Z1499" s="14">
        <v>5.6976065565989199E-2</v>
      </c>
      <c r="AA1499" s="14">
        <v>0.23796326112281599</v>
      </c>
      <c r="AB1499" s="14"/>
      <c r="AC1499" s="14">
        <v>0.23002114547665201</v>
      </c>
      <c r="AD1499" s="14">
        <v>0.22067772091710799</v>
      </c>
      <c r="AE1499" s="14">
        <v>0.18604821059163301</v>
      </c>
      <c r="AF1499" s="14">
        <v>0.129332302635008</v>
      </c>
      <c r="AG1499" s="14">
        <v>0.12116779645963199</v>
      </c>
      <c r="AH1499" s="14"/>
      <c r="AI1499" s="14">
        <v>0.14447477591793201</v>
      </c>
      <c r="AJ1499" s="14">
        <v>0.205595844740563</v>
      </c>
      <c r="AK1499" s="14">
        <v>0.21123102663369001</v>
      </c>
      <c r="AL1499" s="14">
        <v>0.24128405676123399</v>
      </c>
      <c r="AM1499" s="14">
        <v>0.19118040454285001</v>
      </c>
      <c r="AN1499" s="14">
        <v>0.22962233723431399</v>
      </c>
      <c r="AO1499" s="14"/>
      <c r="AP1499" s="14">
        <v>0.13380939161288</v>
      </c>
      <c r="AQ1499" s="14">
        <v>0.253645974003192</v>
      </c>
      <c r="AR1499" s="14"/>
      <c r="AS1499" s="14" t="s">
        <v>88</v>
      </c>
      <c r="AT1499" s="14" t="s">
        <v>88</v>
      </c>
      <c r="AU1499" s="14">
        <v>0.18708044337096</v>
      </c>
      <c r="AV1499" s="14"/>
      <c r="AW1499" s="14">
        <v>0.182866703073782</v>
      </c>
      <c r="AX1499" s="14">
        <v>0.15152059699104101</v>
      </c>
      <c r="AY1499" s="14"/>
      <c r="AZ1499" s="14">
        <v>0.16872799424888299</v>
      </c>
      <c r="BA1499" s="14">
        <v>0.28890716231187102</v>
      </c>
    </row>
    <row r="1500" spans="2:53" x14ac:dyDescent="0.35">
      <c r="B1500" t="s">
        <v>223</v>
      </c>
      <c r="C1500" s="14">
        <v>2.62993081849557E-2</v>
      </c>
      <c r="D1500" s="14">
        <v>1.12945532428348E-2</v>
      </c>
      <c r="E1500" s="14">
        <v>4.17973089821203E-2</v>
      </c>
      <c r="F1500" s="14"/>
      <c r="G1500" s="14">
        <v>0</v>
      </c>
      <c r="H1500" s="14">
        <v>0</v>
      </c>
      <c r="I1500" s="14">
        <v>3.5171894446663E-2</v>
      </c>
      <c r="J1500" s="14">
        <v>2.6475810904217099E-2</v>
      </c>
      <c r="K1500" s="14">
        <v>0</v>
      </c>
      <c r="L1500" s="14">
        <v>8.0295130662653896E-2</v>
      </c>
      <c r="M1500" s="14"/>
      <c r="N1500" s="14">
        <v>1.3507983229901601E-2</v>
      </c>
      <c r="O1500" s="14">
        <v>5.2206894664862301E-2</v>
      </c>
      <c r="P1500" s="14">
        <v>7.4470126881710404E-3</v>
      </c>
      <c r="Q1500" s="14">
        <v>3.09099786942949E-2</v>
      </c>
      <c r="R1500" s="14"/>
      <c r="S1500" s="14">
        <v>0</v>
      </c>
      <c r="T1500" s="14">
        <v>3.6664180208363102E-2</v>
      </c>
      <c r="U1500" s="14">
        <v>1.7402588158880902E-2</v>
      </c>
      <c r="V1500" s="14">
        <v>1.38042793490226E-2</v>
      </c>
      <c r="W1500" s="14">
        <v>2.4041210432101098E-2</v>
      </c>
      <c r="X1500" s="14">
        <v>1.9694136209710202E-2</v>
      </c>
      <c r="Y1500" s="14">
        <v>3.1564504424871402E-2</v>
      </c>
      <c r="Z1500" s="14">
        <v>4.3507090237959498E-2</v>
      </c>
      <c r="AA1500" s="14">
        <v>5.76210661811443E-2</v>
      </c>
      <c r="AB1500" s="14"/>
      <c r="AC1500" s="14">
        <v>4.3449134799174199E-2</v>
      </c>
      <c r="AD1500" s="14">
        <v>4.0841444242013497E-2</v>
      </c>
      <c r="AE1500" s="14">
        <v>1.0794971347341E-2</v>
      </c>
      <c r="AF1500" s="14">
        <v>1.6802450433466402E-2</v>
      </c>
      <c r="AG1500" s="14">
        <v>0</v>
      </c>
      <c r="AH1500" s="14"/>
      <c r="AI1500" s="14">
        <v>1.44335982908379E-2</v>
      </c>
      <c r="AJ1500" s="14">
        <v>1.6742887797429301E-2</v>
      </c>
      <c r="AK1500" s="14">
        <v>1.45834176191658E-2</v>
      </c>
      <c r="AL1500" s="14">
        <v>5.55903193833771E-2</v>
      </c>
      <c r="AM1500" s="14">
        <v>6.0370028180240599E-2</v>
      </c>
      <c r="AN1500" s="14">
        <v>6.8931243190419406E-2</v>
      </c>
      <c r="AO1500" s="14"/>
      <c r="AP1500" s="14">
        <v>1.93141381408902E-2</v>
      </c>
      <c r="AQ1500" s="14">
        <v>3.5027717615488001E-2</v>
      </c>
      <c r="AR1500" s="14"/>
      <c r="AS1500" s="14" t="s">
        <v>88</v>
      </c>
      <c r="AT1500" s="14" t="s">
        <v>88</v>
      </c>
      <c r="AU1500" s="14">
        <v>2.62993081849557E-2</v>
      </c>
      <c r="AV1500" s="14"/>
      <c r="AW1500" s="14">
        <v>2.5686568370896199E-2</v>
      </c>
      <c r="AX1500" s="14">
        <v>2.3187878820626499E-2</v>
      </c>
      <c r="AY1500" s="14"/>
      <c r="AZ1500" s="14">
        <v>2.0998135137841701E-2</v>
      </c>
      <c r="BA1500" s="14">
        <v>5.5439256362678997E-2</v>
      </c>
    </row>
    <row r="1501" spans="2:53" x14ac:dyDescent="0.35">
      <c r="B1501" t="s">
        <v>116</v>
      </c>
      <c r="C1501" s="14">
        <v>1.97332675086523E-2</v>
      </c>
      <c r="D1501" s="14">
        <v>7.9870902330599503E-3</v>
      </c>
      <c r="E1501" s="14">
        <v>3.1865572600136498E-2</v>
      </c>
      <c r="F1501" s="14"/>
      <c r="G1501" s="14">
        <v>0</v>
      </c>
      <c r="H1501" s="14">
        <v>0</v>
      </c>
      <c r="I1501" s="14">
        <v>1.6428809208969199E-2</v>
      </c>
      <c r="J1501" s="14">
        <v>3.23223794233208E-2</v>
      </c>
      <c r="K1501" s="14">
        <v>9.0633485187975801E-3</v>
      </c>
      <c r="L1501" s="14">
        <v>0</v>
      </c>
      <c r="M1501" s="14"/>
      <c r="N1501" s="14">
        <v>1.4133360206043E-2</v>
      </c>
      <c r="O1501" s="14">
        <v>2.1804649768956599E-2</v>
      </c>
      <c r="P1501" s="14">
        <v>2.1130572196080898E-2</v>
      </c>
      <c r="Q1501" s="14">
        <v>2.51286753907966E-2</v>
      </c>
      <c r="R1501" s="14"/>
      <c r="S1501" s="14">
        <v>9.2687985409441297E-3</v>
      </c>
      <c r="T1501" s="14">
        <v>1.38412324036292E-2</v>
      </c>
      <c r="U1501" s="14">
        <v>2.46381218668798E-2</v>
      </c>
      <c r="V1501" s="14">
        <v>1.0321766956634299E-2</v>
      </c>
      <c r="W1501" s="14">
        <v>1.9134693936334098E-2</v>
      </c>
      <c r="X1501" s="14">
        <v>9.2082207405642102E-3</v>
      </c>
      <c r="Y1501" s="14">
        <v>3.3910640688008802E-2</v>
      </c>
      <c r="Z1501" s="14">
        <v>6.4892563806877898E-2</v>
      </c>
      <c r="AA1501" s="14">
        <v>2.1769280356238398E-2</v>
      </c>
      <c r="AB1501" s="14"/>
      <c r="AC1501" s="14">
        <v>2.6274405263017699E-2</v>
      </c>
      <c r="AD1501" s="14">
        <v>1.6245821616148199E-2</v>
      </c>
      <c r="AE1501" s="14">
        <v>2.62523800727083E-2</v>
      </c>
      <c r="AF1501" s="14">
        <v>8.0301930428594605E-3</v>
      </c>
      <c r="AG1501" s="14">
        <v>0</v>
      </c>
      <c r="AH1501" s="14"/>
      <c r="AI1501" s="14">
        <v>2.0673221445934899E-2</v>
      </c>
      <c r="AJ1501" s="14">
        <v>0</v>
      </c>
      <c r="AK1501" s="14">
        <v>2.5974921619359201E-2</v>
      </c>
      <c r="AL1501" s="14">
        <v>1.79997626084989E-2</v>
      </c>
      <c r="AM1501" s="14">
        <v>0</v>
      </c>
      <c r="AN1501" s="14">
        <v>5.3383333351446002E-2</v>
      </c>
      <c r="AO1501" s="14"/>
      <c r="AP1501" s="14">
        <v>1.09763216167566E-2</v>
      </c>
      <c r="AQ1501" s="14">
        <v>3.0675622329408701E-2</v>
      </c>
      <c r="AR1501" s="14"/>
      <c r="AS1501" s="14" t="s">
        <v>88</v>
      </c>
      <c r="AT1501" s="14" t="s">
        <v>88</v>
      </c>
      <c r="AU1501" s="14">
        <v>1.97332675086523E-2</v>
      </c>
      <c r="AV1501" s="14"/>
      <c r="AW1501" s="14">
        <v>2.0806552829918099E-2</v>
      </c>
      <c r="AX1501" s="14">
        <v>0</v>
      </c>
      <c r="AY1501" s="14"/>
      <c r="AZ1501" s="14">
        <v>1.4951438495152399E-2</v>
      </c>
      <c r="BA1501" s="14">
        <v>4.5979165805618498E-2</v>
      </c>
    </row>
    <row r="1502" spans="2:53" x14ac:dyDescent="0.35">
      <c r="B1502" t="s">
        <v>224</v>
      </c>
      <c r="C1502" s="14">
        <v>0.71477538155255405</v>
      </c>
      <c r="D1502" s="14">
        <v>0.774610391668207</v>
      </c>
      <c r="E1502" s="14">
        <v>0.65297343689915799</v>
      </c>
      <c r="F1502" s="14"/>
      <c r="G1502" s="14">
        <v>0</v>
      </c>
      <c r="H1502" s="14">
        <v>0.82323262656436902</v>
      </c>
      <c r="I1502" s="14">
        <v>0.71468285663707298</v>
      </c>
      <c r="J1502" s="14">
        <v>0.68477386614993996</v>
      </c>
      <c r="K1502" s="14">
        <v>0.71899060371528001</v>
      </c>
      <c r="L1502" s="14">
        <v>0.86822611700732599</v>
      </c>
      <c r="M1502" s="14"/>
      <c r="N1502" s="14">
        <v>0.73747839590701403</v>
      </c>
      <c r="O1502" s="14">
        <v>0.71122374134086597</v>
      </c>
      <c r="P1502" s="14">
        <v>0.72993629366286805</v>
      </c>
      <c r="Q1502" s="14">
        <v>0.66513311496419103</v>
      </c>
      <c r="R1502" s="14"/>
      <c r="S1502" s="14">
        <v>0.85394905999597104</v>
      </c>
      <c r="T1502" s="14">
        <v>0.63817591822409303</v>
      </c>
      <c r="U1502" s="14">
        <v>0.70448890287745303</v>
      </c>
      <c r="V1502" s="14">
        <v>0.68193857163257698</v>
      </c>
      <c r="W1502" s="14">
        <v>0.73454443785765799</v>
      </c>
      <c r="X1502" s="14">
        <v>0.68235259635621504</v>
      </c>
      <c r="Y1502" s="14">
        <v>0.69876471990143596</v>
      </c>
      <c r="Z1502" s="14">
        <v>0.81505307013244399</v>
      </c>
      <c r="AA1502" s="14">
        <v>0.64414033964269701</v>
      </c>
      <c r="AB1502" s="14"/>
      <c r="AC1502" s="14">
        <v>0.65459665328051497</v>
      </c>
      <c r="AD1502" s="14">
        <v>0.67846199391765205</v>
      </c>
      <c r="AE1502" s="14">
        <v>0.71478467041156302</v>
      </c>
      <c r="AF1502" s="14">
        <v>0.81072903621375003</v>
      </c>
      <c r="AG1502" s="14">
        <v>0.818933645763536</v>
      </c>
      <c r="AH1502" s="14"/>
      <c r="AI1502" s="14">
        <v>0.75566782623365603</v>
      </c>
      <c r="AJ1502" s="14">
        <v>0.71219421526189397</v>
      </c>
      <c r="AK1502" s="14">
        <v>0.72849431603302295</v>
      </c>
      <c r="AL1502" s="14">
        <v>0.65132793285629897</v>
      </c>
      <c r="AM1502" s="14">
        <v>0.68312895967178</v>
      </c>
      <c r="AN1502" s="14">
        <v>0.63244202028306096</v>
      </c>
      <c r="AO1502" s="14"/>
      <c r="AP1502" s="14">
        <v>0.79021723123672405</v>
      </c>
      <c r="AQ1502" s="14">
        <v>0.62050604407242405</v>
      </c>
      <c r="AR1502" s="14"/>
      <c r="AS1502" s="14" t="s">
        <v>88</v>
      </c>
      <c r="AT1502" s="14" t="s">
        <v>88</v>
      </c>
      <c r="AU1502" s="14">
        <v>0.71477538155255405</v>
      </c>
      <c r="AV1502" s="14"/>
      <c r="AW1502" s="14">
        <v>0.72578183025540899</v>
      </c>
      <c r="AX1502" s="14">
        <v>0.74523582328807103</v>
      </c>
      <c r="AY1502" s="14"/>
      <c r="AZ1502" s="14">
        <v>0.74693345002674905</v>
      </c>
      <c r="BA1502" s="14">
        <v>0.53676881189412395</v>
      </c>
    </row>
    <row r="1503" spans="2:53" x14ac:dyDescent="0.35"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  <c r="AL1503" s="14"/>
      <c r="AM1503" s="14"/>
      <c r="AN1503" s="14"/>
      <c r="AO1503" s="14"/>
      <c r="AP1503" s="14"/>
      <c r="AQ1503" s="14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</row>
    <row r="1504" spans="2:53" x14ac:dyDescent="0.35">
      <c r="B1504" s="6" t="s">
        <v>365</v>
      </c>
      <c r="C1504" s="14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/>
      <c r="AO1504" s="14"/>
      <c r="AP1504" s="14"/>
      <c r="AQ1504" s="14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</row>
    <row r="1505" spans="2:53" x14ac:dyDescent="0.35">
      <c r="B1505" s="30" t="s">
        <v>463</v>
      </c>
      <c r="C1505" s="14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/>
      <c r="AN1505" s="14"/>
      <c r="AO1505" s="14"/>
      <c r="AP1505" s="14"/>
      <c r="AQ1505" s="14"/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</row>
    <row r="1506" spans="2:53" x14ac:dyDescent="0.35">
      <c r="B1506" t="s">
        <v>226</v>
      </c>
      <c r="C1506" s="14">
        <v>0.19245204249742101</v>
      </c>
      <c r="D1506" s="14">
        <v>0.23021372999004999</v>
      </c>
      <c r="E1506" s="14">
        <v>0.15344902877807001</v>
      </c>
      <c r="F1506" s="14"/>
      <c r="G1506" s="14">
        <v>0.32609904251605598</v>
      </c>
      <c r="H1506" s="14">
        <v>0.37465880537266599</v>
      </c>
      <c r="I1506" s="14">
        <v>0.204785461423205</v>
      </c>
      <c r="J1506" s="14">
        <v>0.16253449833522399</v>
      </c>
      <c r="K1506" s="14">
        <v>0.107805561372152</v>
      </c>
      <c r="L1506" s="14">
        <v>0.21802415542592801</v>
      </c>
      <c r="M1506" s="14"/>
      <c r="N1506" s="14">
        <v>0.240721274576187</v>
      </c>
      <c r="O1506" s="14">
        <v>0.14285015798786899</v>
      </c>
      <c r="P1506" s="14">
        <v>0.17132950007789999</v>
      </c>
      <c r="Q1506" s="14">
        <v>0.202901561883507</v>
      </c>
      <c r="R1506" s="14"/>
      <c r="S1506" s="14">
        <v>0.27137368863539202</v>
      </c>
      <c r="T1506" s="14">
        <v>0.17794522813626501</v>
      </c>
      <c r="U1506" s="14">
        <v>0.23931942827539701</v>
      </c>
      <c r="V1506" s="14">
        <v>0.193050474029754</v>
      </c>
      <c r="W1506" s="14">
        <v>0.17413257210469099</v>
      </c>
      <c r="X1506" s="14">
        <v>0.23768015124785499</v>
      </c>
      <c r="Y1506" s="14">
        <v>0.11748533882305599</v>
      </c>
      <c r="Z1506" s="14">
        <v>0.15103884735370801</v>
      </c>
      <c r="AA1506" s="14">
        <v>0.13280485237822801</v>
      </c>
      <c r="AB1506" s="14"/>
      <c r="AC1506" s="14">
        <v>0.168406149643854</v>
      </c>
      <c r="AD1506" s="14">
        <v>9.5445502442031094E-2</v>
      </c>
      <c r="AE1506" s="14">
        <v>0.213741815383022</v>
      </c>
      <c r="AF1506" s="14">
        <v>0.24491546691473001</v>
      </c>
      <c r="AG1506" s="14">
        <v>0.37161185548776599</v>
      </c>
      <c r="AH1506" s="14"/>
      <c r="AI1506" s="14">
        <v>0.28614277966816698</v>
      </c>
      <c r="AJ1506" s="14">
        <v>0.15053980942828801</v>
      </c>
      <c r="AK1506" s="14">
        <v>0.19828229407037101</v>
      </c>
      <c r="AL1506" s="14">
        <v>7.85842047395761E-2</v>
      </c>
      <c r="AM1506" s="14">
        <v>0.16143956827122</v>
      </c>
      <c r="AN1506" s="14">
        <v>0.10055591184674301</v>
      </c>
      <c r="AO1506" s="14"/>
      <c r="AP1506" s="14">
        <v>0.220325196651254</v>
      </c>
      <c r="AQ1506" s="14">
        <v>0.157622782788606</v>
      </c>
      <c r="AR1506" s="14"/>
      <c r="AS1506" s="14" t="s">
        <v>88</v>
      </c>
      <c r="AT1506" s="14" t="s">
        <v>88</v>
      </c>
      <c r="AU1506" s="14">
        <v>0.19245204249742101</v>
      </c>
      <c r="AV1506" s="14"/>
      <c r="AW1506" s="14">
        <v>0.17194156358026899</v>
      </c>
      <c r="AX1506" s="14">
        <v>0.27570521356258798</v>
      </c>
      <c r="AY1506" s="14"/>
      <c r="AZ1506" s="14">
        <v>0.21606161127363899</v>
      </c>
      <c r="BA1506" s="14">
        <v>6.5720522982746499E-2</v>
      </c>
    </row>
    <row r="1507" spans="2:53" x14ac:dyDescent="0.35">
      <c r="B1507" t="s">
        <v>227</v>
      </c>
      <c r="C1507" s="14">
        <v>0.38201291036927199</v>
      </c>
      <c r="D1507" s="14">
        <v>0.39694496856499101</v>
      </c>
      <c r="E1507" s="14">
        <v>0.36658999605223003</v>
      </c>
      <c r="F1507" s="14"/>
      <c r="G1507" s="14">
        <v>0</v>
      </c>
      <c r="H1507" s="14">
        <v>0.43867697730326199</v>
      </c>
      <c r="I1507" s="14">
        <v>0.411528980819719</v>
      </c>
      <c r="J1507" s="14">
        <v>0.34790728678650301</v>
      </c>
      <c r="K1507" s="14">
        <v>0.33378151528501299</v>
      </c>
      <c r="L1507" s="14">
        <v>0.467766357297697</v>
      </c>
      <c r="M1507" s="14"/>
      <c r="N1507" s="14">
        <v>0.35976615594078698</v>
      </c>
      <c r="O1507" s="14">
        <v>0.32201015367852498</v>
      </c>
      <c r="P1507" s="14">
        <v>0.49981040780236502</v>
      </c>
      <c r="Q1507" s="14">
        <v>0.35906563899154997</v>
      </c>
      <c r="R1507" s="14"/>
      <c r="S1507" s="14">
        <v>0.448849198326504</v>
      </c>
      <c r="T1507" s="14">
        <v>0.36417873211136498</v>
      </c>
      <c r="U1507" s="14">
        <v>0.277851253847472</v>
      </c>
      <c r="V1507" s="14">
        <v>0.32675992333258902</v>
      </c>
      <c r="W1507" s="14">
        <v>0.351642403034648</v>
      </c>
      <c r="X1507" s="14">
        <v>0.33425029671366802</v>
      </c>
      <c r="Y1507" s="14">
        <v>0.48819947675705899</v>
      </c>
      <c r="Z1507" s="14">
        <v>0.44343296889114397</v>
      </c>
      <c r="AA1507" s="14">
        <v>0.38027950469670202</v>
      </c>
      <c r="AB1507" s="14"/>
      <c r="AC1507" s="14">
        <v>0.318119459938555</v>
      </c>
      <c r="AD1507" s="14">
        <v>0.42316882508374198</v>
      </c>
      <c r="AE1507" s="14">
        <v>0.38556458258460702</v>
      </c>
      <c r="AF1507" s="14">
        <v>0.44735642615224602</v>
      </c>
      <c r="AG1507" s="14">
        <v>0.24529092671472599</v>
      </c>
      <c r="AH1507" s="14"/>
      <c r="AI1507" s="14">
        <v>0.39549212686135998</v>
      </c>
      <c r="AJ1507" s="14">
        <v>0.37925832037591301</v>
      </c>
      <c r="AK1507" s="14">
        <v>0.351821222657697</v>
      </c>
      <c r="AL1507" s="14">
        <v>0.34823573784491801</v>
      </c>
      <c r="AM1507" s="14">
        <v>0.30046797452734297</v>
      </c>
      <c r="AN1507" s="14">
        <v>0.47206398658552701</v>
      </c>
      <c r="AO1507" s="14"/>
      <c r="AP1507" s="14">
        <v>0.43586436754021901</v>
      </c>
      <c r="AQ1507" s="14">
        <v>0.31472212665840998</v>
      </c>
      <c r="AR1507" s="14"/>
      <c r="AS1507" s="14" t="s">
        <v>88</v>
      </c>
      <c r="AT1507" s="14" t="s">
        <v>88</v>
      </c>
      <c r="AU1507" s="14">
        <v>0.38201291036927199</v>
      </c>
      <c r="AV1507" s="14"/>
      <c r="AW1507" s="14">
        <v>0.38518138108907801</v>
      </c>
      <c r="AX1507" s="14">
        <v>0.38608704671030902</v>
      </c>
      <c r="AY1507" s="14"/>
      <c r="AZ1507" s="14">
        <v>0.40212031674515702</v>
      </c>
      <c r="BA1507" s="14">
        <v>0.266383111072101</v>
      </c>
    </row>
    <row r="1508" spans="2:53" x14ac:dyDescent="0.35">
      <c r="B1508" t="s">
        <v>228</v>
      </c>
      <c r="C1508" s="14">
        <v>0.23042643951708999</v>
      </c>
      <c r="D1508" s="14">
        <v>0.22898893824566499</v>
      </c>
      <c r="E1508" s="14">
        <v>0.231911195245284</v>
      </c>
      <c r="F1508" s="14"/>
      <c r="G1508" s="14">
        <v>0</v>
      </c>
      <c r="H1508" s="14">
        <v>0.12669098598394499</v>
      </c>
      <c r="I1508" s="14">
        <v>0.212933926903044</v>
      </c>
      <c r="J1508" s="14">
        <v>0.25546830885750099</v>
      </c>
      <c r="K1508" s="14">
        <v>0.30169526867167901</v>
      </c>
      <c r="L1508" s="14">
        <v>0.18243560428370101</v>
      </c>
      <c r="M1508" s="14"/>
      <c r="N1508" s="14">
        <v>0.21578266254931799</v>
      </c>
      <c r="O1508" s="14">
        <v>0.30053921702198</v>
      </c>
      <c r="P1508" s="14">
        <v>0.17627160348582299</v>
      </c>
      <c r="Q1508" s="14">
        <v>0.23280931905914301</v>
      </c>
      <c r="R1508" s="14"/>
      <c r="S1508" s="14">
        <v>0.19775470369395601</v>
      </c>
      <c r="T1508" s="14">
        <v>0.19020298397038499</v>
      </c>
      <c r="U1508" s="14">
        <v>0.30299696277794902</v>
      </c>
      <c r="V1508" s="14">
        <v>0.22051085929445199</v>
      </c>
      <c r="W1508" s="14">
        <v>0.27746551043572099</v>
      </c>
      <c r="X1508" s="14">
        <v>0.232747503661653</v>
      </c>
      <c r="Y1508" s="14">
        <v>0.185558381972381</v>
      </c>
      <c r="Z1508" s="14">
        <v>0.21134055336225399</v>
      </c>
      <c r="AA1508" s="14">
        <v>0.28294937371942303</v>
      </c>
      <c r="AB1508" s="14"/>
      <c r="AC1508" s="14">
        <v>0.24121010814847199</v>
      </c>
      <c r="AD1508" s="14">
        <v>0.27330691318407402</v>
      </c>
      <c r="AE1508" s="14">
        <v>0.22398194747511499</v>
      </c>
      <c r="AF1508" s="14">
        <v>0.15429134878242101</v>
      </c>
      <c r="AG1508" s="14">
        <v>0.26932912302129097</v>
      </c>
      <c r="AH1508" s="14"/>
      <c r="AI1508" s="14">
        <v>0.18358726227796501</v>
      </c>
      <c r="AJ1508" s="14">
        <v>0.25944338845006398</v>
      </c>
      <c r="AK1508" s="14">
        <v>0.23035716762761599</v>
      </c>
      <c r="AL1508" s="14">
        <v>0.31214974956238101</v>
      </c>
      <c r="AM1508" s="14">
        <v>0.234093216974991</v>
      </c>
      <c r="AN1508" s="14">
        <v>0.19896998769278301</v>
      </c>
      <c r="AO1508" s="14"/>
      <c r="AP1508" s="14">
        <v>0.20914816590462601</v>
      </c>
      <c r="AQ1508" s="14">
        <v>0.25701498108341397</v>
      </c>
      <c r="AR1508" s="14"/>
      <c r="AS1508" s="14" t="s">
        <v>88</v>
      </c>
      <c r="AT1508" s="14" t="s">
        <v>88</v>
      </c>
      <c r="AU1508" s="14">
        <v>0.23042643951708999</v>
      </c>
      <c r="AV1508" s="14"/>
      <c r="AW1508" s="14">
        <v>0.24403225301059001</v>
      </c>
      <c r="AX1508" s="14">
        <v>0.20753546050400901</v>
      </c>
      <c r="AY1508" s="14"/>
      <c r="AZ1508" s="14">
        <v>0.21183547538295</v>
      </c>
      <c r="BA1508" s="14">
        <v>0.33397931220633997</v>
      </c>
    </row>
    <row r="1509" spans="2:53" x14ac:dyDescent="0.35">
      <c r="B1509" t="s">
        <v>229</v>
      </c>
      <c r="C1509" s="14">
        <v>0.13099598630654599</v>
      </c>
      <c r="D1509" s="14">
        <v>7.1674633287373904E-2</v>
      </c>
      <c r="E1509" s="14">
        <v>0.19226738860044201</v>
      </c>
      <c r="F1509" s="14"/>
      <c r="G1509" s="14">
        <v>0</v>
      </c>
      <c r="H1509" s="14">
        <v>5.9973231340127199E-2</v>
      </c>
      <c r="I1509" s="14">
        <v>0.125994265581054</v>
      </c>
      <c r="J1509" s="14">
        <v>0.156884291524994</v>
      </c>
      <c r="K1509" s="14">
        <v>0.116833820648733</v>
      </c>
      <c r="L1509" s="14">
        <v>0.13177388299267401</v>
      </c>
      <c r="M1509" s="14"/>
      <c r="N1509" s="14">
        <v>0.107622955988588</v>
      </c>
      <c r="O1509" s="14">
        <v>0.16457356199498599</v>
      </c>
      <c r="P1509" s="14">
        <v>0.119980722432886</v>
      </c>
      <c r="Q1509" s="14">
        <v>0.13671718195579299</v>
      </c>
      <c r="R1509" s="14"/>
      <c r="S1509" s="14">
        <v>5.0364954342197503E-2</v>
      </c>
      <c r="T1509" s="14">
        <v>0.132175284111818</v>
      </c>
      <c r="U1509" s="14">
        <v>0.12356937350105</v>
      </c>
      <c r="V1509" s="14">
        <v>0.194405648546702</v>
      </c>
      <c r="W1509" s="14">
        <v>0.149470131552152</v>
      </c>
      <c r="X1509" s="14">
        <v>0.15979057502223901</v>
      </c>
      <c r="Y1509" s="14">
        <v>0.171102586266519</v>
      </c>
      <c r="Z1509" s="14">
        <v>9.0152646072556797E-2</v>
      </c>
      <c r="AA1509" s="14">
        <v>0.135773325338717</v>
      </c>
      <c r="AB1509" s="14"/>
      <c r="AC1509" s="14">
        <v>0.19706960415286001</v>
      </c>
      <c r="AD1509" s="14">
        <v>0.16839228218185801</v>
      </c>
      <c r="AE1509" s="14">
        <v>9.9011722206247404E-2</v>
      </c>
      <c r="AF1509" s="14">
        <v>8.1488135924250193E-2</v>
      </c>
      <c r="AG1509" s="14">
        <v>6.9955914761498206E-2</v>
      </c>
      <c r="AH1509" s="14"/>
      <c r="AI1509" s="14">
        <v>7.4830460250849495E-2</v>
      </c>
      <c r="AJ1509" s="14">
        <v>0.15458324370670501</v>
      </c>
      <c r="AK1509" s="14">
        <v>0.11032584579549801</v>
      </c>
      <c r="AL1509" s="14">
        <v>0.209040741705735</v>
      </c>
      <c r="AM1509" s="14">
        <v>0.233008933674063</v>
      </c>
      <c r="AN1509" s="14">
        <v>0.173837444616709</v>
      </c>
      <c r="AO1509" s="14"/>
      <c r="AP1509" s="14">
        <v>7.3915247165830103E-2</v>
      </c>
      <c r="AQ1509" s="14">
        <v>0.20232196100359301</v>
      </c>
      <c r="AR1509" s="14"/>
      <c r="AS1509" s="14" t="s">
        <v>88</v>
      </c>
      <c r="AT1509" s="14" t="s">
        <v>88</v>
      </c>
      <c r="AU1509" s="14">
        <v>0.13099598630654599</v>
      </c>
      <c r="AV1509" s="14"/>
      <c r="AW1509" s="14">
        <v>0.13159456586923199</v>
      </c>
      <c r="AX1509" s="14">
        <v>8.2505128478351605E-2</v>
      </c>
      <c r="AY1509" s="14"/>
      <c r="AZ1509" s="14">
        <v>0.105971198900995</v>
      </c>
      <c r="BA1509" s="14">
        <v>0.26862181538109597</v>
      </c>
    </row>
    <row r="1510" spans="2:53" x14ac:dyDescent="0.35">
      <c r="B1510" t="s">
        <v>116</v>
      </c>
      <c r="C1510" s="14">
        <v>2.3311868147103201E-2</v>
      </c>
      <c r="D1510" s="14">
        <v>1.89239234641649E-2</v>
      </c>
      <c r="E1510" s="14">
        <v>2.7844056140603299E-2</v>
      </c>
      <c r="F1510" s="14"/>
      <c r="G1510" s="14">
        <v>0</v>
      </c>
      <c r="H1510" s="14">
        <v>0</v>
      </c>
      <c r="I1510" s="14">
        <v>1.41726790621581E-2</v>
      </c>
      <c r="J1510" s="14">
        <v>3.3806771591608997E-2</v>
      </c>
      <c r="K1510" s="14">
        <v>4.4794554848393203E-2</v>
      </c>
      <c r="L1510" s="14">
        <v>0</v>
      </c>
      <c r="M1510" s="14"/>
      <c r="N1510" s="14">
        <v>2.6917963234881701E-2</v>
      </c>
      <c r="O1510" s="14">
        <v>3.7140259786406303E-2</v>
      </c>
      <c r="P1510" s="14">
        <v>1.1330485179224701E-2</v>
      </c>
      <c r="Q1510" s="14">
        <v>8.8596628364048507E-3</v>
      </c>
      <c r="R1510" s="14"/>
      <c r="S1510" s="14">
        <v>2.14190892964971E-2</v>
      </c>
      <c r="T1510" s="14">
        <v>3.4205916123355898E-2</v>
      </c>
      <c r="U1510" s="14">
        <v>2.84646147005287E-2</v>
      </c>
      <c r="V1510" s="14">
        <v>2.0643533913268699E-2</v>
      </c>
      <c r="W1510" s="14">
        <v>1.54350008984163E-2</v>
      </c>
      <c r="X1510" s="14">
        <v>0</v>
      </c>
      <c r="Y1510" s="14">
        <v>1.00000883370726E-2</v>
      </c>
      <c r="Z1510" s="14">
        <v>6.4892563806877898E-2</v>
      </c>
      <c r="AA1510" s="14">
        <v>2.96868911698248E-2</v>
      </c>
      <c r="AB1510" s="14"/>
      <c r="AC1510" s="14">
        <v>3.0985801450785201E-2</v>
      </c>
      <c r="AD1510" s="14">
        <v>6.9029363094782496E-3</v>
      </c>
      <c r="AE1510" s="14">
        <v>3.6296505628172299E-2</v>
      </c>
      <c r="AF1510" s="14">
        <v>2.7209028462634101E-2</v>
      </c>
      <c r="AG1510" s="14">
        <v>1.43832729497467E-2</v>
      </c>
      <c r="AH1510" s="14"/>
      <c r="AI1510" s="14">
        <v>2.4976326437327102E-2</v>
      </c>
      <c r="AJ1510" s="14">
        <v>1.2590615144129E-2</v>
      </c>
      <c r="AK1510" s="14">
        <v>4.2211760630052803E-2</v>
      </c>
      <c r="AL1510" s="14">
        <v>1.79997626084989E-2</v>
      </c>
      <c r="AM1510" s="14">
        <v>0</v>
      </c>
      <c r="AN1510" s="14">
        <v>3.4170122242321702E-2</v>
      </c>
      <c r="AO1510" s="14"/>
      <c r="AP1510" s="14">
        <v>1.9063549389335702E-2</v>
      </c>
      <c r="AQ1510" s="14">
        <v>2.8620409710913602E-2</v>
      </c>
      <c r="AR1510" s="14"/>
      <c r="AS1510" s="14" t="s">
        <v>88</v>
      </c>
      <c r="AT1510" s="14" t="s">
        <v>88</v>
      </c>
      <c r="AU1510" s="14">
        <v>2.3311868147103201E-2</v>
      </c>
      <c r="AV1510" s="14"/>
      <c r="AW1510" s="14">
        <v>2.4639222215606299E-2</v>
      </c>
      <c r="AX1510" s="14">
        <v>3.68253091390914E-3</v>
      </c>
      <c r="AY1510" s="14"/>
      <c r="AZ1510" s="14">
        <v>2.03640345983385E-2</v>
      </c>
      <c r="BA1510" s="14">
        <v>3.9601298714082703E-2</v>
      </c>
    </row>
    <row r="1511" spans="2:53" x14ac:dyDescent="0.35"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</row>
    <row r="1512" spans="2:53" x14ac:dyDescent="0.35">
      <c r="B1512" s="6" t="s">
        <v>366</v>
      </c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</row>
    <row r="1513" spans="2:53" x14ac:dyDescent="0.35">
      <c r="B1513" s="30" t="s">
        <v>463</v>
      </c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</row>
    <row r="1514" spans="2:53" x14ac:dyDescent="0.35">
      <c r="B1514" t="s">
        <v>231</v>
      </c>
      <c r="C1514" s="14">
        <v>0.12337001551438399</v>
      </c>
      <c r="D1514" s="14">
        <v>0.14949354044477201</v>
      </c>
      <c r="E1514" s="14">
        <v>9.6387741444756106E-2</v>
      </c>
      <c r="F1514" s="14"/>
      <c r="G1514" s="14">
        <v>0</v>
      </c>
      <c r="H1514" s="14">
        <v>0.14724569510926599</v>
      </c>
      <c r="I1514" s="14">
        <v>0.13606458840239499</v>
      </c>
      <c r="J1514" s="14">
        <v>0.12523014759954401</v>
      </c>
      <c r="K1514" s="14">
        <v>7.1025165454163902E-2</v>
      </c>
      <c r="L1514" s="14">
        <v>5.1478752330020298E-2</v>
      </c>
      <c r="M1514" s="14"/>
      <c r="N1514" s="14">
        <v>9.4827068803610706E-2</v>
      </c>
      <c r="O1514" s="14">
        <v>0.114868807642782</v>
      </c>
      <c r="P1514" s="14">
        <v>0.191223674443528</v>
      </c>
      <c r="Q1514" s="14">
        <v>0.101158648871498</v>
      </c>
      <c r="R1514" s="14"/>
      <c r="S1514" s="14">
        <v>0.14840964492300501</v>
      </c>
      <c r="T1514" s="14">
        <v>0.124117722536149</v>
      </c>
      <c r="U1514" s="14">
        <v>0.18658284793350399</v>
      </c>
      <c r="V1514" s="14">
        <v>8.2185501459722907E-2</v>
      </c>
      <c r="W1514" s="14">
        <v>5.2260105957156397E-2</v>
      </c>
      <c r="X1514" s="14">
        <v>0.17981984966273401</v>
      </c>
      <c r="Y1514" s="14">
        <v>0.120222354645017</v>
      </c>
      <c r="Z1514" s="14">
        <v>6.8851665330247502E-2</v>
      </c>
      <c r="AA1514" s="14">
        <v>0.10881185182370599</v>
      </c>
      <c r="AB1514" s="14"/>
      <c r="AC1514" s="14">
        <v>8.7374932731285507E-2</v>
      </c>
      <c r="AD1514" s="14">
        <v>8.6292338226475099E-2</v>
      </c>
      <c r="AE1514" s="14">
        <v>0.12331217549042101</v>
      </c>
      <c r="AF1514" s="14">
        <v>0.19668030544029699</v>
      </c>
      <c r="AG1514" s="14">
        <v>0.13015201315747399</v>
      </c>
      <c r="AH1514" s="14"/>
      <c r="AI1514" s="14">
        <v>0.118897357664544</v>
      </c>
      <c r="AJ1514" s="14">
        <v>0.11410338712364899</v>
      </c>
      <c r="AK1514" s="14">
        <v>0.22098172958229501</v>
      </c>
      <c r="AL1514" s="14">
        <v>3.6407052593664703E-2</v>
      </c>
      <c r="AM1514" s="14">
        <v>0.22489315177229199</v>
      </c>
      <c r="AN1514" s="14">
        <v>0.24718078240963701</v>
      </c>
      <c r="AO1514" s="14"/>
      <c r="AP1514" s="14">
        <v>0.115969835516034</v>
      </c>
      <c r="AQ1514" s="14">
        <v>0.13261700599246101</v>
      </c>
      <c r="AR1514" s="14"/>
      <c r="AS1514" s="14" t="s">
        <v>88</v>
      </c>
      <c r="AT1514" s="14" t="s">
        <v>88</v>
      </c>
      <c r="AU1514" s="14">
        <v>0.12337001551438399</v>
      </c>
      <c r="AV1514" s="14"/>
      <c r="AW1514" s="14">
        <v>0.107973465609269</v>
      </c>
      <c r="AX1514" s="14">
        <v>0.195593292264618</v>
      </c>
      <c r="AY1514" s="14"/>
      <c r="AZ1514" s="14">
        <v>0.13345838501141399</v>
      </c>
      <c r="BA1514" s="14">
        <v>6.9622582190287705E-2</v>
      </c>
    </row>
    <row r="1515" spans="2:53" x14ac:dyDescent="0.35">
      <c r="B1515" t="s">
        <v>232</v>
      </c>
      <c r="C1515" s="14">
        <v>0.73084160817310795</v>
      </c>
      <c r="D1515" s="14">
        <v>0.72901311793474199</v>
      </c>
      <c r="E1515" s="14">
        <v>0.73273020570642999</v>
      </c>
      <c r="F1515" s="14"/>
      <c r="G1515" s="14">
        <v>0</v>
      </c>
      <c r="H1515" s="14">
        <v>0.72830497875072098</v>
      </c>
      <c r="I1515" s="14">
        <v>0.69096884236596301</v>
      </c>
      <c r="J1515" s="14">
        <v>0.74470879675745705</v>
      </c>
      <c r="K1515" s="14">
        <v>0.84858476010552097</v>
      </c>
      <c r="L1515" s="14">
        <v>0.741446840439414</v>
      </c>
      <c r="M1515" s="14"/>
      <c r="N1515" s="14">
        <v>0.76163473066993703</v>
      </c>
      <c r="O1515" s="14">
        <v>0.72365925382205198</v>
      </c>
      <c r="P1515" s="14">
        <v>0.69133410768393999</v>
      </c>
      <c r="Q1515" s="14">
        <v>0.73407263496859898</v>
      </c>
      <c r="R1515" s="14"/>
      <c r="S1515" s="14">
        <v>0.71524588638738595</v>
      </c>
      <c r="T1515" s="14">
        <v>0.73288657267969703</v>
      </c>
      <c r="U1515" s="14">
        <v>0.69525890497049203</v>
      </c>
      <c r="V1515" s="14">
        <v>0.80042736932817604</v>
      </c>
      <c r="W1515" s="14">
        <v>0.77422742975758396</v>
      </c>
      <c r="X1515" s="14">
        <v>0.68711608916858202</v>
      </c>
      <c r="Y1515" s="14">
        <v>0.766554710691986</v>
      </c>
      <c r="Z1515" s="14">
        <v>0.80615659602067602</v>
      </c>
      <c r="AA1515" s="14">
        <v>0.666306955678446</v>
      </c>
      <c r="AB1515" s="14"/>
      <c r="AC1515" s="14">
        <v>0.78509489209420702</v>
      </c>
      <c r="AD1515" s="14">
        <v>0.73537913708449698</v>
      </c>
      <c r="AE1515" s="14">
        <v>0.735978188311458</v>
      </c>
      <c r="AF1515" s="14">
        <v>0.67596205471924098</v>
      </c>
      <c r="AG1515" s="14">
        <v>0.72206409164393603</v>
      </c>
      <c r="AH1515" s="14"/>
      <c r="AI1515" s="14">
        <v>0.71926357610819802</v>
      </c>
      <c r="AJ1515" s="14">
        <v>0.72113051999978395</v>
      </c>
      <c r="AK1515" s="14">
        <v>0.71115881871960596</v>
      </c>
      <c r="AL1515" s="14">
        <v>0.84157570490241795</v>
      </c>
      <c r="AM1515" s="14">
        <v>0.64136643304516705</v>
      </c>
      <c r="AN1515" s="14">
        <v>0.58559585323538799</v>
      </c>
      <c r="AO1515" s="14"/>
      <c r="AP1515" s="14">
        <v>0.75702592277272895</v>
      </c>
      <c r="AQ1515" s="14">
        <v>0.69812265973784005</v>
      </c>
      <c r="AR1515" s="14"/>
      <c r="AS1515" s="14" t="s">
        <v>88</v>
      </c>
      <c r="AT1515" s="14" t="s">
        <v>88</v>
      </c>
      <c r="AU1515" s="14">
        <v>0.73084160817310795</v>
      </c>
      <c r="AV1515" s="14"/>
      <c r="AW1515" s="14">
        <v>0.76214680610699703</v>
      </c>
      <c r="AX1515" s="14">
        <v>0.65088752362510804</v>
      </c>
      <c r="AY1515" s="14"/>
      <c r="AZ1515" s="14">
        <v>0.73644892248650595</v>
      </c>
      <c r="BA1515" s="14">
        <v>0.69764300221638897</v>
      </c>
    </row>
    <row r="1516" spans="2:53" x14ac:dyDescent="0.35">
      <c r="B1516" t="s">
        <v>233</v>
      </c>
      <c r="C1516" s="14">
        <v>0.103747419627663</v>
      </c>
      <c r="D1516" s="14">
        <v>0.10075118361545</v>
      </c>
      <c r="E1516" s="14">
        <v>0.106842149817185</v>
      </c>
      <c r="F1516" s="14"/>
      <c r="G1516" s="14">
        <v>1</v>
      </c>
      <c r="H1516" s="14">
        <v>0.124449326140013</v>
      </c>
      <c r="I1516" s="14">
        <v>0.13558884860638901</v>
      </c>
      <c r="J1516" s="14">
        <v>7.9975116268107105E-2</v>
      </c>
      <c r="K1516" s="14">
        <v>2.6854200313862899E-2</v>
      </c>
      <c r="L1516" s="14">
        <v>0.119210165264132</v>
      </c>
      <c r="M1516" s="14"/>
      <c r="N1516" s="14">
        <v>0.100312698661225</v>
      </c>
      <c r="O1516" s="14">
        <v>9.6704549841067897E-2</v>
      </c>
      <c r="P1516" s="14">
        <v>0.10764213085567501</v>
      </c>
      <c r="Q1516" s="14">
        <v>0.11583957823435601</v>
      </c>
      <c r="R1516" s="14"/>
      <c r="S1516" s="14">
        <v>9.3014780829953098E-2</v>
      </c>
      <c r="T1516" s="14">
        <v>0.117411339540963</v>
      </c>
      <c r="U1516" s="14">
        <v>6.56198341874418E-2</v>
      </c>
      <c r="V1516" s="14">
        <v>8.7863146530068797E-2</v>
      </c>
      <c r="W1516" s="14">
        <v>0.13056598727240801</v>
      </c>
      <c r="X1516" s="14">
        <v>9.1352760220914694E-2</v>
      </c>
      <c r="Y1516" s="14">
        <v>6.4357717273938103E-2</v>
      </c>
      <c r="Z1516" s="14">
        <v>0.105420528536634</v>
      </c>
      <c r="AA1516" s="14">
        <v>0.160376247076116</v>
      </c>
      <c r="AB1516" s="14"/>
      <c r="AC1516" s="14">
        <v>7.8166796948704598E-2</v>
      </c>
      <c r="AD1516" s="14">
        <v>0.14207624872362701</v>
      </c>
      <c r="AE1516" s="14">
        <v>9.6872168154677502E-2</v>
      </c>
      <c r="AF1516" s="14">
        <v>0.10938669803284599</v>
      </c>
      <c r="AG1516" s="14">
        <v>7.2066473750420607E-2</v>
      </c>
      <c r="AH1516" s="14"/>
      <c r="AI1516" s="14">
        <v>0.119960715457141</v>
      </c>
      <c r="AJ1516" s="14">
        <v>0.14908390724015499</v>
      </c>
      <c r="AK1516" s="14">
        <v>6.7859451698099496E-2</v>
      </c>
      <c r="AL1516" s="14">
        <v>0.111048181903416</v>
      </c>
      <c r="AM1516" s="14">
        <v>6.22919693895264E-2</v>
      </c>
      <c r="AN1516" s="14">
        <v>0</v>
      </c>
      <c r="AO1516" s="14"/>
      <c r="AP1516" s="14">
        <v>9.2083963818585302E-2</v>
      </c>
      <c r="AQ1516" s="14">
        <v>0.118321641448224</v>
      </c>
      <c r="AR1516" s="14"/>
      <c r="AS1516" s="14" t="s">
        <v>88</v>
      </c>
      <c r="AT1516" s="14" t="s">
        <v>88</v>
      </c>
      <c r="AU1516" s="14">
        <v>0.103747419627663</v>
      </c>
      <c r="AV1516" s="14"/>
      <c r="AW1516" s="14">
        <v>9.06697343164488E-2</v>
      </c>
      <c r="AX1516" s="14">
        <v>0.13442339101457099</v>
      </c>
      <c r="AY1516" s="14"/>
      <c r="AZ1516" s="14">
        <v>9.8770808170375396E-2</v>
      </c>
      <c r="BA1516" s="14">
        <v>0.131881565304695</v>
      </c>
    </row>
    <row r="1517" spans="2:53" x14ac:dyDescent="0.35">
      <c r="B1517" t="s">
        <v>116</v>
      </c>
      <c r="C1517" s="14">
        <v>4.2040956684846101E-2</v>
      </c>
      <c r="D1517" s="14">
        <v>2.0742158005035701E-2</v>
      </c>
      <c r="E1517" s="14">
        <v>6.4039903031629306E-2</v>
      </c>
      <c r="F1517" s="14"/>
      <c r="G1517" s="14">
        <v>0</v>
      </c>
      <c r="H1517" s="14">
        <v>0</v>
      </c>
      <c r="I1517" s="14">
        <v>3.7377720625253699E-2</v>
      </c>
      <c r="J1517" s="14">
        <v>5.0085939374891697E-2</v>
      </c>
      <c r="K1517" s="14">
        <v>5.3535874126451798E-2</v>
      </c>
      <c r="L1517" s="14">
        <v>8.7864241966433304E-2</v>
      </c>
      <c r="M1517" s="14"/>
      <c r="N1517" s="14">
        <v>4.3225501865227299E-2</v>
      </c>
      <c r="O1517" s="14">
        <v>6.4767388694098593E-2</v>
      </c>
      <c r="P1517" s="14">
        <v>9.8000870168561596E-3</v>
      </c>
      <c r="Q1517" s="14">
        <v>4.8929137925547199E-2</v>
      </c>
      <c r="R1517" s="14"/>
      <c r="S1517" s="14">
        <v>4.3329687859656602E-2</v>
      </c>
      <c r="T1517" s="14">
        <v>2.5584365243191201E-2</v>
      </c>
      <c r="U1517" s="14">
        <v>5.2538412908561698E-2</v>
      </c>
      <c r="V1517" s="14">
        <v>2.9523982682032102E-2</v>
      </c>
      <c r="W1517" s="14">
        <v>4.2946477012851897E-2</v>
      </c>
      <c r="X1517" s="14">
        <v>4.1711300947768599E-2</v>
      </c>
      <c r="Y1517" s="14">
        <v>4.8865217389058697E-2</v>
      </c>
      <c r="Z1517" s="14">
        <v>1.95712101124428E-2</v>
      </c>
      <c r="AA1517" s="14">
        <v>6.4504945421732601E-2</v>
      </c>
      <c r="AB1517" s="14"/>
      <c r="AC1517" s="14">
        <v>4.9363378225803098E-2</v>
      </c>
      <c r="AD1517" s="14">
        <v>3.6252275965400503E-2</v>
      </c>
      <c r="AE1517" s="14">
        <v>4.3837468043442802E-2</v>
      </c>
      <c r="AF1517" s="14">
        <v>1.79709418076156E-2</v>
      </c>
      <c r="AG1517" s="14">
        <v>7.5717421448168995E-2</v>
      </c>
      <c r="AH1517" s="14"/>
      <c r="AI1517" s="14">
        <v>4.1878350770116299E-2</v>
      </c>
      <c r="AJ1517" s="14">
        <v>1.5682185636412001E-2</v>
      </c>
      <c r="AK1517" s="14">
        <v>0</v>
      </c>
      <c r="AL1517" s="14">
        <v>1.0969060600500799E-2</v>
      </c>
      <c r="AM1517" s="14">
        <v>7.1448445793015097E-2</v>
      </c>
      <c r="AN1517" s="14">
        <v>0.16722336435497501</v>
      </c>
      <c r="AO1517" s="14"/>
      <c r="AP1517" s="14">
        <v>3.4920277892651598E-2</v>
      </c>
      <c r="AQ1517" s="14">
        <v>5.0938692821475298E-2</v>
      </c>
      <c r="AR1517" s="14"/>
      <c r="AS1517" s="14" t="s">
        <v>88</v>
      </c>
      <c r="AT1517" s="14" t="s">
        <v>88</v>
      </c>
      <c r="AU1517" s="14">
        <v>4.2040956684846101E-2</v>
      </c>
      <c r="AV1517" s="14"/>
      <c r="AW1517" s="14">
        <v>3.9209993967284397E-2</v>
      </c>
      <c r="AX1517" s="14">
        <v>1.90957930957034E-2</v>
      </c>
      <c r="AY1517" s="14"/>
      <c r="AZ1517" s="14">
        <v>3.13218843317042E-2</v>
      </c>
      <c r="BA1517" s="14">
        <v>0.100852850288628</v>
      </c>
    </row>
    <row r="1518" spans="2:53" x14ac:dyDescent="0.35"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</row>
    <row r="1519" spans="2:53" x14ac:dyDescent="0.35">
      <c r="B1519" s="6" t="s">
        <v>367</v>
      </c>
      <c r="C1519" s="14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F1519" s="14"/>
      <c r="AG1519" s="14"/>
      <c r="AH1519" s="14"/>
      <c r="AI1519" s="14"/>
      <c r="AJ1519" s="14"/>
      <c r="AK1519" s="14"/>
      <c r="AL1519" s="14"/>
      <c r="AM1519" s="14"/>
      <c r="AN1519" s="14"/>
      <c r="AO1519" s="14"/>
      <c r="AP1519" s="14"/>
      <c r="AQ1519" s="14"/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</row>
    <row r="1520" spans="2:53" x14ac:dyDescent="0.35">
      <c r="B1520" s="30" t="s">
        <v>463</v>
      </c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/>
      <c r="AN1520" s="14"/>
      <c r="AO1520" s="14"/>
      <c r="AP1520" s="14"/>
      <c r="AQ1520" s="14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</row>
    <row r="1521" spans="2:53" x14ac:dyDescent="0.35">
      <c r="B1521" t="s">
        <v>235</v>
      </c>
      <c r="C1521" s="14">
        <v>0.27467714435089802</v>
      </c>
      <c r="D1521" s="14">
        <v>0.33309646850799501</v>
      </c>
      <c r="E1521" s="14">
        <v>0.21433742298597699</v>
      </c>
      <c r="F1521" s="14"/>
      <c r="G1521" s="14">
        <v>0</v>
      </c>
      <c r="H1521" s="14">
        <v>0.330901839682892</v>
      </c>
      <c r="I1521" s="14">
        <v>0.27068416247639498</v>
      </c>
      <c r="J1521" s="14">
        <v>0.26706446083715601</v>
      </c>
      <c r="K1521" s="14">
        <v>0.318985899461185</v>
      </c>
      <c r="L1521" s="14">
        <v>9.8713810580287095E-2</v>
      </c>
      <c r="M1521" s="14"/>
      <c r="N1521" s="14">
        <v>0.33587991819556201</v>
      </c>
      <c r="O1521" s="14">
        <v>0.231680258985383</v>
      </c>
      <c r="P1521" s="14">
        <v>0.22788952714338401</v>
      </c>
      <c r="Q1521" s="14">
        <v>0.28631442592059803</v>
      </c>
      <c r="R1521" s="14"/>
      <c r="S1521" s="14">
        <v>0.372504040664834</v>
      </c>
      <c r="T1521" s="14">
        <v>0.27199049659291502</v>
      </c>
      <c r="U1521" s="14">
        <v>0.31039590545511198</v>
      </c>
      <c r="V1521" s="14">
        <v>0.33546424781534101</v>
      </c>
      <c r="W1521" s="14">
        <v>0.27857980941844401</v>
      </c>
      <c r="X1521" s="14">
        <v>0.27785826403575598</v>
      </c>
      <c r="Y1521" s="14">
        <v>0.21005370475083601</v>
      </c>
      <c r="Z1521" s="14">
        <v>0.16051017525403</v>
      </c>
      <c r="AA1521" s="14">
        <v>0.18292057354028601</v>
      </c>
      <c r="AB1521" s="14"/>
      <c r="AC1521" s="14">
        <v>0.20592018177597601</v>
      </c>
      <c r="AD1521" s="14">
        <v>0.23569201009006899</v>
      </c>
      <c r="AE1521" s="14">
        <v>0.28235584448481399</v>
      </c>
      <c r="AF1521" s="14">
        <v>0.30932964730713203</v>
      </c>
      <c r="AG1521" s="14">
        <v>0.67116398990746096</v>
      </c>
      <c r="AH1521" s="14"/>
      <c r="AI1521" s="14">
        <v>0.34943238014540101</v>
      </c>
      <c r="AJ1521" s="14">
        <v>0.24122652588064999</v>
      </c>
      <c r="AK1521" s="14">
        <v>0.270880266110476</v>
      </c>
      <c r="AL1521" s="14">
        <v>0.242270123231516</v>
      </c>
      <c r="AM1521" s="14">
        <v>0.20388708194716501</v>
      </c>
      <c r="AN1521" s="14">
        <v>0.20978342858568</v>
      </c>
      <c r="AO1521" s="14"/>
      <c r="AP1521" s="14">
        <v>0.31316127322401499</v>
      </c>
      <c r="AQ1521" s="14">
        <v>0.22658880415833299</v>
      </c>
      <c r="AR1521" s="14"/>
      <c r="AS1521" s="14" t="s">
        <v>88</v>
      </c>
      <c r="AT1521" s="14" t="s">
        <v>88</v>
      </c>
      <c r="AU1521" s="14">
        <v>0.27467714435089802</v>
      </c>
      <c r="AV1521" s="14"/>
      <c r="AW1521" s="14">
        <v>0.248876812447931</v>
      </c>
      <c r="AX1521" s="14">
        <v>0.37482843296229601</v>
      </c>
      <c r="AY1521" s="14"/>
      <c r="AZ1521" s="14">
        <v>0.29903444337305901</v>
      </c>
      <c r="BA1521" s="14">
        <v>0.14468140515214201</v>
      </c>
    </row>
    <row r="1522" spans="2:53" x14ac:dyDescent="0.35">
      <c r="B1522" t="s">
        <v>236</v>
      </c>
      <c r="C1522" s="14">
        <v>0.53580085510487796</v>
      </c>
      <c r="D1522" s="14">
        <v>0.55511069940500002</v>
      </c>
      <c r="E1522" s="14">
        <v>0.51585624531213004</v>
      </c>
      <c r="F1522" s="14"/>
      <c r="G1522" s="14">
        <v>1</v>
      </c>
      <c r="H1522" s="14">
        <v>0.57921579553184799</v>
      </c>
      <c r="I1522" s="14">
        <v>0.54583346042159397</v>
      </c>
      <c r="J1522" s="14">
        <v>0.50773996819338296</v>
      </c>
      <c r="K1522" s="14">
        <v>0.51486629041947496</v>
      </c>
      <c r="L1522" s="14">
        <v>0.70098024507606604</v>
      </c>
      <c r="M1522" s="14"/>
      <c r="N1522" s="14">
        <v>0.52667724153128903</v>
      </c>
      <c r="O1522" s="14">
        <v>0.547756816344936</v>
      </c>
      <c r="P1522" s="14">
        <v>0.58433623104541998</v>
      </c>
      <c r="Q1522" s="14">
        <v>0.47772287638562999</v>
      </c>
      <c r="R1522" s="14"/>
      <c r="S1522" s="14">
        <v>0.55594452113661896</v>
      </c>
      <c r="T1522" s="14">
        <v>0.53725038852814</v>
      </c>
      <c r="U1522" s="14">
        <v>0.51098170865829995</v>
      </c>
      <c r="V1522" s="14">
        <v>0.41010140676020101</v>
      </c>
      <c r="W1522" s="14">
        <v>0.49093840903392699</v>
      </c>
      <c r="X1522" s="14">
        <v>0.492203235006619</v>
      </c>
      <c r="Y1522" s="14">
        <v>0.56439213247245901</v>
      </c>
      <c r="Z1522" s="14">
        <v>0.61547370406315605</v>
      </c>
      <c r="AA1522" s="14">
        <v>0.62905541348669003</v>
      </c>
      <c r="AB1522" s="14"/>
      <c r="AC1522" s="14">
        <v>0.52570929126916299</v>
      </c>
      <c r="AD1522" s="14">
        <v>0.54260840133558597</v>
      </c>
      <c r="AE1522" s="14">
        <v>0.53739954095801101</v>
      </c>
      <c r="AF1522" s="14">
        <v>0.57263681186431903</v>
      </c>
      <c r="AG1522" s="14">
        <v>0.26788050386363799</v>
      </c>
      <c r="AH1522" s="14"/>
      <c r="AI1522" s="14">
        <v>0.505647081862593</v>
      </c>
      <c r="AJ1522" s="14">
        <v>0.56314863049456798</v>
      </c>
      <c r="AK1522" s="14">
        <v>0.50414434239121098</v>
      </c>
      <c r="AL1522" s="14">
        <v>0.53937178543491304</v>
      </c>
      <c r="AM1522" s="14">
        <v>0.58162964084986502</v>
      </c>
      <c r="AN1522" s="14">
        <v>0.51729353490746899</v>
      </c>
      <c r="AO1522" s="14"/>
      <c r="AP1522" s="14">
        <v>0.52732559609104201</v>
      </c>
      <c r="AQ1522" s="14">
        <v>0.54639122444963295</v>
      </c>
      <c r="AR1522" s="14"/>
      <c r="AS1522" s="14" t="s">
        <v>88</v>
      </c>
      <c r="AT1522" s="14" t="s">
        <v>88</v>
      </c>
      <c r="AU1522" s="14">
        <v>0.53580085510487796</v>
      </c>
      <c r="AV1522" s="14"/>
      <c r="AW1522" s="14">
        <v>0.55318482126509305</v>
      </c>
      <c r="AX1522" s="14">
        <v>0.52885287984658602</v>
      </c>
      <c r="AY1522" s="14"/>
      <c r="AZ1522" s="14">
        <v>0.53994191612485798</v>
      </c>
      <c r="BA1522" s="14">
        <v>0.50867042277783003</v>
      </c>
    </row>
    <row r="1523" spans="2:53" x14ac:dyDescent="0.35">
      <c r="B1523" t="s">
        <v>237</v>
      </c>
      <c r="C1523" s="14">
        <v>0.14330543584524399</v>
      </c>
      <c r="D1523" s="14">
        <v>9.0757595147849202E-2</v>
      </c>
      <c r="E1523" s="14">
        <v>0.19758066260895299</v>
      </c>
      <c r="F1523" s="14"/>
      <c r="G1523" s="14">
        <v>0</v>
      </c>
      <c r="H1523" s="14">
        <v>7.7120866145748104E-2</v>
      </c>
      <c r="I1523" s="14">
        <v>0.15118852451929199</v>
      </c>
      <c r="J1523" s="14">
        <v>0.15865492418082699</v>
      </c>
      <c r="K1523" s="14">
        <v>0.100490323480669</v>
      </c>
      <c r="L1523" s="14">
        <v>0.20030594434364701</v>
      </c>
      <c r="M1523" s="14"/>
      <c r="N1523" s="14">
        <v>0.105142052950111</v>
      </c>
      <c r="O1523" s="14">
        <v>0.153186114358627</v>
      </c>
      <c r="P1523" s="14">
        <v>0.16692161988414</v>
      </c>
      <c r="Q1523" s="14">
        <v>0.169721268841898</v>
      </c>
      <c r="R1523" s="14"/>
      <c r="S1523" s="14">
        <v>3.4951072088848803E-2</v>
      </c>
      <c r="T1523" s="14">
        <v>0.13949613454952001</v>
      </c>
      <c r="U1523" s="14">
        <v>0.17862238588658899</v>
      </c>
      <c r="V1523" s="14">
        <v>0.184293357532575</v>
      </c>
      <c r="W1523" s="14">
        <v>0.19759134948356699</v>
      </c>
      <c r="X1523" s="14">
        <v>0.197214699817612</v>
      </c>
      <c r="Y1523" s="14">
        <v>0.17357529176759301</v>
      </c>
      <c r="Z1523" s="14">
        <v>0.170239871105518</v>
      </c>
      <c r="AA1523" s="14">
        <v>0.11026904796118001</v>
      </c>
      <c r="AB1523" s="14"/>
      <c r="AC1523" s="14">
        <v>0.193123892049225</v>
      </c>
      <c r="AD1523" s="14">
        <v>0.17545116801477501</v>
      </c>
      <c r="AE1523" s="14">
        <v>0.13793305316136001</v>
      </c>
      <c r="AF1523" s="14">
        <v>8.6791086029375603E-2</v>
      </c>
      <c r="AG1523" s="14">
        <v>2.8038272660748001E-2</v>
      </c>
      <c r="AH1523" s="14"/>
      <c r="AI1523" s="14">
        <v>8.5444591600614406E-2</v>
      </c>
      <c r="AJ1523" s="14">
        <v>0.183560839624482</v>
      </c>
      <c r="AK1523" s="14">
        <v>0.199738458173081</v>
      </c>
      <c r="AL1523" s="14">
        <v>0.16707016643386499</v>
      </c>
      <c r="AM1523" s="14">
        <v>0.14495752757844699</v>
      </c>
      <c r="AN1523" s="14">
        <v>0.22463687307688701</v>
      </c>
      <c r="AO1523" s="14"/>
      <c r="AP1523" s="14">
        <v>0.11611799765434699</v>
      </c>
      <c r="AQ1523" s="14">
        <v>0.17727785031767901</v>
      </c>
      <c r="AR1523" s="14"/>
      <c r="AS1523" s="14" t="s">
        <v>88</v>
      </c>
      <c r="AT1523" s="14" t="s">
        <v>88</v>
      </c>
      <c r="AU1523" s="14">
        <v>0.14330543584524399</v>
      </c>
      <c r="AV1523" s="14"/>
      <c r="AW1523" s="14">
        <v>0.15681807047337001</v>
      </c>
      <c r="AX1523" s="14">
        <v>8.9107978845861399E-2</v>
      </c>
      <c r="AY1523" s="14"/>
      <c r="AZ1523" s="14">
        <v>0.12374487016598</v>
      </c>
      <c r="BA1523" s="14">
        <v>0.25128309698918599</v>
      </c>
    </row>
    <row r="1524" spans="2:53" x14ac:dyDescent="0.35">
      <c r="B1524" t="s">
        <v>238</v>
      </c>
      <c r="C1524" s="14">
        <v>3.13915409698549E-2</v>
      </c>
      <c r="D1524" s="14">
        <v>1.50347185845012E-2</v>
      </c>
      <c r="E1524" s="14">
        <v>4.8286055231842498E-2</v>
      </c>
      <c r="F1524" s="14"/>
      <c r="G1524" s="14">
        <v>0</v>
      </c>
      <c r="H1524" s="14">
        <v>1.27614986395117E-2</v>
      </c>
      <c r="I1524" s="14">
        <v>1.1723559767093701E-2</v>
      </c>
      <c r="J1524" s="14">
        <v>4.9479190713214501E-2</v>
      </c>
      <c r="K1524" s="14">
        <v>6.5657486638671395E-2</v>
      </c>
      <c r="L1524" s="14">
        <v>0</v>
      </c>
      <c r="M1524" s="14"/>
      <c r="N1524" s="14">
        <v>1.2991658232762901E-2</v>
      </c>
      <c r="O1524" s="14">
        <v>5.8530520777356002E-2</v>
      </c>
      <c r="P1524" s="14">
        <v>2.0852621927056E-2</v>
      </c>
      <c r="Q1524" s="14">
        <v>3.4405946883151198E-2</v>
      </c>
      <c r="R1524" s="14"/>
      <c r="S1524" s="14">
        <v>1.8062768629593402E-2</v>
      </c>
      <c r="T1524" s="14">
        <v>4.09629168077272E-2</v>
      </c>
      <c r="U1524" s="14">
        <v>0</v>
      </c>
      <c r="V1524" s="14">
        <v>7.0140987891883597E-2</v>
      </c>
      <c r="W1524" s="14">
        <v>1.3755738127727001E-2</v>
      </c>
      <c r="X1524" s="14">
        <v>3.2723801140014198E-2</v>
      </c>
      <c r="Y1524" s="14">
        <v>2.4157948703743201E-2</v>
      </c>
      <c r="Z1524" s="14">
        <v>0</v>
      </c>
      <c r="AA1524" s="14">
        <v>5.90972972709378E-2</v>
      </c>
      <c r="AB1524" s="14"/>
      <c r="AC1524" s="14">
        <v>6.4993293441584901E-2</v>
      </c>
      <c r="AD1524" s="14">
        <v>3.9584231485775702E-2</v>
      </c>
      <c r="AE1524" s="14">
        <v>1.6606146612776901E-2</v>
      </c>
      <c r="AF1524" s="14">
        <v>2.4445091018925998E-2</v>
      </c>
      <c r="AG1524" s="14">
        <v>0</v>
      </c>
      <c r="AH1524" s="14"/>
      <c r="AI1524" s="14">
        <v>4.04713224335667E-2</v>
      </c>
      <c r="AJ1524" s="14">
        <v>1.2064004000299101E-2</v>
      </c>
      <c r="AK1524" s="14">
        <v>0</v>
      </c>
      <c r="AL1524" s="14">
        <v>5.12879248997061E-2</v>
      </c>
      <c r="AM1524" s="14">
        <v>1.8522867648576101E-2</v>
      </c>
      <c r="AN1524" s="14">
        <v>1.9321447573104E-2</v>
      </c>
      <c r="AO1524" s="14"/>
      <c r="AP1524" s="14">
        <v>2.9169595044058E-2</v>
      </c>
      <c r="AQ1524" s="14">
        <v>3.4168002194207597E-2</v>
      </c>
      <c r="AR1524" s="14"/>
      <c r="AS1524" s="14" t="s">
        <v>88</v>
      </c>
      <c r="AT1524" s="14" t="s">
        <v>88</v>
      </c>
      <c r="AU1524" s="14">
        <v>3.13915409698549E-2</v>
      </c>
      <c r="AV1524" s="14"/>
      <c r="AW1524" s="14">
        <v>2.6960738436463901E-2</v>
      </c>
      <c r="AX1524" s="14">
        <v>0</v>
      </c>
      <c r="AY1524" s="14"/>
      <c r="AZ1524" s="14">
        <v>2.41066589332673E-2</v>
      </c>
      <c r="BA1524" s="14">
        <v>7.1388962011232501E-2</v>
      </c>
    </row>
    <row r="1525" spans="2:53" x14ac:dyDescent="0.35">
      <c r="B1525" t="s">
        <v>116</v>
      </c>
      <c r="C1525" s="14">
        <v>1.48250237291254E-2</v>
      </c>
      <c r="D1525" s="14">
        <v>6.00051835465518E-3</v>
      </c>
      <c r="E1525" s="14">
        <v>2.39396138610979E-2</v>
      </c>
      <c r="F1525" s="14"/>
      <c r="G1525" s="14">
        <v>0</v>
      </c>
      <c r="H1525" s="14">
        <v>0</v>
      </c>
      <c r="I1525" s="14">
        <v>2.0570292815625901E-2</v>
      </c>
      <c r="J1525" s="14">
        <v>1.7061456075419E-2</v>
      </c>
      <c r="K1525" s="14">
        <v>0</v>
      </c>
      <c r="L1525" s="14">
        <v>0</v>
      </c>
      <c r="M1525" s="14"/>
      <c r="N1525" s="14">
        <v>1.9309129090274799E-2</v>
      </c>
      <c r="O1525" s="14">
        <v>8.84628953369891E-3</v>
      </c>
      <c r="P1525" s="14">
        <v>0</v>
      </c>
      <c r="Q1525" s="14">
        <v>3.1835481968722601E-2</v>
      </c>
      <c r="R1525" s="14"/>
      <c r="S1525" s="14">
        <v>1.8537597480104799E-2</v>
      </c>
      <c r="T1525" s="14">
        <v>1.03000635216968E-2</v>
      </c>
      <c r="U1525" s="14">
        <v>0</v>
      </c>
      <c r="V1525" s="14">
        <v>0</v>
      </c>
      <c r="W1525" s="14">
        <v>1.9134693936334098E-2</v>
      </c>
      <c r="X1525" s="14">
        <v>0</v>
      </c>
      <c r="Y1525" s="14">
        <v>2.7820922305369099E-2</v>
      </c>
      <c r="Z1525" s="14">
        <v>5.3776249577296001E-2</v>
      </c>
      <c r="AA1525" s="14">
        <v>1.8657667740905399E-2</v>
      </c>
      <c r="AB1525" s="14"/>
      <c r="AC1525" s="14">
        <v>1.0253341464050899E-2</v>
      </c>
      <c r="AD1525" s="14">
        <v>6.6641890737942902E-3</v>
      </c>
      <c r="AE1525" s="14">
        <v>2.57054147830377E-2</v>
      </c>
      <c r="AF1525" s="14">
        <v>6.7973637802465096E-3</v>
      </c>
      <c r="AG1525" s="14">
        <v>3.2917233568152598E-2</v>
      </c>
      <c r="AH1525" s="14"/>
      <c r="AI1525" s="14">
        <v>1.9004623957824901E-2</v>
      </c>
      <c r="AJ1525" s="14">
        <v>0</v>
      </c>
      <c r="AK1525" s="14">
        <v>2.5236933325232198E-2</v>
      </c>
      <c r="AL1525" s="14">
        <v>0</v>
      </c>
      <c r="AM1525" s="14">
        <v>5.10028819759469E-2</v>
      </c>
      <c r="AN1525" s="14">
        <v>2.89647158568597E-2</v>
      </c>
      <c r="AO1525" s="14"/>
      <c r="AP1525" s="14">
        <v>1.4225537986538099E-2</v>
      </c>
      <c r="AQ1525" s="14">
        <v>1.5574118880146599E-2</v>
      </c>
      <c r="AR1525" s="14"/>
      <c r="AS1525" s="14" t="s">
        <v>88</v>
      </c>
      <c r="AT1525" s="14" t="s">
        <v>88</v>
      </c>
      <c r="AU1525" s="14">
        <v>1.48250237291254E-2</v>
      </c>
      <c r="AV1525" s="14"/>
      <c r="AW1525" s="14">
        <v>1.41595573771418E-2</v>
      </c>
      <c r="AX1525" s="14">
        <v>7.2107083452568896E-3</v>
      </c>
      <c r="AY1525" s="14"/>
      <c r="AZ1525" s="14">
        <v>1.31721114028355E-2</v>
      </c>
      <c r="BA1525" s="14">
        <v>2.3976113069609901E-2</v>
      </c>
    </row>
    <row r="1526" spans="2:53" x14ac:dyDescent="0.35">
      <c r="C1526" s="14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/>
      <c r="AN1526" s="14"/>
      <c r="AO1526" s="14"/>
      <c r="AP1526" s="14"/>
      <c r="AQ1526" s="14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</row>
    <row r="1527" spans="2:53" x14ac:dyDescent="0.35">
      <c r="B1527" s="6" t="s">
        <v>368</v>
      </c>
      <c r="C1527" s="14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F1527" s="14"/>
      <c r="AG1527" s="14"/>
      <c r="AH1527" s="14"/>
      <c r="AI1527" s="14"/>
      <c r="AJ1527" s="14"/>
      <c r="AK1527" s="14"/>
      <c r="AL1527" s="14"/>
      <c r="AM1527" s="14"/>
      <c r="AN1527" s="14"/>
      <c r="AO1527" s="14"/>
      <c r="AP1527" s="14"/>
      <c r="AQ1527" s="14"/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</row>
    <row r="1528" spans="2:53" x14ac:dyDescent="0.35">
      <c r="B1528" s="30" t="s">
        <v>463</v>
      </c>
      <c r="C1528" s="14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/>
      <c r="AN1528" s="14"/>
      <c r="AO1528" s="14"/>
      <c r="AP1528" s="14"/>
      <c r="AQ1528" s="14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</row>
    <row r="1529" spans="2:53" x14ac:dyDescent="0.35">
      <c r="B1529" t="s">
        <v>220</v>
      </c>
      <c r="C1529" s="14">
        <v>0.24941122567222401</v>
      </c>
      <c r="D1529" s="14">
        <v>0.30403838120408</v>
      </c>
      <c r="E1529" s="14">
        <v>0.19298833151332301</v>
      </c>
      <c r="F1529" s="14"/>
      <c r="G1529" s="14">
        <v>1</v>
      </c>
      <c r="H1529" s="14">
        <v>0.48722545904510001</v>
      </c>
      <c r="I1529" s="14">
        <v>0.25764888420939902</v>
      </c>
      <c r="J1529" s="14">
        <v>0.209686856249024</v>
      </c>
      <c r="K1529" s="14">
        <v>0.168314135587388</v>
      </c>
      <c r="L1529" s="14">
        <v>0.23814705498338201</v>
      </c>
      <c r="M1529" s="14"/>
      <c r="N1529" s="14">
        <v>0.36221393067075602</v>
      </c>
      <c r="O1529" s="14">
        <v>0.194380201300452</v>
      </c>
      <c r="P1529" s="14">
        <v>0.18819368447604501</v>
      </c>
      <c r="Q1529" s="14">
        <v>0.20755980822558701</v>
      </c>
      <c r="R1529" s="14"/>
      <c r="S1529" s="14">
        <v>0.33353830047771699</v>
      </c>
      <c r="T1529" s="14">
        <v>0.26413279492955499</v>
      </c>
      <c r="U1529" s="14">
        <v>0.148449011751631</v>
      </c>
      <c r="V1529" s="14">
        <v>0.26932981827879798</v>
      </c>
      <c r="W1529" s="14">
        <v>0.27317707890687398</v>
      </c>
      <c r="X1529" s="14">
        <v>0.24271925025017099</v>
      </c>
      <c r="Y1529" s="14">
        <v>0.176541270716706</v>
      </c>
      <c r="Z1529" s="14">
        <v>0.26512737514552698</v>
      </c>
      <c r="AA1529" s="14">
        <v>0.22226711377643299</v>
      </c>
      <c r="AB1529" s="14"/>
      <c r="AC1529" s="14">
        <v>0.19135431818527501</v>
      </c>
      <c r="AD1529" s="14">
        <v>0.14091362911809499</v>
      </c>
      <c r="AE1529" s="14">
        <v>0.25632685701722002</v>
      </c>
      <c r="AF1529" s="14">
        <v>0.35513153985274998</v>
      </c>
      <c r="AG1529" s="14">
        <v>0.60018311659216494</v>
      </c>
      <c r="AH1529" s="14"/>
      <c r="AI1529" s="14">
        <v>0.34658090565771998</v>
      </c>
      <c r="AJ1529" s="14">
        <v>0.198939861776531</v>
      </c>
      <c r="AK1529" s="14">
        <v>0.22491689217625399</v>
      </c>
      <c r="AL1529" s="14">
        <v>0.15919770786623</v>
      </c>
      <c r="AM1529" s="14">
        <v>0.19352634080064099</v>
      </c>
      <c r="AN1529" s="14">
        <v>0.249888714521421</v>
      </c>
      <c r="AO1529" s="14"/>
      <c r="AP1529" s="14">
        <v>0.29039377088886298</v>
      </c>
      <c r="AQ1529" s="14">
        <v>0.198200957074677</v>
      </c>
      <c r="AR1529" s="14"/>
      <c r="AS1529" s="14" t="s">
        <v>88</v>
      </c>
      <c r="AT1529" s="14" t="s">
        <v>88</v>
      </c>
      <c r="AU1529" s="14">
        <v>0.24941122567222401</v>
      </c>
      <c r="AV1529" s="14"/>
      <c r="AW1529" s="14">
        <v>0.2309065605908</v>
      </c>
      <c r="AX1529" s="14">
        <v>0.35169181807940503</v>
      </c>
      <c r="AY1529" s="14"/>
      <c r="AZ1529" s="14">
        <v>0.281960398015625</v>
      </c>
      <c r="BA1529" s="14">
        <v>6.4692704220022906E-2</v>
      </c>
    </row>
    <row r="1530" spans="2:53" x14ac:dyDescent="0.35">
      <c r="B1530" t="s">
        <v>221</v>
      </c>
      <c r="C1530" s="14">
        <v>0.39447255998252201</v>
      </c>
      <c r="D1530" s="14">
        <v>0.41439223425157201</v>
      </c>
      <c r="E1530" s="14">
        <v>0.37389807350194798</v>
      </c>
      <c r="F1530" s="14"/>
      <c r="G1530" s="14">
        <v>0</v>
      </c>
      <c r="H1530" s="14">
        <v>0.33791534042225402</v>
      </c>
      <c r="I1530" s="14">
        <v>0.42813579029591697</v>
      </c>
      <c r="J1530" s="14">
        <v>0.38000924828060101</v>
      </c>
      <c r="K1530" s="14">
        <v>0.39850678353263203</v>
      </c>
      <c r="L1530" s="14">
        <v>0.24059425912069701</v>
      </c>
      <c r="M1530" s="14"/>
      <c r="N1530" s="14">
        <v>0.36687851310160902</v>
      </c>
      <c r="O1530" s="14">
        <v>0.39924664702349</v>
      </c>
      <c r="P1530" s="14">
        <v>0.46232220135163499</v>
      </c>
      <c r="Q1530" s="14">
        <v>0.356180542225771</v>
      </c>
      <c r="R1530" s="14"/>
      <c r="S1530" s="14">
        <v>0.45911967671380599</v>
      </c>
      <c r="T1530" s="14">
        <v>0.29489420726833898</v>
      </c>
      <c r="U1530" s="14">
        <v>0.44038815456293101</v>
      </c>
      <c r="V1530" s="14">
        <v>0.42090380809071198</v>
      </c>
      <c r="W1530" s="14">
        <v>0.33126276967014001</v>
      </c>
      <c r="X1530" s="14">
        <v>0.378790850836972</v>
      </c>
      <c r="Y1530" s="14">
        <v>0.43023566285592801</v>
      </c>
      <c r="Z1530" s="14">
        <v>0.36522159559980799</v>
      </c>
      <c r="AA1530" s="14">
        <v>0.41614610160437998</v>
      </c>
      <c r="AB1530" s="14"/>
      <c r="AC1530" s="14">
        <v>0.35272708364622202</v>
      </c>
      <c r="AD1530" s="14">
        <v>0.474839821521433</v>
      </c>
      <c r="AE1530" s="14">
        <v>0.38926841808600898</v>
      </c>
      <c r="AF1530" s="14">
        <v>0.43151497753213203</v>
      </c>
      <c r="AG1530" s="14">
        <v>0.208175902312494</v>
      </c>
      <c r="AH1530" s="14"/>
      <c r="AI1530" s="14">
        <v>0.38373582210171597</v>
      </c>
      <c r="AJ1530" s="14">
        <v>0.473574813664073</v>
      </c>
      <c r="AK1530" s="14">
        <v>0.38541446722456602</v>
      </c>
      <c r="AL1530" s="14">
        <v>0.35324001695064799</v>
      </c>
      <c r="AM1530" s="14">
        <v>0.30930425705481901</v>
      </c>
      <c r="AN1530" s="14">
        <v>0.29998789024567901</v>
      </c>
      <c r="AO1530" s="14"/>
      <c r="AP1530" s="14">
        <v>0.42737236109799598</v>
      </c>
      <c r="AQ1530" s="14">
        <v>0.35336218865191799</v>
      </c>
      <c r="AR1530" s="14"/>
      <c r="AS1530" s="14" t="s">
        <v>88</v>
      </c>
      <c r="AT1530" s="14" t="s">
        <v>88</v>
      </c>
      <c r="AU1530" s="14">
        <v>0.39447255998252201</v>
      </c>
      <c r="AV1530" s="14"/>
      <c r="AW1530" s="14">
        <v>0.40230783940215997</v>
      </c>
      <c r="AX1530" s="14">
        <v>0.39307038931435401</v>
      </c>
      <c r="AY1530" s="14"/>
      <c r="AZ1530" s="14">
        <v>0.42383537484221401</v>
      </c>
      <c r="BA1530" s="14">
        <v>0.23838583233149699</v>
      </c>
    </row>
    <row r="1531" spans="2:53" x14ac:dyDescent="0.35">
      <c r="B1531" t="s">
        <v>222</v>
      </c>
      <c r="C1531" s="14">
        <v>0.20834118155551501</v>
      </c>
      <c r="D1531" s="14">
        <v>0.16908474753481401</v>
      </c>
      <c r="E1531" s="14">
        <v>0.24888807806222099</v>
      </c>
      <c r="F1531" s="14"/>
      <c r="G1531" s="14">
        <v>0</v>
      </c>
      <c r="H1531" s="14">
        <v>0.11528834641305701</v>
      </c>
      <c r="I1531" s="14">
        <v>0.16936318227338601</v>
      </c>
      <c r="J1531" s="14">
        <v>0.25137105545349298</v>
      </c>
      <c r="K1531" s="14">
        <v>0.26723736938304199</v>
      </c>
      <c r="L1531" s="14">
        <v>0.27498828916357099</v>
      </c>
      <c r="M1531" s="14"/>
      <c r="N1531" s="14">
        <v>0.15243976569172399</v>
      </c>
      <c r="O1531" s="14">
        <v>0.23787598416518499</v>
      </c>
      <c r="P1531" s="14">
        <v>0.25775542327228401</v>
      </c>
      <c r="Q1531" s="14">
        <v>0.20596602387521401</v>
      </c>
      <c r="R1531" s="14"/>
      <c r="S1531" s="14">
        <v>0.12698578309814601</v>
      </c>
      <c r="T1531" s="14">
        <v>0.216797698156001</v>
      </c>
      <c r="U1531" s="14">
        <v>0.250460551633507</v>
      </c>
      <c r="V1531" s="14">
        <v>0.21313992229642401</v>
      </c>
      <c r="W1531" s="14">
        <v>0.19785079997777999</v>
      </c>
      <c r="X1531" s="14">
        <v>0.20453735895198299</v>
      </c>
      <c r="Y1531" s="14">
        <v>0.23121441572556101</v>
      </c>
      <c r="Z1531" s="14">
        <v>0.23324883936388699</v>
      </c>
      <c r="AA1531" s="14">
        <v>0.248955829646615</v>
      </c>
      <c r="AB1531" s="14"/>
      <c r="AC1531" s="14">
        <v>0.22337537703812299</v>
      </c>
      <c r="AD1531" s="14">
        <v>0.235348542012114</v>
      </c>
      <c r="AE1531" s="14">
        <v>0.2422293286811</v>
      </c>
      <c r="AF1531" s="14">
        <v>0.13608548635576101</v>
      </c>
      <c r="AG1531" s="14">
        <v>8.9372416659072099E-2</v>
      </c>
      <c r="AH1531" s="14"/>
      <c r="AI1531" s="14">
        <v>0.136185975806938</v>
      </c>
      <c r="AJ1531" s="14">
        <v>0.19349327359021001</v>
      </c>
      <c r="AK1531" s="14">
        <v>0.22323644330985101</v>
      </c>
      <c r="AL1531" s="14">
        <v>0.27976855717266103</v>
      </c>
      <c r="AM1531" s="14">
        <v>0.32353924115791199</v>
      </c>
      <c r="AN1531" s="14">
        <v>0.38107840248008301</v>
      </c>
      <c r="AO1531" s="14"/>
      <c r="AP1531" s="14">
        <v>0.16836302031290701</v>
      </c>
      <c r="AQ1531" s="14">
        <v>0.25829640918834601</v>
      </c>
      <c r="AR1531" s="14"/>
      <c r="AS1531" s="14" t="s">
        <v>88</v>
      </c>
      <c r="AT1531" s="14" t="s">
        <v>88</v>
      </c>
      <c r="AU1531" s="14">
        <v>0.20834118155551501</v>
      </c>
      <c r="AV1531" s="14"/>
      <c r="AW1531" s="14">
        <v>0.212895615463041</v>
      </c>
      <c r="AX1531" s="14">
        <v>0.15108052312196801</v>
      </c>
      <c r="AY1531" s="14"/>
      <c r="AZ1531" s="14">
        <v>0.187156563643012</v>
      </c>
      <c r="BA1531" s="14">
        <v>0.32580699182122402</v>
      </c>
    </row>
    <row r="1532" spans="2:53" x14ac:dyDescent="0.35">
      <c r="B1532" t="s">
        <v>223</v>
      </c>
      <c r="C1532" s="14">
        <v>7.7952944929208998E-2</v>
      </c>
      <c r="D1532" s="14">
        <v>2.9929249389866901E-2</v>
      </c>
      <c r="E1532" s="14">
        <v>0.127555305955594</v>
      </c>
      <c r="F1532" s="14"/>
      <c r="G1532" s="14">
        <v>0</v>
      </c>
      <c r="H1532" s="14">
        <v>5.1380667204208898E-2</v>
      </c>
      <c r="I1532" s="14">
        <v>8.1661363070992504E-2</v>
      </c>
      <c r="J1532" s="14">
        <v>8.4475323830502394E-2</v>
      </c>
      <c r="K1532" s="14">
        <v>3.7343885055499203E-2</v>
      </c>
      <c r="L1532" s="14">
        <v>0.19542254586996399</v>
      </c>
      <c r="M1532" s="14"/>
      <c r="N1532" s="14">
        <v>4.2330194787514798E-2</v>
      </c>
      <c r="O1532" s="14">
        <v>0.119389760774664</v>
      </c>
      <c r="P1532" s="14">
        <v>4.2478607421254401E-2</v>
      </c>
      <c r="Q1532" s="14">
        <v>0.12062144610109</v>
      </c>
      <c r="R1532" s="14"/>
      <c r="S1532" s="14">
        <v>3.3042678577725297E-2</v>
      </c>
      <c r="T1532" s="14">
        <v>0.13116703608827099</v>
      </c>
      <c r="U1532" s="14">
        <v>8.6811127211184794E-2</v>
      </c>
      <c r="V1532" s="14">
        <v>1.8971978630908101E-2</v>
      </c>
      <c r="W1532" s="14">
        <v>0.12371511567976901</v>
      </c>
      <c r="X1532" s="14">
        <v>8.7699672391594694E-2</v>
      </c>
      <c r="Y1532" s="14">
        <v>9.3710259098687604E-2</v>
      </c>
      <c r="Z1532" s="14">
        <v>7.7688559264876403E-2</v>
      </c>
      <c r="AA1532" s="14">
        <v>5.9777659792685803E-2</v>
      </c>
      <c r="AB1532" s="14"/>
      <c r="AC1532" s="14">
        <v>0.14146412113100501</v>
      </c>
      <c r="AD1532" s="14">
        <v>8.3449829894296196E-2</v>
      </c>
      <c r="AE1532" s="14">
        <v>4.0166198325264697E-2</v>
      </c>
      <c r="AF1532" s="14">
        <v>4.5927308582576001E-2</v>
      </c>
      <c r="AG1532" s="14">
        <v>3.2917233568152598E-2</v>
      </c>
      <c r="AH1532" s="14"/>
      <c r="AI1532" s="14">
        <v>7.06385637616085E-2</v>
      </c>
      <c r="AJ1532" s="14">
        <v>5.4156306392477198E-2</v>
      </c>
      <c r="AK1532" s="14">
        <v>9.3616984596785802E-2</v>
      </c>
      <c r="AL1532" s="14">
        <v>0.12513684163225999</v>
      </c>
      <c r="AM1532" s="14">
        <v>0.11035702037689001</v>
      </c>
      <c r="AN1532" s="14">
        <v>4.3504682354807103E-2</v>
      </c>
      <c r="AO1532" s="14"/>
      <c r="AP1532" s="14">
        <v>5.9762152983012698E-2</v>
      </c>
      <c r="AQ1532" s="14">
        <v>0.100683483909706</v>
      </c>
      <c r="AR1532" s="14"/>
      <c r="AS1532" s="14" t="s">
        <v>88</v>
      </c>
      <c r="AT1532" s="14" t="s">
        <v>88</v>
      </c>
      <c r="AU1532" s="14">
        <v>7.7952944929208998E-2</v>
      </c>
      <c r="AV1532" s="14"/>
      <c r="AW1532" s="14">
        <v>9.1715665774741398E-2</v>
      </c>
      <c r="AX1532" s="14">
        <v>3.5658798273385903E-2</v>
      </c>
      <c r="AY1532" s="14"/>
      <c r="AZ1532" s="14">
        <v>4.5633298351545101E-2</v>
      </c>
      <c r="BA1532" s="14">
        <v>0.254799348976398</v>
      </c>
    </row>
    <row r="1533" spans="2:53" x14ac:dyDescent="0.35">
      <c r="B1533" t="s">
        <v>116</v>
      </c>
      <c r="C1533" s="14">
        <v>8.1595814897160706E-3</v>
      </c>
      <c r="D1533" s="14">
        <v>3.9186140565818598E-3</v>
      </c>
      <c r="E1533" s="14">
        <v>1.2539960703704899E-2</v>
      </c>
      <c r="F1533" s="14"/>
      <c r="G1533" s="14">
        <v>0</v>
      </c>
      <c r="H1533" s="14">
        <v>0</v>
      </c>
      <c r="I1533" s="14">
        <v>6.8317086194600697E-3</v>
      </c>
      <c r="J1533" s="14">
        <v>1.3184975399093199E-2</v>
      </c>
      <c r="K1533" s="14">
        <v>4.2010641612408601E-3</v>
      </c>
      <c r="L1533" s="14">
        <v>0</v>
      </c>
      <c r="M1533" s="14"/>
      <c r="N1533" s="14">
        <v>1.23747778176862E-2</v>
      </c>
      <c r="O1533" s="14">
        <v>9.5646081977131207E-3</v>
      </c>
      <c r="P1533" s="14">
        <v>0</v>
      </c>
      <c r="Q1533" s="14">
        <v>8.8596628364048507E-3</v>
      </c>
      <c r="R1533" s="14"/>
      <c r="S1533" s="14">
        <v>1.2105902484981199E-2</v>
      </c>
      <c r="T1533" s="14">
        <v>2.87745908067558E-2</v>
      </c>
      <c r="U1533" s="14">
        <v>0</v>
      </c>
      <c r="V1533" s="14">
        <v>0</v>
      </c>
      <c r="W1533" s="14">
        <v>0</v>
      </c>
      <c r="X1533" s="14">
        <v>0</v>
      </c>
      <c r="Y1533" s="14">
        <v>7.4772883505249401E-3</v>
      </c>
      <c r="Z1533" s="14">
        <v>1.95712101124428E-2</v>
      </c>
      <c r="AA1533" s="14">
        <v>0</v>
      </c>
      <c r="AB1533" s="14"/>
      <c r="AC1533" s="14">
        <v>1.75516633818915E-2</v>
      </c>
      <c r="AD1533" s="14">
        <v>2.1121199765018802E-3</v>
      </c>
      <c r="AE1533" s="14">
        <v>8.6652742174168507E-3</v>
      </c>
      <c r="AF1533" s="14">
        <v>6.7973637802465096E-3</v>
      </c>
      <c r="AG1533" s="14">
        <v>0</v>
      </c>
      <c r="AH1533" s="14"/>
      <c r="AI1533" s="14">
        <v>9.7520463133563707E-3</v>
      </c>
      <c r="AJ1533" s="14">
        <v>0</v>
      </c>
      <c r="AK1533" s="14">
        <v>9.9041477332033109E-3</v>
      </c>
      <c r="AL1533" s="14">
        <v>5.62191033208262E-3</v>
      </c>
      <c r="AM1533" s="14">
        <v>0</v>
      </c>
      <c r="AN1533" s="14">
        <v>0</v>
      </c>
      <c r="AO1533" s="14"/>
      <c r="AP1533" s="14">
        <v>6.4955077009184502E-3</v>
      </c>
      <c r="AQ1533" s="14">
        <v>1.02389463812813E-2</v>
      </c>
      <c r="AR1533" s="14"/>
      <c r="AS1533" s="14" t="s">
        <v>88</v>
      </c>
      <c r="AT1533" s="14" t="s">
        <v>88</v>
      </c>
      <c r="AU1533" s="14">
        <v>8.1595814897160706E-3</v>
      </c>
      <c r="AV1533" s="14"/>
      <c r="AW1533" s="14">
        <v>4.4815146210783197E-3</v>
      </c>
      <c r="AX1533" s="14">
        <v>2.2853325141529999E-3</v>
      </c>
      <c r="AY1533" s="14"/>
      <c r="AZ1533" s="14">
        <v>5.3399192223033496E-3</v>
      </c>
      <c r="BA1533" s="14">
        <v>2.3601564542740799E-2</v>
      </c>
    </row>
    <row r="1534" spans="2:53" x14ac:dyDescent="0.35">
      <c r="B1534" t="s">
        <v>224</v>
      </c>
      <c r="C1534" s="14">
        <v>0.64388378565474602</v>
      </c>
      <c r="D1534" s="14">
        <v>0.71843061545565201</v>
      </c>
      <c r="E1534" s="14">
        <v>0.56688640501527099</v>
      </c>
      <c r="F1534" s="14"/>
      <c r="G1534" s="14">
        <v>1</v>
      </c>
      <c r="H1534" s="14">
        <v>0.82514079946735397</v>
      </c>
      <c r="I1534" s="14">
        <v>0.68578467450531599</v>
      </c>
      <c r="J1534" s="14">
        <v>0.58969610452962495</v>
      </c>
      <c r="K1534" s="14">
        <v>0.56682091912001997</v>
      </c>
      <c r="L1534" s="14">
        <v>0.478741314104079</v>
      </c>
      <c r="M1534" s="14"/>
      <c r="N1534" s="14">
        <v>0.72909244377236404</v>
      </c>
      <c r="O1534" s="14">
        <v>0.59362684832394197</v>
      </c>
      <c r="P1534" s="14">
        <v>0.65051588582768005</v>
      </c>
      <c r="Q1534" s="14">
        <v>0.56374035045135795</v>
      </c>
      <c r="R1534" s="14"/>
      <c r="S1534" s="14">
        <v>0.79265797719152298</v>
      </c>
      <c r="T1534" s="14">
        <v>0.55902700219789303</v>
      </c>
      <c r="U1534" s="14">
        <v>0.58883716631456196</v>
      </c>
      <c r="V1534" s="14">
        <v>0.69023362636951102</v>
      </c>
      <c r="W1534" s="14">
        <v>0.60443984857701405</v>
      </c>
      <c r="X1534" s="14">
        <v>0.621510101087143</v>
      </c>
      <c r="Y1534" s="14">
        <v>0.60677693357263396</v>
      </c>
      <c r="Z1534" s="14">
        <v>0.63034897074533502</v>
      </c>
      <c r="AA1534" s="14">
        <v>0.63841321538081397</v>
      </c>
      <c r="AB1534" s="14"/>
      <c r="AC1534" s="14">
        <v>0.544081401831497</v>
      </c>
      <c r="AD1534" s="14">
        <v>0.61575345063952802</v>
      </c>
      <c r="AE1534" s="14">
        <v>0.645595275103229</v>
      </c>
      <c r="AF1534" s="14">
        <v>0.786646517384882</v>
      </c>
      <c r="AG1534" s="14">
        <v>0.808359018904659</v>
      </c>
      <c r="AH1534" s="14"/>
      <c r="AI1534" s="14">
        <v>0.73031672775943601</v>
      </c>
      <c r="AJ1534" s="14">
        <v>0.67251467544060395</v>
      </c>
      <c r="AK1534" s="14">
        <v>0.61033135940081995</v>
      </c>
      <c r="AL1534" s="14">
        <v>0.51243772481687799</v>
      </c>
      <c r="AM1534" s="14">
        <v>0.50283059785545903</v>
      </c>
      <c r="AN1534" s="14">
        <v>0.54987660476710098</v>
      </c>
      <c r="AO1534" s="14"/>
      <c r="AP1534" s="14">
        <v>0.71776613198686001</v>
      </c>
      <c r="AQ1534" s="14">
        <v>0.55156314572659604</v>
      </c>
      <c r="AR1534" s="14"/>
      <c r="AS1534" s="14" t="s">
        <v>88</v>
      </c>
      <c r="AT1534" s="14" t="s">
        <v>88</v>
      </c>
      <c r="AU1534" s="14">
        <v>0.64388378565474602</v>
      </c>
      <c r="AV1534" s="14"/>
      <c r="AW1534" s="14">
        <v>0.63321439999296003</v>
      </c>
      <c r="AX1534" s="14">
        <v>0.74476220739375898</v>
      </c>
      <c r="AY1534" s="14"/>
      <c r="AZ1534" s="14">
        <v>0.70579577285783901</v>
      </c>
      <c r="BA1534" s="14">
        <v>0.30307853655152001</v>
      </c>
    </row>
    <row r="1535" spans="2:53" x14ac:dyDescent="0.35">
      <c r="C1535" s="14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</row>
    <row r="1536" spans="2:53" x14ac:dyDescent="0.35">
      <c r="B1536" s="6" t="s">
        <v>369</v>
      </c>
      <c r="C1536" s="14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/>
      <c r="AN1536" s="14"/>
      <c r="AO1536" s="14"/>
      <c r="AP1536" s="14"/>
      <c r="AQ1536" s="14"/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</row>
    <row r="1537" spans="2:53" x14ac:dyDescent="0.35">
      <c r="B1537" s="24" t="s">
        <v>101</v>
      </c>
      <c r="C1537" s="14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</row>
    <row r="1538" spans="2:53" x14ac:dyDescent="0.35">
      <c r="B1538" t="s">
        <v>154</v>
      </c>
      <c r="C1538" s="14">
        <v>0.39042349441528401</v>
      </c>
      <c r="D1538" s="14">
        <v>0.41120233451947802</v>
      </c>
      <c r="E1538" s="14">
        <v>0.37043724337209299</v>
      </c>
      <c r="F1538" s="14"/>
      <c r="G1538" s="14">
        <v>0</v>
      </c>
      <c r="H1538" s="14">
        <v>0.46381132761893801</v>
      </c>
      <c r="I1538" s="14">
        <v>0.44095070864202901</v>
      </c>
      <c r="J1538" s="14">
        <v>0.36871234768959199</v>
      </c>
      <c r="K1538" s="14">
        <v>0.273602637730815</v>
      </c>
      <c r="L1538" s="14">
        <v>0.29868198355289499</v>
      </c>
      <c r="M1538" s="14"/>
      <c r="N1538" s="14">
        <v>0.46299874393662399</v>
      </c>
      <c r="O1538" s="14">
        <v>0.35441825594918802</v>
      </c>
      <c r="P1538" s="14">
        <v>0.41580249752993298</v>
      </c>
      <c r="Q1538" s="14">
        <v>0.32313139836981702</v>
      </c>
      <c r="R1538" s="14"/>
      <c r="S1538" s="14">
        <v>0.45523054108113697</v>
      </c>
      <c r="T1538" s="14">
        <v>0.402533696992803</v>
      </c>
      <c r="U1538" s="14">
        <v>0.389740230897058</v>
      </c>
      <c r="V1538" s="14">
        <v>0.376693601928281</v>
      </c>
      <c r="W1538" s="14">
        <v>0.34222298814159802</v>
      </c>
      <c r="X1538" s="14">
        <v>0.39489188753205001</v>
      </c>
      <c r="Y1538" s="14">
        <v>0.332895335547918</v>
      </c>
      <c r="Z1538" s="14">
        <v>0.47832049601575699</v>
      </c>
      <c r="AA1538" s="14">
        <v>0.35552377568112897</v>
      </c>
      <c r="AB1538" s="14"/>
      <c r="AC1538" s="14">
        <v>0.26147176626375901</v>
      </c>
      <c r="AD1538" s="14">
        <v>0.400876617221472</v>
      </c>
      <c r="AE1538" s="14">
        <v>0.41582104258407099</v>
      </c>
      <c r="AF1538" s="14">
        <v>0.56381058261190597</v>
      </c>
      <c r="AG1538" s="14">
        <v>0.67025255106958104</v>
      </c>
      <c r="AH1538" s="14"/>
      <c r="AI1538" s="14">
        <v>0.434804303462141</v>
      </c>
      <c r="AJ1538" s="14">
        <v>0.43302759572313998</v>
      </c>
      <c r="AK1538" s="14">
        <v>0.41089526276344102</v>
      </c>
      <c r="AL1538" s="14">
        <v>0.33923145235603702</v>
      </c>
      <c r="AM1538" s="14">
        <v>0.507999933319073</v>
      </c>
      <c r="AN1538" s="14">
        <v>0.25315980156972301</v>
      </c>
      <c r="AO1538" s="14"/>
      <c r="AP1538" s="14">
        <v>0.406836064241069</v>
      </c>
      <c r="AQ1538" s="14">
        <v>0.373633719095669</v>
      </c>
      <c r="AR1538" s="14"/>
      <c r="AS1538" s="14" t="s">
        <v>88</v>
      </c>
      <c r="AT1538" s="14" t="s">
        <v>88</v>
      </c>
      <c r="AU1538" s="14">
        <v>0.39042349441528401</v>
      </c>
      <c r="AV1538" s="14"/>
      <c r="AW1538" s="14">
        <v>0.38383558315632799</v>
      </c>
      <c r="AX1538" s="14">
        <v>0.48327081501499197</v>
      </c>
      <c r="AY1538" s="14"/>
      <c r="AZ1538" s="14">
        <v>0.42476298682935898</v>
      </c>
      <c r="BA1538" s="14">
        <v>0.26616900030200102</v>
      </c>
    </row>
    <row r="1539" spans="2:53" x14ac:dyDescent="0.35">
      <c r="B1539" t="s">
        <v>155</v>
      </c>
      <c r="C1539" s="14">
        <v>0.25067273790744699</v>
      </c>
      <c r="D1539" s="14">
        <v>0.27225924948373798</v>
      </c>
      <c r="E1539" s="14">
        <v>0.22816624366038701</v>
      </c>
      <c r="F1539" s="14"/>
      <c r="G1539" s="14">
        <v>0.56074380449106598</v>
      </c>
      <c r="H1539" s="14">
        <v>0.32120105841956298</v>
      </c>
      <c r="I1539" s="14">
        <v>0.23525272829709401</v>
      </c>
      <c r="J1539" s="14">
        <v>0.22303090881378301</v>
      </c>
      <c r="K1539" s="14">
        <v>0.29918776942297398</v>
      </c>
      <c r="L1539" s="14">
        <v>0.44838997793854302</v>
      </c>
      <c r="M1539" s="14"/>
      <c r="N1539" s="14">
        <v>0.26662483718088797</v>
      </c>
      <c r="O1539" s="14">
        <v>0.240414788707739</v>
      </c>
      <c r="P1539" s="14">
        <v>0.227301484398266</v>
      </c>
      <c r="Q1539" s="14">
        <v>0.26925464075142203</v>
      </c>
      <c r="R1539" s="14"/>
      <c r="S1539" s="14">
        <v>0.259510129745332</v>
      </c>
      <c r="T1539" s="14">
        <v>0.26989340801068401</v>
      </c>
      <c r="U1539" s="14">
        <v>0.29025295253272598</v>
      </c>
      <c r="V1539" s="14">
        <v>0.19031045815655701</v>
      </c>
      <c r="W1539" s="14">
        <v>0.21196665043742199</v>
      </c>
      <c r="X1539" s="14">
        <v>0.23171329792817</v>
      </c>
      <c r="Y1539" s="14">
        <v>0.28630821078833602</v>
      </c>
      <c r="Z1539" s="14">
        <v>0.205852375800404</v>
      </c>
      <c r="AA1539" s="14">
        <v>0.27309232389118998</v>
      </c>
      <c r="AB1539" s="14"/>
      <c r="AC1539" s="14">
        <v>0.27114025042711298</v>
      </c>
      <c r="AD1539" s="14">
        <v>0.257060788418703</v>
      </c>
      <c r="AE1539" s="14">
        <v>0.25639511326362402</v>
      </c>
      <c r="AF1539" s="14">
        <v>0.235341217491463</v>
      </c>
      <c r="AG1539" s="14">
        <v>0.24794703839276899</v>
      </c>
      <c r="AH1539" s="14"/>
      <c r="AI1539" s="14">
        <v>0.230798694436916</v>
      </c>
      <c r="AJ1539" s="14">
        <v>0.28719553435900602</v>
      </c>
      <c r="AK1539" s="14">
        <v>0.17876228064861999</v>
      </c>
      <c r="AL1539" s="14">
        <v>0.25826788979343202</v>
      </c>
      <c r="AM1539" s="14">
        <v>0.27624153652070998</v>
      </c>
      <c r="AN1539" s="14">
        <v>0.21326070574952399</v>
      </c>
      <c r="AO1539" s="14"/>
      <c r="AP1539" s="14">
        <v>0.25842438244947702</v>
      </c>
      <c r="AQ1539" s="14">
        <v>0.24202678589842799</v>
      </c>
      <c r="AR1539" s="14"/>
      <c r="AS1539" s="14" t="s">
        <v>88</v>
      </c>
      <c r="AT1539" s="14" t="s">
        <v>88</v>
      </c>
      <c r="AU1539" s="14">
        <v>0.25067273790744699</v>
      </c>
      <c r="AV1539" s="14"/>
      <c r="AW1539" s="14">
        <v>0.243691644423706</v>
      </c>
      <c r="AX1539" s="14">
        <v>0.28071372836106601</v>
      </c>
      <c r="AY1539" s="14"/>
      <c r="AZ1539" s="14">
        <v>0.26690570807132502</v>
      </c>
      <c r="BA1539" s="14">
        <v>0.19442578203553801</v>
      </c>
    </row>
    <row r="1540" spans="2:53" x14ac:dyDescent="0.35">
      <c r="B1540" t="s">
        <v>116</v>
      </c>
      <c r="C1540" s="14">
        <v>0.358903767677269</v>
      </c>
      <c r="D1540" s="14">
        <v>0.31653841599678401</v>
      </c>
      <c r="E1540" s="14">
        <v>0.40139651296752099</v>
      </c>
      <c r="F1540" s="14"/>
      <c r="G1540" s="14">
        <v>0.43925619550893402</v>
      </c>
      <c r="H1540" s="14">
        <v>0.21498761396150001</v>
      </c>
      <c r="I1540" s="14">
        <v>0.32379656306087701</v>
      </c>
      <c r="J1540" s="14">
        <v>0.408256743496625</v>
      </c>
      <c r="K1540" s="14">
        <v>0.42720959284621202</v>
      </c>
      <c r="L1540" s="14">
        <v>0.25292803850856199</v>
      </c>
      <c r="M1540" s="14"/>
      <c r="N1540" s="14">
        <v>0.27037641888248798</v>
      </c>
      <c r="O1540" s="14">
        <v>0.40516695534307301</v>
      </c>
      <c r="P1540" s="14">
        <v>0.35689601807180099</v>
      </c>
      <c r="Q1540" s="14">
        <v>0.40761396087876001</v>
      </c>
      <c r="R1540" s="14"/>
      <c r="S1540" s="14">
        <v>0.28525932917353097</v>
      </c>
      <c r="T1540" s="14">
        <v>0.32757289499651199</v>
      </c>
      <c r="U1540" s="14">
        <v>0.32000681657021601</v>
      </c>
      <c r="V1540" s="14">
        <v>0.432995939915162</v>
      </c>
      <c r="W1540" s="14">
        <v>0.44581036142098002</v>
      </c>
      <c r="X1540" s="14">
        <v>0.37339481453978002</v>
      </c>
      <c r="Y1540" s="14">
        <v>0.38079645366374698</v>
      </c>
      <c r="Z1540" s="14">
        <v>0.31582712818383801</v>
      </c>
      <c r="AA1540" s="14">
        <v>0.37138390042768099</v>
      </c>
      <c r="AB1540" s="14"/>
      <c r="AC1540" s="14">
        <v>0.46738798330912801</v>
      </c>
      <c r="AD1540" s="14">
        <v>0.342062594359825</v>
      </c>
      <c r="AE1540" s="14">
        <v>0.32778384415230499</v>
      </c>
      <c r="AF1540" s="14">
        <v>0.200848199896632</v>
      </c>
      <c r="AG1540" s="14">
        <v>8.1800410537649998E-2</v>
      </c>
      <c r="AH1540" s="14"/>
      <c r="AI1540" s="14">
        <v>0.33439700210094297</v>
      </c>
      <c r="AJ1540" s="14">
        <v>0.279776869917853</v>
      </c>
      <c r="AK1540" s="14">
        <v>0.410342456587939</v>
      </c>
      <c r="AL1540" s="14">
        <v>0.40250065785053102</v>
      </c>
      <c r="AM1540" s="14">
        <v>0.21575853016021701</v>
      </c>
      <c r="AN1540" s="14">
        <v>0.533579492680753</v>
      </c>
      <c r="AO1540" s="14"/>
      <c r="AP1540" s="14">
        <v>0.33473955330945299</v>
      </c>
      <c r="AQ1540" s="14">
        <v>0.38433949500590298</v>
      </c>
      <c r="AR1540" s="14"/>
      <c r="AS1540" s="14" t="s">
        <v>88</v>
      </c>
      <c r="AT1540" s="14" t="s">
        <v>88</v>
      </c>
      <c r="AU1540" s="14">
        <v>0.358903767677269</v>
      </c>
      <c r="AV1540" s="14"/>
      <c r="AW1540" s="14">
        <v>0.37247277241996601</v>
      </c>
      <c r="AX1540" s="14">
        <v>0.23601545662394199</v>
      </c>
      <c r="AY1540" s="14"/>
      <c r="AZ1540" s="14">
        <v>0.308331305099317</v>
      </c>
      <c r="BA1540" s="14">
        <v>0.53940521766245997</v>
      </c>
    </row>
    <row r="1541" spans="2:53" x14ac:dyDescent="0.35">
      <c r="C1541" s="14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/>
      <c r="AN1541" s="14"/>
      <c r="AO1541" s="14"/>
      <c r="AP1541" s="14"/>
      <c r="AQ1541" s="14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</row>
    <row r="1542" spans="2:53" x14ac:dyDescent="0.35">
      <c r="B1542" s="6" t="s">
        <v>370</v>
      </c>
      <c r="C1542" s="14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/>
      <c r="AN1542" s="14"/>
      <c r="AO1542" s="14"/>
      <c r="AP1542" s="14"/>
      <c r="AQ1542" s="14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</row>
    <row r="1543" spans="2:53" x14ac:dyDescent="0.35">
      <c r="B1543" s="30" t="s">
        <v>463</v>
      </c>
      <c r="C1543" s="14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/>
      <c r="AN1543" s="14"/>
      <c r="AO1543" s="14"/>
      <c r="AP1543" s="14"/>
      <c r="AQ1543" s="14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</row>
    <row r="1544" spans="2:53" x14ac:dyDescent="0.35">
      <c r="B1544" t="s">
        <v>214</v>
      </c>
      <c r="C1544" s="14">
        <v>0.15125222984925099</v>
      </c>
      <c r="D1544" s="14">
        <v>0.15722728257544799</v>
      </c>
      <c r="E1544" s="14">
        <v>0.14468452077140301</v>
      </c>
      <c r="F1544" s="14"/>
      <c r="G1544" s="14" t="s">
        <v>88</v>
      </c>
      <c r="H1544" s="14">
        <v>0.21352600247579201</v>
      </c>
      <c r="I1544" s="14">
        <v>0.178123623348</v>
      </c>
      <c r="J1544" s="14">
        <v>0.123797557248713</v>
      </c>
      <c r="K1544" s="14">
        <v>8.8962634577377506E-2</v>
      </c>
      <c r="L1544" s="14">
        <v>0</v>
      </c>
      <c r="M1544" s="14"/>
      <c r="N1544" s="14">
        <v>0.14328124324331801</v>
      </c>
      <c r="O1544" s="14">
        <v>8.0323116619412993E-2</v>
      </c>
      <c r="P1544" s="14">
        <v>0.174281321611444</v>
      </c>
      <c r="Q1544" s="14">
        <v>0.21619396624138601</v>
      </c>
      <c r="R1544" s="14"/>
      <c r="S1544" s="14">
        <v>0.201833332672569</v>
      </c>
      <c r="T1544" s="14">
        <v>0.17011434530467201</v>
      </c>
      <c r="U1544" s="14">
        <v>8.4883057357501707E-2</v>
      </c>
      <c r="V1544" s="14">
        <v>0.181502057420556</v>
      </c>
      <c r="W1544" s="14">
        <v>6.4893449775405704E-2</v>
      </c>
      <c r="X1544" s="14">
        <v>0.19341617909793701</v>
      </c>
      <c r="Y1544" s="14">
        <v>0.117450565065883</v>
      </c>
      <c r="Z1544" s="14">
        <v>0.23578564512693501</v>
      </c>
      <c r="AA1544" s="14">
        <v>8.1936994487206899E-2</v>
      </c>
      <c r="AB1544" s="14"/>
      <c r="AC1544" s="14">
        <v>0.159128401939027</v>
      </c>
      <c r="AD1544" s="14">
        <v>8.0963605986820106E-2</v>
      </c>
      <c r="AE1544" s="14">
        <v>0.14062314208585699</v>
      </c>
      <c r="AF1544" s="14">
        <v>0.22111655146627199</v>
      </c>
      <c r="AG1544" s="14">
        <v>0.36852408626955102</v>
      </c>
      <c r="AH1544" s="14"/>
      <c r="AI1544" s="14">
        <v>0.19488258115221699</v>
      </c>
      <c r="AJ1544" s="14">
        <v>0.17022375877659901</v>
      </c>
      <c r="AK1544" s="14">
        <v>0.10581372015356701</v>
      </c>
      <c r="AL1544" s="14">
        <v>7.6594249028774E-2</v>
      </c>
      <c r="AM1544" s="14">
        <v>0.107684046583424</v>
      </c>
      <c r="AN1544" s="14">
        <v>0.22493126022058799</v>
      </c>
      <c r="AO1544" s="14"/>
      <c r="AP1544" s="14">
        <v>0.18868890912726599</v>
      </c>
      <c r="AQ1544" s="14">
        <v>0.10461384677703101</v>
      </c>
      <c r="AR1544" s="14"/>
      <c r="AS1544" s="14" t="s">
        <v>88</v>
      </c>
      <c r="AT1544" s="14" t="s">
        <v>88</v>
      </c>
      <c r="AU1544" s="14">
        <v>0.15125222984925099</v>
      </c>
      <c r="AV1544" s="14"/>
      <c r="AW1544" s="14">
        <v>0.11827876063119</v>
      </c>
      <c r="AX1544" s="14">
        <v>0.289143479795122</v>
      </c>
      <c r="AY1544" s="14"/>
      <c r="AZ1544" s="14">
        <v>0.16667278643653499</v>
      </c>
      <c r="BA1544" s="14">
        <v>6.3908291059419003E-2</v>
      </c>
    </row>
    <row r="1545" spans="2:53" x14ac:dyDescent="0.35">
      <c r="B1545" t="s">
        <v>215</v>
      </c>
      <c r="C1545" s="14">
        <v>0.52833059717647202</v>
      </c>
      <c r="D1545" s="14">
        <v>0.548251917584612</v>
      </c>
      <c r="E1545" s="14">
        <v>0.506433311431427</v>
      </c>
      <c r="F1545" s="14"/>
      <c r="G1545" s="14" t="s">
        <v>88</v>
      </c>
      <c r="H1545" s="14">
        <v>0.50750209449867301</v>
      </c>
      <c r="I1545" s="14">
        <v>0.53461310315812005</v>
      </c>
      <c r="J1545" s="14">
        <v>0.53088768609848602</v>
      </c>
      <c r="K1545" s="14">
        <v>0.458395164412296</v>
      </c>
      <c r="L1545" s="14">
        <v>0.80066826429982396</v>
      </c>
      <c r="M1545" s="14"/>
      <c r="N1545" s="14">
        <v>0.52859253390879002</v>
      </c>
      <c r="O1545" s="14">
        <v>0.57703822015551198</v>
      </c>
      <c r="P1545" s="14">
        <v>0.52932863952004905</v>
      </c>
      <c r="Q1545" s="14">
        <v>0.47641079089316102</v>
      </c>
      <c r="R1545" s="14"/>
      <c r="S1545" s="14">
        <v>0.54747985258476795</v>
      </c>
      <c r="T1545" s="14">
        <v>0.44414352115757799</v>
      </c>
      <c r="U1545" s="14">
        <v>0.55686061192490299</v>
      </c>
      <c r="V1545" s="14">
        <v>0.40870030559793602</v>
      </c>
      <c r="W1545" s="14">
        <v>0.510598014111311</v>
      </c>
      <c r="X1545" s="14">
        <v>0.59384342805784096</v>
      </c>
      <c r="Y1545" s="14">
        <v>0.54343292284234701</v>
      </c>
      <c r="Z1545" s="14">
        <v>0.52598913129715297</v>
      </c>
      <c r="AA1545" s="14">
        <v>0.64403731959185795</v>
      </c>
      <c r="AB1545" s="14"/>
      <c r="AC1545" s="14">
        <v>0.57070718963185296</v>
      </c>
      <c r="AD1545" s="14">
        <v>0.58507261822956103</v>
      </c>
      <c r="AE1545" s="14">
        <v>0.47926143448047598</v>
      </c>
      <c r="AF1545" s="14">
        <v>0.55610229396566901</v>
      </c>
      <c r="AG1545" s="14">
        <v>0.42300571362489098</v>
      </c>
      <c r="AH1545" s="14"/>
      <c r="AI1545" s="14">
        <v>0.49548408757504903</v>
      </c>
      <c r="AJ1545" s="14">
        <v>0.58666064101322102</v>
      </c>
      <c r="AK1545" s="14">
        <v>0.517581335945554</v>
      </c>
      <c r="AL1545" s="14">
        <v>0.53260887466260298</v>
      </c>
      <c r="AM1545" s="14">
        <v>0.475735468674504</v>
      </c>
      <c r="AN1545" s="14">
        <v>0.51327660873844505</v>
      </c>
      <c r="AO1545" s="14"/>
      <c r="AP1545" s="14">
        <v>0.51011292758726401</v>
      </c>
      <c r="AQ1545" s="14">
        <v>0.55102605706689001</v>
      </c>
      <c r="AR1545" s="14"/>
      <c r="AS1545" s="14" t="s">
        <v>88</v>
      </c>
      <c r="AT1545" s="14" t="s">
        <v>88</v>
      </c>
      <c r="AU1545" s="14">
        <v>0.52833059717647202</v>
      </c>
      <c r="AV1545" s="14"/>
      <c r="AW1545" s="14">
        <v>0.55543270032431302</v>
      </c>
      <c r="AX1545" s="14">
        <v>0.47088145065414599</v>
      </c>
      <c r="AY1545" s="14"/>
      <c r="AZ1545" s="14">
        <v>0.52975719000444199</v>
      </c>
      <c r="BA1545" s="14">
        <v>0.51345183714932296</v>
      </c>
    </row>
    <row r="1546" spans="2:53" x14ac:dyDescent="0.35">
      <c r="B1546" t="s">
        <v>216</v>
      </c>
      <c r="C1546" s="14">
        <v>0.157090445845114</v>
      </c>
      <c r="D1546" s="14">
        <v>0.13459645816167801</v>
      </c>
      <c r="E1546" s="14">
        <v>0.18181557780215499</v>
      </c>
      <c r="F1546" s="14"/>
      <c r="G1546" s="14" t="s">
        <v>88</v>
      </c>
      <c r="H1546" s="14">
        <v>0.12814786647102899</v>
      </c>
      <c r="I1546" s="14">
        <v>0.149775085875574</v>
      </c>
      <c r="J1546" s="14">
        <v>0.16782989895697201</v>
      </c>
      <c r="K1546" s="14">
        <v>0.201658944721987</v>
      </c>
      <c r="L1546" s="14">
        <v>4.8327608748138601E-2</v>
      </c>
      <c r="M1546" s="14"/>
      <c r="N1546" s="14">
        <v>0.15717066418189499</v>
      </c>
      <c r="O1546" s="14">
        <v>0.173716488193699</v>
      </c>
      <c r="P1546" s="14">
        <v>0.12110301509062101</v>
      </c>
      <c r="Q1546" s="14">
        <v>0.1763680945169</v>
      </c>
      <c r="R1546" s="14"/>
      <c r="S1546" s="14">
        <v>0.12640594912241099</v>
      </c>
      <c r="T1546" s="14">
        <v>0.164889929698007</v>
      </c>
      <c r="U1546" s="14">
        <v>0.187638195886388</v>
      </c>
      <c r="V1546" s="14">
        <v>0.147146248524962</v>
      </c>
      <c r="W1546" s="14">
        <v>0.32211821009621</v>
      </c>
      <c r="X1546" s="14">
        <v>9.7078046037989002E-2</v>
      </c>
      <c r="Y1546" s="14">
        <v>0.170806117467143</v>
      </c>
      <c r="Z1546" s="14">
        <v>0.10671429899214201</v>
      </c>
      <c r="AA1546" s="14">
        <v>0.12680370708365599</v>
      </c>
      <c r="AB1546" s="14"/>
      <c r="AC1546" s="14">
        <v>0.119690572384046</v>
      </c>
      <c r="AD1546" s="14">
        <v>0.183657614399485</v>
      </c>
      <c r="AE1546" s="14">
        <v>0.20802133652049801</v>
      </c>
      <c r="AF1546" s="14">
        <v>8.7666193051720007E-2</v>
      </c>
      <c r="AG1546" s="14">
        <v>0.118478091803169</v>
      </c>
      <c r="AH1546" s="14"/>
      <c r="AI1546" s="14">
        <v>0.16483219156397</v>
      </c>
      <c r="AJ1546" s="14">
        <v>0.12300339282201</v>
      </c>
      <c r="AK1546" s="14">
        <v>0.14131532782668799</v>
      </c>
      <c r="AL1546" s="14">
        <v>0.19233977817683501</v>
      </c>
      <c r="AM1546" s="14">
        <v>0.182438938442021</v>
      </c>
      <c r="AN1546" s="14">
        <v>5.6817814115185897E-2</v>
      </c>
      <c r="AO1546" s="14"/>
      <c r="AP1546" s="14">
        <v>0.14070070593693501</v>
      </c>
      <c r="AQ1546" s="14">
        <v>0.177508682265474</v>
      </c>
      <c r="AR1546" s="14"/>
      <c r="AS1546" s="14" t="s">
        <v>88</v>
      </c>
      <c r="AT1546" s="14" t="s">
        <v>88</v>
      </c>
      <c r="AU1546" s="14">
        <v>0.157090445845114</v>
      </c>
      <c r="AV1546" s="14"/>
      <c r="AW1546" s="14">
        <v>0.16080044287313999</v>
      </c>
      <c r="AX1546" s="14">
        <v>0.130522472132648</v>
      </c>
      <c r="AY1546" s="14"/>
      <c r="AZ1546" s="14">
        <v>0.144931566486078</v>
      </c>
      <c r="BA1546" s="14">
        <v>0.22982823322530899</v>
      </c>
    </row>
    <row r="1547" spans="2:53" x14ac:dyDescent="0.35">
      <c r="B1547" t="s">
        <v>217</v>
      </c>
      <c r="C1547" s="14">
        <v>4.4405659257765302E-2</v>
      </c>
      <c r="D1547" s="14">
        <v>4.52980212849068E-2</v>
      </c>
      <c r="E1547" s="14">
        <v>4.3424785204439001E-2</v>
      </c>
      <c r="F1547" s="14"/>
      <c r="G1547" s="14" t="s">
        <v>88</v>
      </c>
      <c r="H1547" s="14">
        <v>4.2794523153719802E-2</v>
      </c>
      <c r="I1547" s="14">
        <v>4.8238335693521102E-2</v>
      </c>
      <c r="J1547" s="14">
        <v>4.1096223184657499E-2</v>
      </c>
      <c r="K1547" s="14">
        <v>4.8903799548980699E-2</v>
      </c>
      <c r="L1547" s="14">
        <v>0</v>
      </c>
      <c r="M1547" s="14"/>
      <c r="N1547" s="14">
        <v>3.8908733569007203E-2</v>
      </c>
      <c r="O1547" s="14">
        <v>3.60268635865841E-2</v>
      </c>
      <c r="P1547" s="14">
        <v>5.9938480003919901E-2</v>
      </c>
      <c r="Q1547" s="14">
        <v>4.3911399905991098E-2</v>
      </c>
      <c r="R1547" s="14"/>
      <c r="S1547" s="14">
        <v>2.41350731311861E-2</v>
      </c>
      <c r="T1547" s="14">
        <v>7.6764393334189399E-2</v>
      </c>
      <c r="U1547" s="14">
        <v>3.1118524066628399E-2</v>
      </c>
      <c r="V1547" s="14">
        <v>0.10535685951852899</v>
      </c>
      <c r="W1547" s="14">
        <v>0</v>
      </c>
      <c r="X1547" s="14">
        <v>1.86153953565023E-2</v>
      </c>
      <c r="Y1547" s="14">
        <v>2.3395289849413001E-2</v>
      </c>
      <c r="Z1547" s="14">
        <v>0</v>
      </c>
      <c r="AA1547" s="14">
        <v>8.1177246478171997E-2</v>
      </c>
      <c r="AB1547" s="14"/>
      <c r="AC1547" s="14">
        <v>0</v>
      </c>
      <c r="AD1547" s="14">
        <v>6.6220447930203694E-2</v>
      </c>
      <c r="AE1547" s="14">
        <v>5.0244544796033498E-2</v>
      </c>
      <c r="AF1547" s="14">
        <v>3.6336480149587499E-2</v>
      </c>
      <c r="AG1547" s="14">
        <v>0</v>
      </c>
      <c r="AH1547" s="14"/>
      <c r="AI1547" s="14">
        <v>4.7103478846637299E-2</v>
      </c>
      <c r="AJ1547" s="14">
        <v>4.0617133138920701E-2</v>
      </c>
      <c r="AK1547" s="14">
        <v>6.7155714756316598E-2</v>
      </c>
      <c r="AL1547" s="14">
        <v>4.4608075659764199E-2</v>
      </c>
      <c r="AM1547" s="14">
        <v>9.14869278504153E-3</v>
      </c>
      <c r="AN1547" s="14">
        <v>4.7960132472098002E-2</v>
      </c>
      <c r="AO1547" s="14"/>
      <c r="AP1547" s="14">
        <v>4.3633700348158298E-2</v>
      </c>
      <c r="AQ1547" s="14">
        <v>4.5367360883993901E-2</v>
      </c>
      <c r="AR1547" s="14"/>
      <c r="AS1547" s="14" t="s">
        <v>88</v>
      </c>
      <c r="AT1547" s="14" t="s">
        <v>88</v>
      </c>
      <c r="AU1547" s="14">
        <v>4.4405659257765302E-2</v>
      </c>
      <c r="AV1547" s="14"/>
      <c r="AW1547" s="14">
        <v>4.6099068130510401E-2</v>
      </c>
      <c r="AX1547" s="14">
        <v>2.0688197604276499E-2</v>
      </c>
      <c r="AY1547" s="14"/>
      <c r="AZ1547" s="14">
        <v>4.8139002032570898E-2</v>
      </c>
      <c r="BA1547" s="14">
        <v>2.33685510622029E-2</v>
      </c>
    </row>
    <row r="1548" spans="2:53" x14ac:dyDescent="0.35">
      <c r="B1548" t="s">
        <v>116</v>
      </c>
      <c r="C1548" s="14">
        <v>4.0836596484093803E-2</v>
      </c>
      <c r="D1548" s="14">
        <v>2.3090963473118401E-2</v>
      </c>
      <c r="E1548" s="14">
        <v>6.0342391722910699E-2</v>
      </c>
      <c r="F1548" s="14"/>
      <c r="G1548" s="14" t="s">
        <v>88</v>
      </c>
      <c r="H1548" s="14">
        <v>1.9084779125317398E-2</v>
      </c>
      <c r="I1548" s="14">
        <v>3.4101522049689699E-2</v>
      </c>
      <c r="J1548" s="14">
        <v>6.2721851450741897E-2</v>
      </c>
      <c r="K1548" s="14">
        <v>6.3575278466212904E-3</v>
      </c>
      <c r="L1548" s="14">
        <v>4.8327608748138601E-2</v>
      </c>
      <c r="M1548" s="14"/>
      <c r="N1548" s="14">
        <v>5.3731970675814103E-2</v>
      </c>
      <c r="O1548" s="14">
        <v>4.0145668226028802E-2</v>
      </c>
      <c r="P1548" s="14">
        <v>3.2510667265190002E-2</v>
      </c>
      <c r="Q1548" s="14">
        <v>3.1052040007739298E-2</v>
      </c>
      <c r="R1548" s="14"/>
      <c r="S1548" s="14">
        <v>3.3934440286128E-2</v>
      </c>
      <c r="T1548" s="14">
        <v>2.3984763127664201E-2</v>
      </c>
      <c r="U1548" s="14">
        <v>7.1695894812434005E-2</v>
      </c>
      <c r="V1548" s="14">
        <v>7.1225659221571105E-2</v>
      </c>
      <c r="W1548" s="14">
        <v>2.2645323577669699E-2</v>
      </c>
      <c r="X1548" s="14">
        <v>3.7953050332487699E-2</v>
      </c>
      <c r="Y1548" s="14">
        <v>5.7276693940010497E-2</v>
      </c>
      <c r="Z1548" s="14">
        <v>8.5286214678772204E-2</v>
      </c>
      <c r="AA1548" s="14">
        <v>0</v>
      </c>
      <c r="AB1548" s="14"/>
      <c r="AC1548" s="14">
        <v>4.8351031229954503E-2</v>
      </c>
      <c r="AD1548" s="14">
        <v>2.3552509706381002E-2</v>
      </c>
      <c r="AE1548" s="14">
        <v>5.9857856226297697E-2</v>
      </c>
      <c r="AF1548" s="14">
        <v>1.7965905935126598E-2</v>
      </c>
      <c r="AG1548" s="14">
        <v>1.7425271353379099E-2</v>
      </c>
      <c r="AH1548" s="14"/>
      <c r="AI1548" s="14">
        <v>3.8954852151953101E-2</v>
      </c>
      <c r="AJ1548" s="14">
        <v>7.2011229087610698E-3</v>
      </c>
      <c r="AK1548" s="14">
        <v>0.101460556686622</v>
      </c>
      <c r="AL1548" s="14">
        <v>3.8242483431038303E-2</v>
      </c>
      <c r="AM1548" s="14">
        <v>4.8456275037603302E-2</v>
      </c>
      <c r="AN1548" s="14">
        <v>9.0080503477250801E-2</v>
      </c>
      <c r="AO1548" s="14"/>
      <c r="AP1548" s="14">
        <v>4.0292936378701801E-2</v>
      </c>
      <c r="AQ1548" s="14">
        <v>4.1513884874659998E-2</v>
      </c>
      <c r="AR1548" s="14"/>
      <c r="AS1548" s="14" t="s">
        <v>88</v>
      </c>
      <c r="AT1548" s="14" t="s">
        <v>88</v>
      </c>
      <c r="AU1548" s="14">
        <v>4.0836596484093803E-2</v>
      </c>
      <c r="AV1548" s="14"/>
      <c r="AW1548" s="14">
        <v>3.7169040866807897E-2</v>
      </c>
      <c r="AX1548" s="14">
        <v>1.7487976301827302E-2</v>
      </c>
      <c r="AY1548" s="14"/>
      <c r="AZ1548" s="14">
        <v>3.2890110926888698E-2</v>
      </c>
      <c r="BA1548" s="14">
        <v>8.7509164672456299E-2</v>
      </c>
    </row>
    <row r="1549" spans="2:53" x14ac:dyDescent="0.35"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  <c r="AO1549" s="14"/>
      <c r="AP1549" s="14"/>
      <c r="AQ1549" s="14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</row>
    <row r="1550" spans="2:53" x14ac:dyDescent="0.35">
      <c r="B1550" s="6" t="s">
        <v>371</v>
      </c>
      <c r="C1550" s="14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</row>
    <row r="1551" spans="2:53" x14ac:dyDescent="0.35">
      <c r="B1551" s="30" t="s">
        <v>463</v>
      </c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</row>
    <row r="1552" spans="2:53" x14ac:dyDescent="0.35">
      <c r="B1552" t="s">
        <v>220</v>
      </c>
      <c r="C1552" s="14">
        <v>0.22250589884789099</v>
      </c>
      <c r="D1552" s="14">
        <v>0.24789458101859099</v>
      </c>
      <c r="E1552" s="14">
        <v>0.19459895207970401</v>
      </c>
      <c r="F1552" s="14"/>
      <c r="G1552" s="14" t="s">
        <v>88</v>
      </c>
      <c r="H1552" s="14">
        <v>0.20548092898415801</v>
      </c>
      <c r="I1552" s="14">
        <v>0.21743154206627299</v>
      </c>
      <c r="J1552" s="14">
        <v>0.222497102378448</v>
      </c>
      <c r="K1552" s="14">
        <v>0.26210877756698903</v>
      </c>
      <c r="L1552" s="14">
        <v>0.24930978308374199</v>
      </c>
      <c r="M1552" s="14"/>
      <c r="N1552" s="14">
        <v>0.22183960598128699</v>
      </c>
      <c r="O1552" s="14">
        <v>0.163588817888208</v>
      </c>
      <c r="P1552" s="14">
        <v>0.26111684776606497</v>
      </c>
      <c r="Q1552" s="14">
        <v>0.243320992543405</v>
      </c>
      <c r="R1552" s="14"/>
      <c r="S1552" s="14">
        <v>0.33416505659268297</v>
      </c>
      <c r="T1552" s="14">
        <v>0.238281576345756</v>
      </c>
      <c r="U1552" s="14">
        <v>5.4538552105669699E-2</v>
      </c>
      <c r="V1552" s="14">
        <v>0.23744436350542</v>
      </c>
      <c r="W1552" s="14">
        <v>0.14643767700079</v>
      </c>
      <c r="X1552" s="14">
        <v>0.282017486264656</v>
      </c>
      <c r="Y1552" s="14">
        <v>0.12943078422781501</v>
      </c>
      <c r="Z1552" s="14">
        <v>0.20323705160633501</v>
      </c>
      <c r="AA1552" s="14">
        <v>0.241194720396325</v>
      </c>
      <c r="AB1552" s="14"/>
      <c r="AC1552" s="14">
        <v>0.24411830395891199</v>
      </c>
      <c r="AD1552" s="14">
        <v>0.180544181624407</v>
      </c>
      <c r="AE1552" s="14">
        <v>0.17497456494122601</v>
      </c>
      <c r="AF1552" s="14">
        <v>0.26530889362337701</v>
      </c>
      <c r="AG1552" s="14">
        <v>0.412458904440481</v>
      </c>
      <c r="AH1552" s="14"/>
      <c r="AI1552" s="14">
        <v>0.26086629563098701</v>
      </c>
      <c r="AJ1552" s="14">
        <v>0.20603525737381201</v>
      </c>
      <c r="AK1552" s="14">
        <v>0.18666523395779999</v>
      </c>
      <c r="AL1552" s="14">
        <v>0.17226957897760301</v>
      </c>
      <c r="AM1552" s="14">
        <v>0.24029380036773301</v>
      </c>
      <c r="AN1552" s="14">
        <v>0.26684215113848497</v>
      </c>
      <c r="AO1552" s="14"/>
      <c r="AP1552" s="14">
        <v>0.28271700535611299</v>
      </c>
      <c r="AQ1552" s="14">
        <v>0.147495275451553</v>
      </c>
      <c r="AR1552" s="14"/>
      <c r="AS1552" s="14" t="s">
        <v>88</v>
      </c>
      <c r="AT1552" s="14" t="s">
        <v>88</v>
      </c>
      <c r="AU1552" s="14">
        <v>0.22250589884789099</v>
      </c>
      <c r="AV1552" s="14"/>
      <c r="AW1552" s="14">
        <v>0.21362930768260399</v>
      </c>
      <c r="AX1552" s="14">
        <v>0.30991175585933101</v>
      </c>
      <c r="AY1552" s="14"/>
      <c r="AZ1552" s="14">
        <v>0.244033701299848</v>
      </c>
      <c r="BA1552" s="14">
        <v>0.10072865542432299</v>
      </c>
    </row>
    <row r="1553" spans="2:53" x14ac:dyDescent="0.35">
      <c r="B1553" t="s">
        <v>221</v>
      </c>
      <c r="C1553" s="14">
        <v>0.46648055999661497</v>
      </c>
      <c r="D1553" s="14">
        <v>0.484176826191621</v>
      </c>
      <c r="E1553" s="14">
        <v>0.44702902819282497</v>
      </c>
      <c r="F1553" s="14"/>
      <c r="G1553" s="14" t="s">
        <v>88</v>
      </c>
      <c r="H1553" s="14">
        <v>0.50446319835278597</v>
      </c>
      <c r="I1553" s="14">
        <v>0.47321190919295197</v>
      </c>
      <c r="J1553" s="14">
        <v>0.46211517390977203</v>
      </c>
      <c r="K1553" s="14">
        <v>0.38367983206558998</v>
      </c>
      <c r="L1553" s="14">
        <v>0.59968608996422101</v>
      </c>
      <c r="M1553" s="14"/>
      <c r="N1553" s="14">
        <v>0.48853357541327902</v>
      </c>
      <c r="O1553" s="14">
        <v>0.50453712302210796</v>
      </c>
      <c r="P1553" s="14">
        <v>0.45346759003752402</v>
      </c>
      <c r="Q1553" s="14">
        <v>0.40752107985923902</v>
      </c>
      <c r="R1553" s="14"/>
      <c r="S1553" s="14">
        <v>0.41482331424304397</v>
      </c>
      <c r="T1553" s="14">
        <v>0.36208659624229</v>
      </c>
      <c r="U1553" s="14">
        <v>0.489800243503143</v>
      </c>
      <c r="V1553" s="14">
        <v>0.43894331888452998</v>
      </c>
      <c r="W1553" s="14">
        <v>0.53117106393855895</v>
      </c>
      <c r="X1553" s="14">
        <v>0.52807972902448896</v>
      </c>
      <c r="Y1553" s="14">
        <v>0.55600097637124402</v>
      </c>
      <c r="Z1553" s="14">
        <v>0.58439889032050496</v>
      </c>
      <c r="AA1553" s="14">
        <v>0.45919285197827497</v>
      </c>
      <c r="AB1553" s="14"/>
      <c r="AC1553" s="14">
        <v>0.47856814339665998</v>
      </c>
      <c r="AD1553" s="14">
        <v>0.47459641189558099</v>
      </c>
      <c r="AE1553" s="14">
        <v>0.50801252956582299</v>
      </c>
      <c r="AF1553" s="14">
        <v>0.49312136517164701</v>
      </c>
      <c r="AG1553" s="14">
        <v>0.38792574371694399</v>
      </c>
      <c r="AH1553" s="14"/>
      <c r="AI1553" s="14">
        <v>0.46984340187629797</v>
      </c>
      <c r="AJ1553" s="14">
        <v>0.51471569636673598</v>
      </c>
      <c r="AK1553" s="14">
        <v>0.49675314938466297</v>
      </c>
      <c r="AL1553" s="14">
        <v>0.454091972673769</v>
      </c>
      <c r="AM1553" s="14">
        <v>0.29714408169802797</v>
      </c>
      <c r="AN1553" s="14">
        <v>0.48077003633467003</v>
      </c>
      <c r="AO1553" s="14"/>
      <c r="AP1553" s="14">
        <v>0.43880595699578201</v>
      </c>
      <c r="AQ1553" s="14">
        <v>0.50095740893236995</v>
      </c>
      <c r="AR1553" s="14"/>
      <c r="AS1553" s="14" t="s">
        <v>88</v>
      </c>
      <c r="AT1553" s="14" t="s">
        <v>88</v>
      </c>
      <c r="AU1553" s="14">
        <v>0.46648055999661497</v>
      </c>
      <c r="AV1553" s="14"/>
      <c r="AW1553" s="14">
        <v>0.47393275760977299</v>
      </c>
      <c r="AX1553" s="14">
        <v>0.458365713104396</v>
      </c>
      <c r="AY1553" s="14"/>
      <c r="AZ1553" s="14">
        <v>0.47578106954080301</v>
      </c>
      <c r="BA1553" s="14">
        <v>0.40505608550047001</v>
      </c>
    </row>
    <row r="1554" spans="2:53" x14ac:dyDescent="0.35">
      <c r="B1554" t="s">
        <v>222</v>
      </c>
      <c r="C1554" s="14">
        <v>0.21146424082279799</v>
      </c>
      <c r="D1554" s="14">
        <v>0.161204529002174</v>
      </c>
      <c r="E1554" s="14">
        <v>0.26670913667569401</v>
      </c>
      <c r="F1554" s="14"/>
      <c r="G1554" s="14" t="s">
        <v>88</v>
      </c>
      <c r="H1554" s="14">
        <v>0.223785306976688</v>
      </c>
      <c r="I1554" s="14">
        <v>0.21266126865752999</v>
      </c>
      <c r="J1554" s="14">
        <v>0.211223543189587</v>
      </c>
      <c r="K1554" s="14">
        <v>0.22308854710933601</v>
      </c>
      <c r="L1554" s="14">
        <v>4.8327608748138601E-2</v>
      </c>
      <c r="M1554" s="14"/>
      <c r="N1554" s="14">
        <v>0.19283675838870701</v>
      </c>
      <c r="O1554" s="14">
        <v>0.214849185451609</v>
      </c>
      <c r="P1554" s="14">
        <v>0.185246744599456</v>
      </c>
      <c r="Q1554" s="14">
        <v>0.26457540616604902</v>
      </c>
      <c r="R1554" s="14"/>
      <c r="S1554" s="14">
        <v>0.17745714594838499</v>
      </c>
      <c r="T1554" s="14">
        <v>0.27847354919668199</v>
      </c>
      <c r="U1554" s="14">
        <v>0.254613452903028</v>
      </c>
      <c r="V1554" s="14">
        <v>0.27836990500672998</v>
      </c>
      <c r="W1554" s="14">
        <v>0.160639534593952</v>
      </c>
      <c r="X1554" s="14">
        <v>0.145375021468615</v>
      </c>
      <c r="Y1554" s="14">
        <v>0.19806015008374001</v>
      </c>
      <c r="Z1554" s="14">
        <v>0.112617711040312</v>
      </c>
      <c r="AA1554" s="14">
        <v>0.23388247356479999</v>
      </c>
      <c r="AB1554" s="14"/>
      <c r="AC1554" s="14">
        <v>0.20581959883801099</v>
      </c>
      <c r="AD1554" s="14">
        <v>0.26377303772482302</v>
      </c>
      <c r="AE1554" s="14">
        <v>0.185212755440812</v>
      </c>
      <c r="AF1554" s="14">
        <v>0.169159990581943</v>
      </c>
      <c r="AG1554" s="14">
        <v>0.15579014527316401</v>
      </c>
      <c r="AH1554" s="14"/>
      <c r="AI1554" s="14">
        <v>0.18412999153516399</v>
      </c>
      <c r="AJ1554" s="14">
        <v>0.20440198455282399</v>
      </c>
      <c r="AK1554" s="14">
        <v>0.19984422307157201</v>
      </c>
      <c r="AL1554" s="14">
        <v>0.221168861375235</v>
      </c>
      <c r="AM1554" s="14">
        <v>0.34966398428274398</v>
      </c>
      <c r="AN1554" s="14">
        <v>0.15608443787148499</v>
      </c>
      <c r="AO1554" s="14"/>
      <c r="AP1554" s="14">
        <v>0.18859473364792601</v>
      </c>
      <c r="AQ1554" s="14">
        <v>0.23995493115282801</v>
      </c>
      <c r="AR1554" s="14"/>
      <c r="AS1554" s="14" t="s">
        <v>88</v>
      </c>
      <c r="AT1554" s="14" t="s">
        <v>88</v>
      </c>
      <c r="AU1554" s="14">
        <v>0.21146424082279799</v>
      </c>
      <c r="AV1554" s="14"/>
      <c r="AW1554" s="14">
        <v>0.213676205824196</v>
      </c>
      <c r="AX1554" s="14">
        <v>0.14044254376982501</v>
      </c>
      <c r="AY1554" s="14"/>
      <c r="AZ1554" s="14">
        <v>0.19872847969621199</v>
      </c>
      <c r="BA1554" s="14">
        <v>0.28830989545399999</v>
      </c>
    </row>
    <row r="1555" spans="2:53" x14ac:dyDescent="0.35">
      <c r="B1555" t="s">
        <v>223</v>
      </c>
      <c r="C1555" s="14">
        <v>1.11081601375478E-2</v>
      </c>
      <c r="D1555" s="14">
        <v>5.3528417864399797E-3</v>
      </c>
      <c r="E1555" s="14">
        <v>1.74343397233357E-2</v>
      </c>
      <c r="F1555" s="14"/>
      <c r="G1555" s="14" t="s">
        <v>88</v>
      </c>
      <c r="H1555" s="14">
        <v>0</v>
      </c>
      <c r="I1555" s="14">
        <v>1.2408188028888999E-2</v>
      </c>
      <c r="J1555" s="14">
        <v>1.5652602842382402E-2</v>
      </c>
      <c r="K1555" s="14">
        <v>0</v>
      </c>
      <c r="L1555" s="14">
        <v>0</v>
      </c>
      <c r="M1555" s="14"/>
      <c r="N1555" s="14">
        <v>3.6106872712434999E-3</v>
      </c>
      <c r="O1555" s="14">
        <v>3.5873339414996E-2</v>
      </c>
      <c r="P1555" s="14">
        <v>7.7650365209389199E-3</v>
      </c>
      <c r="Q1555" s="14">
        <v>0</v>
      </c>
      <c r="R1555" s="14"/>
      <c r="S1555" s="14">
        <v>1.89015985662476E-2</v>
      </c>
      <c r="T1555" s="14">
        <v>1.76475594711283E-2</v>
      </c>
      <c r="U1555" s="14">
        <v>0</v>
      </c>
      <c r="V1555" s="14">
        <v>1.7107174877772899E-2</v>
      </c>
      <c r="W1555" s="14">
        <v>0</v>
      </c>
      <c r="X1555" s="14">
        <v>1.86153953565023E-2</v>
      </c>
      <c r="Y1555" s="14">
        <v>0</v>
      </c>
      <c r="Z1555" s="14">
        <v>0</v>
      </c>
      <c r="AA1555" s="14">
        <v>1.0055811176972801E-2</v>
      </c>
      <c r="AB1555" s="14"/>
      <c r="AC1555" s="14">
        <v>0</v>
      </c>
      <c r="AD1555" s="14">
        <v>1.30487060549449E-2</v>
      </c>
      <c r="AE1555" s="14">
        <v>1.6399684171452E-2</v>
      </c>
      <c r="AF1555" s="14">
        <v>8.5902475937316303E-3</v>
      </c>
      <c r="AG1555" s="14">
        <v>0</v>
      </c>
      <c r="AH1555" s="14"/>
      <c r="AI1555" s="14">
        <v>1.2541327737956701E-2</v>
      </c>
      <c r="AJ1555" s="14">
        <v>0</v>
      </c>
      <c r="AK1555" s="14">
        <v>1.7307288895025402E-2</v>
      </c>
      <c r="AL1555" s="14">
        <v>1.9509402203756101E-2</v>
      </c>
      <c r="AM1555" s="14">
        <v>0</v>
      </c>
      <c r="AN1555" s="14">
        <v>3.8086649592394002E-2</v>
      </c>
      <c r="AO1555" s="14"/>
      <c r="AP1555" s="14">
        <v>1.13994774883117E-2</v>
      </c>
      <c r="AQ1555" s="14">
        <v>1.07452387870827E-2</v>
      </c>
      <c r="AR1555" s="14"/>
      <c r="AS1555" s="14" t="s">
        <v>88</v>
      </c>
      <c r="AT1555" s="14" t="s">
        <v>88</v>
      </c>
      <c r="AU1555" s="14">
        <v>1.11081601375478E-2</v>
      </c>
      <c r="AV1555" s="14"/>
      <c r="AW1555" s="14">
        <v>1.5312769328432001E-2</v>
      </c>
      <c r="AX1555" s="14">
        <v>0</v>
      </c>
      <c r="AY1555" s="14"/>
      <c r="AZ1555" s="14">
        <v>1.16575575703575E-2</v>
      </c>
      <c r="BA1555" s="14">
        <v>8.0763661581183099E-3</v>
      </c>
    </row>
    <row r="1556" spans="2:53" x14ac:dyDescent="0.35">
      <c r="B1556" t="s">
        <v>116</v>
      </c>
      <c r="C1556" s="14">
        <v>1.1930537805558101E-2</v>
      </c>
      <c r="D1556" s="14">
        <v>6.5196226569298604E-3</v>
      </c>
      <c r="E1556" s="14">
        <v>1.78781533613671E-2</v>
      </c>
      <c r="F1556" s="14"/>
      <c r="G1556" s="14" t="s">
        <v>88</v>
      </c>
      <c r="H1556" s="14">
        <v>4.3679664095927703E-3</v>
      </c>
      <c r="I1556" s="14">
        <v>8.6524001569624406E-3</v>
      </c>
      <c r="J1556" s="14">
        <v>2.1308598561315301E-2</v>
      </c>
      <c r="K1556" s="14">
        <v>0</v>
      </c>
      <c r="L1556" s="14">
        <v>0</v>
      </c>
      <c r="M1556" s="14"/>
      <c r="N1556" s="14">
        <v>7.6229352040318504E-3</v>
      </c>
      <c r="O1556" s="14">
        <v>1.7030102463245701E-2</v>
      </c>
      <c r="P1556" s="14">
        <v>1.38049354723113E-2</v>
      </c>
      <c r="Q1556" s="14">
        <v>1.1085576970131E-2</v>
      </c>
      <c r="R1556" s="14"/>
      <c r="S1556" s="14">
        <v>0</v>
      </c>
      <c r="T1556" s="14">
        <v>1.0789296073309199E-2</v>
      </c>
      <c r="U1556" s="14">
        <v>2.14331638212743E-2</v>
      </c>
      <c r="V1556" s="14">
        <v>3.9153487047704303E-3</v>
      </c>
      <c r="W1556" s="14">
        <v>0</v>
      </c>
      <c r="X1556" s="14">
        <v>9.8314759143773595E-3</v>
      </c>
      <c r="Y1556" s="14">
        <v>3.7085435418170803E-2</v>
      </c>
      <c r="Z1556" s="14">
        <v>5.3521637127850401E-2</v>
      </c>
      <c r="AA1556" s="14">
        <v>0</v>
      </c>
      <c r="AB1556" s="14"/>
      <c r="AC1556" s="14">
        <v>1.09379828427951E-2</v>
      </c>
      <c r="AD1556" s="14">
        <v>1.5036223998659301E-2</v>
      </c>
      <c r="AE1556" s="14">
        <v>1.1701256114621399E-2</v>
      </c>
      <c r="AF1556" s="14">
        <v>2.15564626968904E-3</v>
      </c>
      <c r="AG1556" s="14">
        <v>0</v>
      </c>
      <c r="AH1556" s="14"/>
      <c r="AI1556" s="14">
        <v>1.3932651081413601E-2</v>
      </c>
      <c r="AJ1556" s="14">
        <v>2.12975437618568E-3</v>
      </c>
      <c r="AK1556" s="14">
        <v>0</v>
      </c>
      <c r="AL1556" s="14">
        <v>3.1183573719444298E-2</v>
      </c>
      <c r="AM1556" s="14">
        <v>0</v>
      </c>
      <c r="AN1556" s="14">
        <v>0</v>
      </c>
      <c r="AO1556" s="14"/>
      <c r="AP1556" s="14">
        <v>4.5100286960506001E-3</v>
      </c>
      <c r="AQ1556" s="14">
        <v>2.1174962073800901E-2</v>
      </c>
      <c r="AR1556" s="14"/>
      <c r="AS1556" s="14" t="s">
        <v>88</v>
      </c>
      <c r="AT1556" s="14" t="s">
        <v>88</v>
      </c>
      <c r="AU1556" s="14">
        <v>1.1930537805558101E-2</v>
      </c>
      <c r="AV1556" s="14"/>
      <c r="AW1556" s="14">
        <v>1.2811165326709799E-2</v>
      </c>
      <c r="AX1556" s="14">
        <v>2.15655981430118E-3</v>
      </c>
      <c r="AY1556" s="14"/>
      <c r="AZ1556" s="14">
        <v>9.5525496589985194E-3</v>
      </c>
      <c r="BA1556" s="14">
        <v>2.58932605818878E-2</v>
      </c>
    </row>
    <row r="1557" spans="2:53" x14ac:dyDescent="0.35">
      <c r="B1557" t="s">
        <v>224</v>
      </c>
      <c r="C1557" s="14">
        <v>0.68898645884450604</v>
      </c>
      <c r="D1557" s="14">
        <v>0.73207140721021202</v>
      </c>
      <c r="E1557" s="14">
        <v>0.64162798027252899</v>
      </c>
      <c r="F1557" s="14"/>
      <c r="G1557" s="14" t="s">
        <v>88</v>
      </c>
      <c r="H1557" s="14">
        <v>0.70994412733694401</v>
      </c>
      <c r="I1557" s="14">
        <v>0.69064345125922499</v>
      </c>
      <c r="J1557" s="14">
        <v>0.68461227628821997</v>
      </c>
      <c r="K1557" s="14">
        <v>0.645788609632578</v>
      </c>
      <c r="L1557" s="14">
        <v>0.84899587304796298</v>
      </c>
      <c r="M1557" s="14"/>
      <c r="N1557" s="14">
        <v>0.71037318139456496</v>
      </c>
      <c r="O1557" s="14">
        <v>0.66812594091031596</v>
      </c>
      <c r="P1557" s="14">
        <v>0.71458443780358905</v>
      </c>
      <c r="Q1557" s="14">
        <v>0.65084207240264402</v>
      </c>
      <c r="R1557" s="14"/>
      <c r="S1557" s="14">
        <v>0.748988370835726</v>
      </c>
      <c r="T1557" s="14">
        <v>0.60036817258804498</v>
      </c>
      <c r="U1557" s="14">
        <v>0.54433879560881304</v>
      </c>
      <c r="V1557" s="14">
        <v>0.67638768238994995</v>
      </c>
      <c r="W1557" s="14">
        <v>0.67760874093934798</v>
      </c>
      <c r="X1557" s="14">
        <v>0.81009721528914502</v>
      </c>
      <c r="Y1557" s="14">
        <v>0.68543176059905897</v>
      </c>
      <c r="Z1557" s="14">
        <v>0.78763594192684006</v>
      </c>
      <c r="AA1557" s="14">
        <v>0.70038757237460003</v>
      </c>
      <c r="AB1557" s="14"/>
      <c r="AC1557" s="14">
        <v>0.72268644735557197</v>
      </c>
      <c r="AD1557" s="14">
        <v>0.65514059351998799</v>
      </c>
      <c r="AE1557" s="14">
        <v>0.68298709450704997</v>
      </c>
      <c r="AF1557" s="14">
        <v>0.75843025879502401</v>
      </c>
      <c r="AG1557" s="14">
        <v>0.80038464815742605</v>
      </c>
      <c r="AH1557" s="14"/>
      <c r="AI1557" s="14">
        <v>0.73070969750728498</v>
      </c>
      <c r="AJ1557" s="14">
        <v>0.72075095374054798</v>
      </c>
      <c r="AK1557" s="14">
        <v>0.68341838334246297</v>
      </c>
      <c r="AL1557" s="14">
        <v>0.62636155165137197</v>
      </c>
      <c r="AM1557" s="14">
        <v>0.53743788206576104</v>
      </c>
      <c r="AN1557" s="14">
        <v>0.74761218747315505</v>
      </c>
      <c r="AO1557" s="14"/>
      <c r="AP1557" s="14">
        <v>0.72152296235189595</v>
      </c>
      <c r="AQ1557" s="14">
        <v>0.64845268438392301</v>
      </c>
      <c r="AR1557" s="14"/>
      <c r="AS1557" s="14" t="s">
        <v>88</v>
      </c>
      <c r="AT1557" s="14" t="s">
        <v>88</v>
      </c>
      <c r="AU1557" s="14">
        <v>0.68898645884450604</v>
      </c>
      <c r="AV1557" s="14"/>
      <c r="AW1557" s="14">
        <v>0.68756206529237696</v>
      </c>
      <c r="AX1557" s="14">
        <v>0.76827746896372695</v>
      </c>
      <c r="AY1557" s="14"/>
      <c r="AZ1557" s="14">
        <v>0.71981477084065104</v>
      </c>
      <c r="BA1557" s="14">
        <v>0.50578474092479297</v>
      </c>
    </row>
    <row r="1558" spans="2:53" x14ac:dyDescent="0.35"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/>
      <c r="AN1558" s="14"/>
      <c r="AO1558" s="14"/>
      <c r="AP1558" s="14"/>
      <c r="AQ1558" s="14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</row>
    <row r="1559" spans="2:53" x14ac:dyDescent="0.35">
      <c r="B1559" s="6" t="s">
        <v>372</v>
      </c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</row>
    <row r="1560" spans="2:53" x14ac:dyDescent="0.35">
      <c r="B1560" s="30" t="s">
        <v>463</v>
      </c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  <c r="AO1560" s="14"/>
      <c r="AP1560" s="14"/>
      <c r="AQ1560" s="14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</row>
    <row r="1561" spans="2:53" x14ac:dyDescent="0.35">
      <c r="B1561" t="s">
        <v>226</v>
      </c>
      <c r="C1561" s="14">
        <v>0.19826282257015501</v>
      </c>
      <c r="D1561" s="14">
        <v>0.22723918874452401</v>
      </c>
      <c r="E1561" s="14">
        <v>0.16641233490298399</v>
      </c>
      <c r="F1561" s="14"/>
      <c r="G1561" s="14" t="s">
        <v>88</v>
      </c>
      <c r="H1561" s="14">
        <v>0.19866040345390801</v>
      </c>
      <c r="I1561" s="14">
        <v>0.187338955082094</v>
      </c>
      <c r="J1561" s="14">
        <v>0.20735751148502701</v>
      </c>
      <c r="K1561" s="14">
        <v>0.14165882459812201</v>
      </c>
      <c r="L1561" s="14">
        <v>0.59270610549252001</v>
      </c>
      <c r="M1561" s="14"/>
      <c r="N1561" s="14">
        <v>0.24169150791272501</v>
      </c>
      <c r="O1561" s="14">
        <v>0.158547740784101</v>
      </c>
      <c r="P1561" s="14">
        <v>0.20242301294614901</v>
      </c>
      <c r="Q1561" s="14">
        <v>0.16767491609958801</v>
      </c>
      <c r="R1561" s="14"/>
      <c r="S1561" s="14">
        <v>0.33130110749620501</v>
      </c>
      <c r="T1561" s="14">
        <v>0.208867969493334</v>
      </c>
      <c r="U1561" s="14">
        <v>0.100909108192466</v>
      </c>
      <c r="V1561" s="14">
        <v>0.10628176279097901</v>
      </c>
      <c r="W1561" s="14">
        <v>0.128438220815904</v>
      </c>
      <c r="X1561" s="14">
        <v>0.26725841574714498</v>
      </c>
      <c r="Y1561" s="14">
        <v>0.114344502063161</v>
      </c>
      <c r="Z1561" s="14">
        <v>0.22932659668835101</v>
      </c>
      <c r="AA1561" s="14">
        <v>0.18409216975247</v>
      </c>
      <c r="AB1561" s="14"/>
      <c r="AC1561" s="14">
        <v>0.17370900766979999</v>
      </c>
      <c r="AD1561" s="14">
        <v>8.0643930625473398E-2</v>
      </c>
      <c r="AE1561" s="14">
        <v>0.23322020388244399</v>
      </c>
      <c r="AF1561" s="14">
        <v>0.24365326910354501</v>
      </c>
      <c r="AG1561" s="14">
        <v>0.51126132035932303</v>
      </c>
      <c r="AH1561" s="14"/>
      <c r="AI1561" s="14">
        <v>0.24111090755105799</v>
      </c>
      <c r="AJ1561" s="14">
        <v>0.18617321757649499</v>
      </c>
      <c r="AK1561" s="14">
        <v>0.202590188187702</v>
      </c>
      <c r="AL1561" s="14">
        <v>0.15523978247994499</v>
      </c>
      <c r="AM1561" s="14">
        <v>0.110759876826929</v>
      </c>
      <c r="AN1561" s="14">
        <v>0.261005671806393</v>
      </c>
      <c r="AO1561" s="14"/>
      <c r="AP1561" s="14">
        <v>0.24195823651996501</v>
      </c>
      <c r="AQ1561" s="14">
        <v>0.14382734662538599</v>
      </c>
      <c r="AR1561" s="14"/>
      <c r="AS1561" s="14" t="s">
        <v>88</v>
      </c>
      <c r="AT1561" s="14" t="s">
        <v>88</v>
      </c>
      <c r="AU1561" s="14">
        <v>0.19826282257015501</v>
      </c>
      <c r="AV1561" s="14"/>
      <c r="AW1561" s="14">
        <v>0.17982039447355599</v>
      </c>
      <c r="AX1561" s="14">
        <v>0.30758566577554203</v>
      </c>
      <c r="AY1561" s="14"/>
      <c r="AZ1561" s="14">
        <v>0.21632238551511301</v>
      </c>
      <c r="BA1561" s="14">
        <v>9.6266949357211903E-2</v>
      </c>
    </row>
    <row r="1562" spans="2:53" x14ac:dyDescent="0.35">
      <c r="B1562" t="s">
        <v>227</v>
      </c>
      <c r="C1562" s="14">
        <v>0.37687327616480898</v>
      </c>
      <c r="D1562" s="14">
        <v>0.40070843902273201</v>
      </c>
      <c r="E1562" s="14">
        <v>0.350673939916677</v>
      </c>
      <c r="F1562" s="14"/>
      <c r="G1562" s="14" t="s">
        <v>88</v>
      </c>
      <c r="H1562" s="14">
        <v>0.36362395268917902</v>
      </c>
      <c r="I1562" s="14">
        <v>0.408823101148234</v>
      </c>
      <c r="J1562" s="14">
        <v>0.35053859383080999</v>
      </c>
      <c r="K1562" s="14">
        <v>0.349531417247056</v>
      </c>
      <c r="L1562" s="14">
        <v>0.32592290203524898</v>
      </c>
      <c r="M1562" s="14"/>
      <c r="N1562" s="14">
        <v>0.33637647767127998</v>
      </c>
      <c r="O1562" s="14">
        <v>0.395810122036443</v>
      </c>
      <c r="P1562" s="14">
        <v>0.40601248099496401</v>
      </c>
      <c r="Q1562" s="14">
        <v>0.38911417690481998</v>
      </c>
      <c r="R1562" s="14"/>
      <c r="S1562" s="14">
        <v>0.36418566401535801</v>
      </c>
      <c r="T1562" s="14">
        <v>0.32567313249658503</v>
      </c>
      <c r="U1562" s="14">
        <v>0.29898540021991898</v>
      </c>
      <c r="V1562" s="14">
        <v>0.40324843072253402</v>
      </c>
      <c r="W1562" s="14">
        <v>0.42582366962701801</v>
      </c>
      <c r="X1562" s="14">
        <v>0.391567048112134</v>
      </c>
      <c r="Y1562" s="14">
        <v>0.51259086689495603</v>
      </c>
      <c r="Z1562" s="14">
        <v>0.36978825942740001</v>
      </c>
      <c r="AA1562" s="14">
        <v>0.35887292551177102</v>
      </c>
      <c r="AB1562" s="14"/>
      <c r="AC1562" s="14">
        <v>0.404157125921835</v>
      </c>
      <c r="AD1562" s="14">
        <v>0.42346989538232399</v>
      </c>
      <c r="AE1562" s="14">
        <v>0.360130295158613</v>
      </c>
      <c r="AF1562" s="14">
        <v>0.423884235108129</v>
      </c>
      <c r="AG1562" s="14">
        <v>0.26057065481137798</v>
      </c>
      <c r="AH1562" s="14"/>
      <c r="AI1562" s="14">
        <v>0.387735466363127</v>
      </c>
      <c r="AJ1562" s="14">
        <v>0.41010303842382101</v>
      </c>
      <c r="AK1562" s="14">
        <v>0.43379351766990998</v>
      </c>
      <c r="AL1562" s="14">
        <v>0.31970905851167403</v>
      </c>
      <c r="AM1562" s="14">
        <v>0.32706518560025299</v>
      </c>
      <c r="AN1562" s="14">
        <v>0.43828609439600003</v>
      </c>
      <c r="AO1562" s="14"/>
      <c r="AP1562" s="14">
        <v>0.37029681196126701</v>
      </c>
      <c r="AQ1562" s="14">
        <v>0.38506619451923402</v>
      </c>
      <c r="AR1562" s="14"/>
      <c r="AS1562" s="14" t="s">
        <v>88</v>
      </c>
      <c r="AT1562" s="14" t="s">
        <v>88</v>
      </c>
      <c r="AU1562" s="14">
        <v>0.37687327616480898</v>
      </c>
      <c r="AV1562" s="14"/>
      <c r="AW1562" s="14">
        <v>0.390593331086176</v>
      </c>
      <c r="AX1562" s="14">
        <v>0.39965517962545999</v>
      </c>
      <c r="AY1562" s="14"/>
      <c r="AZ1562" s="14">
        <v>0.39292459576875999</v>
      </c>
      <c r="BA1562" s="14">
        <v>0.27503015555196197</v>
      </c>
    </row>
    <row r="1563" spans="2:53" x14ac:dyDescent="0.35">
      <c r="B1563" t="s">
        <v>228</v>
      </c>
      <c r="C1563" s="14">
        <v>0.24431291607781999</v>
      </c>
      <c r="D1563" s="14">
        <v>0.22914769545164301</v>
      </c>
      <c r="E1563" s="14">
        <v>0.26098235176956203</v>
      </c>
      <c r="F1563" s="14"/>
      <c r="G1563" s="14" t="s">
        <v>88</v>
      </c>
      <c r="H1563" s="14">
        <v>0.174092187355705</v>
      </c>
      <c r="I1563" s="14">
        <v>0.24568291730716799</v>
      </c>
      <c r="J1563" s="14">
        <v>0.25706597356442901</v>
      </c>
      <c r="K1563" s="14">
        <v>0.30156527859193799</v>
      </c>
      <c r="L1563" s="14">
        <v>3.3043383724092497E-2</v>
      </c>
      <c r="M1563" s="14"/>
      <c r="N1563" s="14">
        <v>0.267955603501769</v>
      </c>
      <c r="O1563" s="14">
        <v>0.25081698231842597</v>
      </c>
      <c r="P1563" s="14">
        <v>0.23658172807986699</v>
      </c>
      <c r="Q1563" s="14">
        <v>0.20191579018820799</v>
      </c>
      <c r="R1563" s="14"/>
      <c r="S1563" s="14">
        <v>0.204624760302035</v>
      </c>
      <c r="T1563" s="14">
        <v>0.25603293992042703</v>
      </c>
      <c r="U1563" s="14">
        <v>0.496357495486697</v>
      </c>
      <c r="V1563" s="14">
        <v>0.24847132300767699</v>
      </c>
      <c r="W1563" s="14">
        <v>0.16360363420395599</v>
      </c>
      <c r="X1563" s="14">
        <v>0.19678591836491199</v>
      </c>
      <c r="Y1563" s="14">
        <v>0.187656468615675</v>
      </c>
      <c r="Z1563" s="14">
        <v>0.102238862917242</v>
      </c>
      <c r="AA1563" s="14">
        <v>0.29588598199303501</v>
      </c>
      <c r="AB1563" s="14"/>
      <c r="AC1563" s="14">
        <v>0.20810884517568101</v>
      </c>
      <c r="AD1563" s="14">
        <v>0.31642074419021998</v>
      </c>
      <c r="AE1563" s="14">
        <v>0.21930845726680601</v>
      </c>
      <c r="AF1563" s="14">
        <v>0.205454530568486</v>
      </c>
      <c r="AG1563" s="14">
        <v>0.172699506009721</v>
      </c>
      <c r="AH1563" s="14"/>
      <c r="AI1563" s="14">
        <v>0.20345055009706001</v>
      </c>
      <c r="AJ1563" s="14">
        <v>0.28158213682347399</v>
      </c>
      <c r="AK1563" s="14">
        <v>0.10514641751885399</v>
      </c>
      <c r="AL1563" s="14">
        <v>0.28002967483489299</v>
      </c>
      <c r="AM1563" s="14">
        <v>0.30112769643376203</v>
      </c>
      <c r="AN1563" s="14">
        <v>0.17509083091893499</v>
      </c>
      <c r="AO1563" s="14"/>
      <c r="AP1563" s="14">
        <v>0.246467356783658</v>
      </c>
      <c r="AQ1563" s="14">
        <v>0.24162892719624601</v>
      </c>
      <c r="AR1563" s="14"/>
      <c r="AS1563" s="14" t="s">
        <v>88</v>
      </c>
      <c r="AT1563" s="14" t="s">
        <v>88</v>
      </c>
      <c r="AU1563" s="14">
        <v>0.24431291607781999</v>
      </c>
      <c r="AV1563" s="14"/>
      <c r="AW1563" s="14">
        <v>0.239237975203035</v>
      </c>
      <c r="AX1563" s="14">
        <v>0.227677125702658</v>
      </c>
      <c r="AY1563" s="14"/>
      <c r="AZ1563" s="14">
        <v>0.23521879177310601</v>
      </c>
      <c r="BA1563" s="14">
        <v>0.30049171145414599</v>
      </c>
    </row>
    <row r="1564" spans="2:53" x14ac:dyDescent="0.35">
      <c r="B1564" t="s">
        <v>229</v>
      </c>
      <c r="C1564" s="14">
        <v>0.112706185613828</v>
      </c>
      <c r="D1564" s="14">
        <v>8.9877231790071205E-2</v>
      </c>
      <c r="E1564" s="14">
        <v>0.137799508490909</v>
      </c>
      <c r="F1564" s="14"/>
      <c r="G1564" s="14" t="s">
        <v>88</v>
      </c>
      <c r="H1564" s="14">
        <v>0.19442140418534501</v>
      </c>
      <c r="I1564" s="14">
        <v>9.5083508233513706E-2</v>
      </c>
      <c r="J1564" s="14">
        <v>0.123120963023417</v>
      </c>
      <c r="K1564" s="14">
        <v>7.9445452141196707E-2</v>
      </c>
      <c r="L1564" s="14">
        <v>4.8327608748138601E-2</v>
      </c>
      <c r="M1564" s="14"/>
      <c r="N1564" s="14">
        <v>7.6240876173589101E-2</v>
      </c>
      <c r="O1564" s="14">
        <v>0.112979299633736</v>
      </c>
      <c r="P1564" s="14">
        <v>0.101672732798244</v>
      </c>
      <c r="Q1564" s="14">
        <v>0.18680773460458699</v>
      </c>
      <c r="R1564" s="14"/>
      <c r="S1564" s="14">
        <v>7.5349475036190799E-2</v>
      </c>
      <c r="T1564" s="14">
        <v>0.122245667413952</v>
      </c>
      <c r="U1564" s="14">
        <v>8.0236080287797492E-3</v>
      </c>
      <c r="V1564" s="14">
        <v>0.15934435051324999</v>
      </c>
      <c r="W1564" s="14">
        <v>0.13074755518980999</v>
      </c>
      <c r="X1564" s="14">
        <v>8.8465454597638493E-2</v>
      </c>
      <c r="Y1564" s="14">
        <v>0.121842871410885</v>
      </c>
      <c r="Z1564" s="14">
        <v>0.25242157106200902</v>
      </c>
      <c r="AA1564" s="14">
        <v>0.12570309051887699</v>
      </c>
      <c r="AB1564" s="14"/>
      <c r="AC1564" s="14">
        <v>0.153752944209961</v>
      </c>
      <c r="AD1564" s="14">
        <v>0.15030615867737099</v>
      </c>
      <c r="AE1564" s="14">
        <v>8.3132226799612699E-2</v>
      </c>
      <c r="AF1564" s="14">
        <v>5.6159549003779001E-2</v>
      </c>
      <c r="AG1564" s="14">
        <v>1.0609450028654099E-2</v>
      </c>
      <c r="AH1564" s="14"/>
      <c r="AI1564" s="14">
        <v>0.104639285049587</v>
      </c>
      <c r="AJ1564" s="14">
        <v>8.3168325274884894E-2</v>
      </c>
      <c r="AK1564" s="14">
        <v>9.1359720125199606E-2</v>
      </c>
      <c r="AL1564" s="14">
        <v>0.18091334292779901</v>
      </c>
      <c r="AM1564" s="14">
        <v>0.15940353947456901</v>
      </c>
      <c r="AN1564" s="14">
        <v>7.7296981607910306E-2</v>
      </c>
      <c r="AO1564" s="14"/>
      <c r="AP1564" s="14">
        <v>7.5555223934958504E-2</v>
      </c>
      <c r="AQ1564" s="14">
        <v>0.15898862347145001</v>
      </c>
      <c r="AR1564" s="14"/>
      <c r="AS1564" s="14" t="s">
        <v>88</v>
      </c>
      <c r="AT1564" s="14" t="s">
        <v>88</v>
      </c>
      <c r="AU1564" s="14">
        <v>0.112706185613828</v>
      </c>
      <c r="AV1564" s="14"/>
      <c r="AW1564" s="14">
        <v>0.12082800018247999</v>
      </c>
      <c r="AX1564" s="14">
        <v>2.4636565122355999E-2</v>
      </c>
      <c r="AY1564" s="14"/>
      <c r="AZ1564" s="14">
        <v>0.102874204503864</v>
      </c>
      <c r="BA1564" s="14">
        <v>0.17132335291499001</v>
      </c>
    </row>
    <row r="1565" spans="2:53" x14ac:dyDescent="0.35">
      <c r="B1565" t="s">
        <v>116</v>
      </c>
      <c r="C1565" s="14">
        <v>1.9715722599557499E-2</v>
      </c>
      <c r="D1565" s="14">
        <v>6.4577398554434102E-3</v>
      </c>
      <c r="E1565" s="14">
        <v>3.4288744397456397E-2</v>
      </c>
      <c r="F1565" s="14"/>
      <c r="G1565" s="14" t="s">
        <v>88</v>
      </c>
      <c r="H1565" s="14">
        <v>1.9084779125317398E-2</v>
      </c>
      <c r="I1565" s="14">
        <v>1.53501673772789E-2</v>
      </c>
      <c r="J1565" s="14">
        <v>2.5452234700766799E-2</v>
      </c>
      <c r="K1565" s="14">
        <v>2.22116197220888E-2</v>
      </c>
      <c r="L1565" s="14">
        <v>0</v>
      </c>
      <c r="M1565" s="14"/>
      <c r="N1565" s="14">
        <v>2.8584912920741799E-2</v>
      </c>
      <c r="O1565" s="14">
        <v>2.4706514993503601E-2</v>
      </c>
      <c r="P1565" s="14">
        <v>1.0541693712316299E-2</v>
      </c>
      <c r="Q1565" s="14">
        <v>1.1085576970131E-2</v>
      </c>
      <c r="R1565" s="14"/>
      <c r="S1565" s="14">
        <v>2.1630209472593802E-3</v>
      </c>
      <c r="T1565" s="14">
        <v>1.7234494737192799E-2</v>
      </c>
      <c r="U1565" s="14">
        <v>2.14331638212743E-2</v>
      </c>
      <c r="V1565" s="14">
        <v>4.13270690670096E-2</v>
      </c>
      <c r="W1565" s="14">
        <v>3.7735563137436E-2</v>
      </c>
      <c r="X1565" s="14">
        <v>2.94944285266742E-2</v>
      </c>
      <c r="Y1565" s="14">
        <v>2.50368504959287E-2</v>
      </c>
      <c r="Z1565" s="14">
        <v>0</v>
      </c>
      <c r="AA1565" s="14">
        <v>1.3448591317879E-2</v>
      </c>
      <c r="AB1565" s="14"/>
      <c r="AC1565" s="14">
        <v>2.1868951952305399E-2</v>
      </c>
      <c r="AD1565" s="14">
        <v>1.5036223998659301E-2</v>
      </c>
      <c r="AE1565" s="14">
        <v>2.40048276991554E-2</v>
      </c>
      <c r="AF1565" s="14">
        <v>8.5473277979459597E-3</v>
      </c>
      <c r="AG1565" s="14">
        <v>4.4859068790924203E-2</v>
      </c>
      <c r="AH1565" s="14"/>
      <c r="AI1565" s="14">
        <v>3.2072321166410803E-2</v>
      </c>
      <c r="AJ1565" s="14">
        <v>9.7576154279020808E-3</v>
      </c>
      <c r="AK1565" s="14">
        <v>4.0125644239639699E-2</v>
      </c>
      <c r="AL1565" s="14">
        <v>1.15240583210776E-2</v>
      </c>
      <c r="AM1565" s="14">
        <v>0</v>
      </c>
      <c r="AN1565" s="14">
        <v>0</v>
      </c>
      <c r="AO1565" s="14"/>
      <c r="AP1565" s="14">
        <v>1.55139191025869E-2</v>
      </c>
      <c r="AQ1565" s="14">
        <v>2.49503033600629E-2</v>
      </c>
      <c r="AR1565" s="14"/>
      <c r="AS1565" s="14" t="s">
        <v>88</v>
      </c>
      <c r="AT1565" s="14" t="s">
        <v>88</v>
      </c>
      <c r="AU1565" s="14">
        <v>1.9715722599557499E-2</v>
      </c>
      <c r="AV1565" s="14"/>
      <c r="AW1565" s="14">
        <v>1.07080248452124E-2</v>
      </c>
      <c r="AX1565" s="14">
        <v>2.0456428462377101E-2</v>
      </c>
      <c r="AY1565" s="14"/>
      <c r="AZ1565" s="14">
        <v>1.49461883208138E-2</v>
      </c>
      <c r="BA1565" s="14">
        <v>4.7661796580749899E-2</v>
      </c>
    </row>
    <row r="1566" spans="2:53" x14ac:dyDescent="0.35"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</row>
    <row r="1567" spans="2:53" x14ac:dyDescent="0.35">
      <c r="B1567" s="6" t="s">
        <v>373</v>
      </c>
      <c r="C1567" s="14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/>
      <c r="AO1567" s="14"/>
      <c r="AP1567" s="14"/>
      <c r="AQ1567" s="14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</row>
    <row r="1568" spans="2:53" x14ac:dyDescent="0.35">
      <c r="B1568" s="30" t="s">
        <v>463</v>
      </c>
      <c r="C1568" s="14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</row>
    <row r="1569" spans="2:53" x14ac:dyDescent="0.35">
      <c r="B1569" t="s">
        <v>231</v>
      </c>
      <c r="C1569" s="14">
        <v>0.14502875805339399</v>
      </c>
      <c r="D1569" s="14">
        <v>0.165953096025893</v>
      </c>
      <c r="E1569" s="14">
        <v>0.12202896696411999</v>
      </c>
      <c r="F1569" s="14"/>
      <c r="G1569" s="14" t="s">
        <v>88</v>
      </c>
      <c r="H1569" s="14">
        <v>0.101233367091613</v>
      </c>
      <c r="I1569" s="14">
        <v>0.17347189552806999</v>
      </c>
      <c r="J1569" s="14">
        <v>0.12838664349916901</v>
      </c>
      <c r="K1569" s="14">
        <v>0.146432170694829</v>
      </c>
      <c r="L1569" s="14">
        <v>0</v>
      </c>
      <c r="M1569" s="14"/>
      <c r="N1569" s="14">
        <v>0.12252642152007499</v>
      </c>
      <c r="O1569" s="14">
        <v>0.161212213771813</v>
      </c>
      <c r="P1569" s="14">
        <v>0.17939041883335599</v>
      </c>
      <c r="Q1569" s="14">
        <v>0.122529341514094</v>
      </c>
      <c r="R1569" s="14"/>
      <c r="S1569" s="14">
        <v>0.22489795675333901</v>
      </c>
      <c r="T1569" s="14">
        <v>0.138824359235596</v>
      </c>
      <c r="U1569" s="14">
        <v>0.10619069507232499</v>
      </c>
      <c r="V1569" s="14">
        <v>0.176033815232401</v>
      </c>
      <c r="W1569" s="14">
        <v>0.111938464717849</v>
      </c>
      <c r="X1569" s="14">
        <v>0.19688766544541</v>
      </c>
      <c r="Y1569" s="14">
        <v>6.8513002163468506E-2</v>
      </c>
      <c r="Z1569" s="14">
        <v>0</v>
      </c>
      <c r="AA1569" s="14">
        <v>0.15121403990403101</v>
      </c>
      <c r="AB1569" s="14"/>
      <c r="AC1569" s="14">
        <v>0.11142621802857899</v>
      </c>
      <c r="AD1569" s="14">
        <v>0.152136574918394</v>
      </c>
      <c r="AE1569" s="14">
        <v>0.15020030829322201</v>
      </c>
      <c r="AF1569" s="14">
        <v>0.154153712373126</v>
      </c>
      <c r="AG1569" s="14">
        <v>0.14233225338498001</v>
      </c>
      <c r="AH1569" s="14"/>
      <c r="AI1569" s="14">
        <v>0.151075017626464</v>
      </c>
      <c r="AJ1569" s="14">
        <v>0.186796699046823</v>
      </c>
      <c r="AK1569" s="14">
        <v>0.105888312644723</v>
      </c>
      <c r="AL1569" s="14">
        <v>6.6148082070636799E-2</v>
      </c>
      <c r="AM1569" s="14">
        <v>9.2953633051820195E-2</v>
      </c>
      <c r="AN1569" s="14">
        <v>0.37056761578207997</v>
      </c>
      <c r="AO1569" s="14"/>
      <c r="AP1569" s="14">
        <v>0.14215580693084101</v>
      </c>
      <c r="AQ1569" s="14">
        <v>0.14860786275994101</v>
      </c>
      <c r="AR1569" s="14"/>
      <c r="AS1569" s="14" t="s">
        <v>88</v>
      </c>
      <c r="AT1569" s="14" t="s">
        <v>88</v>
      </c>
      <c r="AU1569" s="14">
        <v>0.14502875805339399</v>
      </c>
      <c r="AV1569" s="14"/>
      <c r="AW1569" s="14">
        <v>0.13220807629731099</v>
      </c>
      <c r="AX1569" s="14">
        <v>0.182841860030691</v>
      </c>
      <c r="AY1569" s="14"/>
      <c r="AZ1569" s="14">
        <v>0.15236673699241801</v>
      </c>
      <c r="BA1569" s="14">
        <v>0.104488162372374</v>
      </c>
    </row>
    <row r="1570" spans="2:53" x14ac:dyDescent="0.35">
      <c r="B1570" t="s">
        <v>232</v>
      </c>
      <c r="C1570" s="14">
        <v>0.68167395793633601</v>
      </c>
      <c r="D1570" s="14">
        <v>0.67928180213753597</v>
      </c>
      <c r="E1570" s="14">
        <v>0.68430338801425405</v>
      </c>
      <c r="F1570" s="14"/>
      <c r="G1570" s="14" t="s">
        <v>88</v>
      </c>
      <c r="H1570" s="14">
        <v>0.59574474303028502</v>
      </c>
      <c r="I1570" s="14">
        <v>0.65322999331284803</v>
      </c>
      <c r="J1570" s="14">
        <v>0.71698115943713803</v>
      </c>
      <c r="K1570" s="14">
        <v>0.76814661841270004</v>
      </c>
      <c r="L1570" s="14">
        <v>0.71095258704698205</v>
      </c>
      <c r="M1570" s="14"/>
      <c r="N1570" s="14">
        <v>0.70542295901721297</v>
      </c>
      <c r="O1570" s="14">
        <v>0.71542969792685396</v>
      </c>
      <c r="P1570" s="14">
        <v>0.63256553534251203</v>
      </c>
      <c r="Q1570" s="14">
        <v>0.66328270805586298</v>
      </c>
      <c r="R1570" s="14"/>
      <c r="S1570" s="14">
        <v>0.56695368753000697</v>
      </c>
      <c r="T1570" s="14">
        <v>0.68109068075328505</v>
      </c>
      <c r="U1570" s="14">
        <v>0.70716512825310895</v>
      </c>
      <c r="V1570" s="14">
        <v>0.68830806884594198</v>
      </c>
      <c r="W1570" s="14">
        <v>0.60193527131853197</v>
      </c>
      <c r="X1570" s="14">
        <v>0.63724664940331399</v>
      </c>
      <c r="Y1570" s="14">
        <v>0.81375107303126504</v>
      </c>
      <c r="Z1570" s="14">
        <v>0.88610315032119602</v>
      </c>
      <c r="AA1570" s="14">
        <v>0.71508404398071401</v>
      </c>
      <c r="AB1570" s="14"/>
      <c r="AC1570" s="14">
        <v>0.73526558748242998</v>
      </c>
      <c r="AD1570" s="14">
        <v>0.75331975318878497</v>
      </c>
      <c r="AE1570" s="14">
        <v>0.62536764606584905</v>
      </c>
      <c r="AF1570" s="14">
        <v>0.687110415750809</v>
      </c>
      <c r="AG1570" s="14">
        <v>0.73809715960865097</v>
      </c>
      <c r="AH1570" s="14"/>
      <c r="AI1570" s="14">
        <v>0.64210589023142295</v>
      </c>
      <c r="AJ1570" s="14">
        <v>0.68581325457280695</v>
      </c>
      <c r="AK1570" s="14">
        <v>0.73137864032617494</v>
      </c>
      <c r="AL1570" s="14">
        <v>0.72314985015306399</v>
      </c>
      <c r="AM1570" s="14">
        <v>0.71411199864539499</v>
      </c>
      <c r="AN1570" s="14">
        <v>0.61955890133821601</v>
      </c>
      <c r="AO1570" s="14"/>
      <c r="AP1570" s="14">
        <v>0.69391049928257098</v>
      </c>
      <c r="AQ1570" s="14">
        <v>0.66642975054960096</v>
      </c>
      <c r="AR1570" s="14"/>
      <c r="AS1570" s="14" t="s">
        <v>88</v>
      </c>
      <c r="AT1570" s="14" t="s">
        <v>88</v>
      </c>
      <c r="AU1570" s="14">
        <v>0.68167395793633601</v>
      </c>
      <c r="AV1570" s="14"/>
      <c r="AW1570" s="14">
        <v>0.69156088444725605</v>
      </c>
      <c r="AX1570" s="14">
        <v>0.64880596914267596</v>
      </c>
      <c r="AY1570" s="14"/>
      <c r="AZ1570" s="14">
        <v>0.67694955402631896</v>
      </c>
      <c r="BA1570" s="14">
        <v>0.70462625857580297</v>
      </c>
    </row>
    <row r="1571" spans="2:53" x14ac:dyDescent="0.35">
      <c r="B1571" t="s">
        <v>233</v>
      </c>
      <c r="C1571" s="14">
        <v>0.127509120666633</v>
      </c>
      <c r="D1571" s="14">
        <v>0.111813795811042</v>
      </c>
      <c r="E1571" s="14">
        <v>0.14476124081644701</v>
      </c>
      <c r="F1571" s="14"/>
      <c r="G1571" s="14" t="s">
        <v>88</v>
      </c>
      <c r="H1571" s="14">
        <v>0.26337728117682302</v>
      </c>
      <c r="I1571" s="14">
        <v>0.137882474864958</v>
      </c>
      <c r="J1571" s="14">
        <v>8.3780326977230896E-2</v>
      </c>
      <c r="K1571" s="14">
        <v>8.5421210892471705E-2</v>
      </c>
      <c r="L1571" s="14">
        <v>0.24071980420487901</v>
      </c>
      <c r="M1571" s="14"/>
      <c r="N1571" s="14">
        <v>0.11501686105702499</v>
      </c>
      <c r="O1571" s="14">
        <v>9.4807002200230001E-2</v>
      </c>
      <c r="P1571" s="14">
        <v>0.16442844090663999</v>
      </c>
      <c r="Q1571" s="14">
        <v>0.139836472691868</v>
      </c>
      <c r="R1571" s="14"/>
      <c r="S1571" s="14">
        <v>0.18639750897203</v>
      </c>
      <c r="T1571" s="14">
        <v>0.127629525523901</v>
      </c>
      <c r="U1571" s="14">
        <v>0.12128898125262499</v>
      </c>
      <c r="V1571" s="14">
        <v>0.118550941043884</v>
      </c>
      <c r="W1571" s="14">
        <v>0.230470820106465</v>
      </c>
      <c r="X1571" s="14">
        <v>0.136371255841059</v>
      </c>
      <c r="Y1571" s="14">
        <v>4.7869619340400398E-2</v>
      </c>
      <c r="Z1571" s="14">
        <v>6.03752125509536E-2</v>
      </c>
      <c r="AA1571" s="14">
        <v>6.5759306353457503E-2</v>
      </c>
      <c r="AB1571" s="14"/>
      <c r="AC1571" s="14">
        <v>0.10495716325903701</v>
      </c>
      <c r="AD1571" s="14">
        <v>5.8808993517871097E-2</v>
      </c>
      <c r="AE1571" s="14">
        <v>0.15596345553423399</v>
      </c>
      <c r="AF1571" s="14">
        <v>0.139798372294762</v>
      </c>
      <c r="AG1571" s="14">
        <v>0.10214531565299</v>
      </c>
      <c r="AH1571" s="14"/>
      <c r="AI1571" s="14">
        <v>0.14859143898777299</v>
      </c>
      <c r="AJ1571" s="14">
        <v>0.107928102151694</v>
      </c>
      <c r="AK1571" s="14">
        <v>0.12318607791715699</v>
      </c>
      <c r="AL1571" s="14">
        <v>0.172822301763735</v>
      </c>
      <c r="AM1571" s="14">
        <v>0.105011512959367</v>
      </c>
      <c r="AN1571" s="14">
        <v>0</v>
      </c>
      <c r="AO1571" s="14"/>
      <c r="AP1571" s="14">
        <v>0.13069613872583799</v>
      </c>
      <c r="AQ1571" s="14">
        <v>0.123538753316487</v>
      </c>
      <c r="AR1571" s="14"/>
      <c r="AS1571" s="14" t="s">
        <v>88</v>
      </c>
      <c r="AT1571" s="14" t="s">
        <v>88</v>
      </c>
      <c r="AU1571" s="14">
        <v>0.127509120666633</v>
      </c>
      <c r="AV1571" s="14"/>
      <c r="AW1571" s="14">
        <v>0.128580639255162</v>
      </c>
      <c r="AX1571" s="14">
        <v>0.142267245674216</v>
      </c>
      <c r="AY1571" s="14"/>
      <c r="AZ1571" s="14">
        <v>0.12532018432572001</v>
      </c>
      <c r="BA1571" s="14">
        <v>0.141992957911796</v>
      </c>
    </row>
    <row r="1572" spans="2:53" x14ac:dyDescent="0.35">
      <c r="B1572" t="s">
        <v>116</v>
      </c>
      <c r="C1572" s="14">
        <v>4.5788163343636598E-2</v>
      </c>
      <c r="D1572" s="14">
        <v>4.2951306025529101E-2</v>
      </c>
      <c r="E1572" s="14">
        <v>4.8906404205178201E-2</v>
      </c>
      <c r="F1572" s="14"/>
      <c r="G1572" s="14" t="s">
        <v>88</v>
      </c>
      <c r="H1572" s="14">
        <v>3.96446087012794E-2</v>
      </c>
      <c r="I1572" s="14">
        <v>3.5415636294124198E-2</v>
      </c>
      <c r="J1572" s="14">
        <v>7.0851870086461696E-2</v>
      </c>
      <c r="K1572" s="14">
        <v>0</v>
      </c>
      <c r="L1572" s="14">
        <v>4.8327608748138601E-2</v>
      </c>
      <c r="M1572" s="14"/>
      <c r="N1572" s="14">
        <v>5.7033758405687897E-2</v>
      </c>
      <c r="O1572" s="14">
        <v>2.8551086101102699E-2</v>
      </c>
      <c r="P1572" s="14">
        <v>2.3615604917491699E-2</v>
      </c>
      <c r="Q1572" s="14">
        <v>7.4351477738174798E-2</v>
      </c>
      <c r="R1572" s="14"/>
      <c r="S1572" s="14">
        <v>2.1750846744624099E-2</v>
      </c>
      <c r="T1572" s="14">
        <v>5.2455434487218101E-2</v>
      </c>
      <c r="U1572" s="14">
        <v>6.5355195421939904E-2</v>
      </c>
      <c r="V1572" s="14">
        <v>1.7107174877772899E-2</v>
      </c>
      <c r="W1572" s="14">
        <v>5.56554438571547E-2</v>
      </c>
      <c r="X1572" s="14">
        <v>2.94944293102164E-2</v>
      </c>
      <c r="Y1572" s="14">
        <v>6.9866305464865899E-2</v>
      </c>
      <c r="Z1572" s="14">
        <v>5.3521637127850401E-2</v>
      </c>
      <c r="AA1572" s="14">
        <v>6.7942609761797196E-2</v>
      </c>
      <c r="AB1572" s="14"/>
      <c r="AC1572" s="14">
        <v>4.8351031229954503E-2</v>
      </c>
      <c r="AD1572" s="14">
        <v>3.573467837495E-2</v>
      </c>
      <c r="AE1572" s="14">
        <v>6.8468590106695995E-2</v>
      </c>
      <c r="AF1572" s="14">
        <v>1.8937499581303498E-2</v>
      </c>
      <c r="AG1572" s="14">
        <v>1.7425271353379099E-2</v>
      </c>
      <c r="AH1572" s="14"/>
      <c r="AI1572" s="14">
        <v>5.8227653154340801E-2</v>
      </c>
      <c r="AJ1572" s="14">
        <v>1.9461944228675102E-2</v>
      </c>
      <c r="AK1572" s="14">
        <v>3.9546969111946099E-2</v>
      </c>
      <c r="AL1572" s="14">
        <v>3.7879766012563897E-2</v>
      </c>
      <c r="AM1572" s="14">
        <v>8.7922855343417594E-2</v>
      </c>
      <c r="AN1572" s="14">
        <v>9.8734828797039792E-3</v>
      </c>
      <c r="AO1572" s="14"/>
      <c r="AP1572" s="14">
        <v>3.32375550607499E-2</v>
      </c>
      <c r="AQ1572" s="14">
        <v>6.1423633373970797E-2</v>
      </c>
      <c r="AR1572" s="14"/>
      <c r="AS1572" s="14" t="s">
        <v>88</v>
      </c>
      <c r="AT1572" s="14" t="s">
        <v>88</v>
      </c>
      <c r="AU1572" s="14">
        <v>4.5788163343636598E-2</v>
      </c>
      <c r="AV1572" s="14"/>
      <c r="AW1572" s="14">
        <v>4.7650400000271098E-2</v>
      </c>
      <c r="AX1572" s="14">
        <v>2.6084925152417199E-2</v>
      </c>
      <c r="AY1572" s="14"/>
      <c r="AZ1572" s="14">
        <v>4.5363524655542997E-2</v>
      </c>
      <c r="BA1572" s="14">
        <v>4.8892621140026897E-2</v>
      </c>
    </row>
    <row r="1573" spans="2:53" x14ac:dyDescent="0.35">
      <c r="C1573" s="14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4"/>
      <c r="AP1573" s="14"/>
      <c r="AQ1573" s="14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</row>
    <row r="1574" spans="2:53" x14ac:dyDescent="0.35">
      <c r="B1574" s="6" t="s">
        <v>374</v>
      </c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  <c r="AO1574" s="14"/>
      <c r="AP1574" s="14"/>
      <c r="AQ1574" s="14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</row>
    <row r="1575" spans="2:53" x14ac:dyDescent="0.35">
      <c r="B1575" s="30" t="s">
        <v>463</v>
      </c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</row>
    <row r="1576" spans="2:53" x14ac:dyDescent="0.35">
      <c r="B1576" t="s">
        <v>235</v>
      </c>
      <c r="C1576" s="14">
        <v>0.25155257535363201</v>
      </c>
      <c r="D1576" s="14">
        <v>0.277466659083631</v>
      </c>
      <c r="E1576" s="14">
        <v>0.22306811324815101</v>
      </c>
      <c r="F1576" s="14"/>
      <c r="G1576" s="14" t="s">
        <v>88</v>
      </c>
      <c r="H1576" s="14">
        <v>0.31167556673378599</v>
      </c>
      <c r="I1576" s="14">
        <v>0.25685816195957301</v>
      </c>
      <c r="J1576" s="14">
        <v>0.228471505683011</v>
      </c>
      <c r="K1576" s="14">
        <v>0.27291179584481201</v>
      </c>
      <c r="L1576" s="14">
        <v>0.15100412695203699</v>
      </c>
      <c r="M1576" s="14"/>
      <c r="N1576" s="14">
        <v>0.32415774997069402</v>
      </c>
      <c r="O1576" s="14">
        <v>0.221163133190967</v>
      </c>
      <c r="P1576" s="14">
        <v>0.21630743245208101</v>
      </c>
      <c r="Q1576" s="14">
        <v>0.21181581595946999</v>
      </c>
      <c r="R1576" s="14"/>
      <c r="S1576" s="14">
        <v>0.34535833413143502</v>
      </c>
      <c r="T1576" s="14">
        <v>0.25665869141050401</v>
      </c>
      <c r="U1576" s="14">
        <v>0.119119746696026</v>
      </c>
      <c r="V1576" s="14">
        <v>0.30688382332134401</v>
      </c>
      <c r="W1576" s="14">
        <v>0.181629961222114</v>
      </c>
      <c r="X1576" s="14">
        <v>0.36046020331674</v>
      </c>
      <c r="Y1576" s="14">
        <v>0.198987139511353</v>
      </c>
      <c r="Z1576" s="14">
        <v>0.155823725464075</v>
      </c>
      <c r="AA1576" s="14">
        <v>0.208586687628736</v>
      </c>
      <c r="AB1576" s="14"/>
      <c r="AC1576" s="14">
        <v>0.23802086318885399</v>
      </c>
      <c r="AD1576" s="14">
        <v>0.16247264094268099</v>
      </c>
      <c r="AE1576" s="14">
        <v>0.22570803503918299</v>
      </c>
      <c r="AF1576" s="14">
        <v>0.33927913522506498</v>
      </c>
      <c r="AG1576" s="14">
        <v>0.60620697394758805</v>
      </c>
      <c r="AH1576" s="14"/>
      <c r="AI1576" s="14">
        <v>0.28593011485244602</v>
      </c>
      <c r="AJ1576" s="14">
        <v>0.218216979431581</v>
      </c>
      <c r="AK1576" s="14">
        <v>0.25612709353913898</v>
      </c>
      <c r="AL1576" s="14">
        <v>0.259658272348404</v>
      </c>
      <c r="AM1576" s="14">
        <v>0.171648714254478</v>
      </c>
      <c r="AN1576" s="14">
        <v>0.31412374160884698</v>
      </c>
      <c r="AO1576" s="14"/>
      <c r="AP1576" s="14">
        <v>0.30364141238790798</v>
      </c>
      <c r="AQ1576" s="14">
        <v>0.18666062493917199</v>
      </c>
      <c r="AR1576" s="14"/>
      <c r="AS1576" s="14" t="s">
        <v>88</v>
      </c>
      <c r="AT1576" s="14" t="s">
        <v>88</v>
      </c>
      <c r="AU1576" s="14">
        <v>0.25155257535363201</v>
      </c>
      <c r="AV1576" s="14"/>
      <c r="AW1576" s="14">
        <v>0.22501644647553901</v>
      </c>
      <c r="AX1576" s="14">
        <v>0.35848092686769201</v>
      </c>
      <c r="AY1576" s="14"/>
      <c r="AZ1576" s="14">
        <v>0.26326100979883499</v>
      </c>
      <c r="BA1576" s="14">
        <v>0.187148248495662</v>
      </c>
    </row>
    <row r="1577" spans="2:53" x14ac:dyDescent="0.35">
      <c r="B1577" t="s">
        <v>236</v>
      </c>
      <c r="C1577" s="14">
        <v>0.56550181452328496</v>
      </c>
      <c r="D1577" s="14">
        <v>0.55746373503536295</v>
      </c>
      <c r="E1577" s="14">
        <v>0.57433717883560798</v>
      </c>
      <c r="F1577" s="14"/>
      <c r="G1577" s="14" t="s">
        <v>88</v>
      </c>
      <c r="H1577" s="14">
        <v>0.497016164417383</v>
      </c>
      <c r="I1577" s="14">
        <v>0.54456055896250399</v>
      </c>
      <c r="J1577" s="14">
        <v>0.59322880358560703</v>
      </c>
      <c r="K1577" s="14">
        <v>0.58798727448584798</v>
      </c>
      <c r="L1577" s="14">
        <v>0.80066826429982396</v>
      </c>
      <c r="M1577" s="14"/>
      <c r="N1577" s="14">
        <v>0.52906114734075804</v>
      </c>
      <c r="O1577" s="14">
        <v>0.63389702426051298</v>
      </c>
      <c r="P1577" s="14">
        <v>0.57948756307489502</v>
      </c>
      <c r="Q1577" s="14">
        <v>0.528313426010531</v>
      </c>
      <c r="R1577" s="14"/>
      <c r="S1577" s="14">
        <v>0.50614478345883396</v>
      </c>
      <c r="T1577" s="14">
        <v>0.53241432742582995</v>
      </c>
      <c r="U1577" s="14">
        <v>0.68696761470295098</v>
      </c>
      <c r="V1577" s="14">
        <v>0.49145288168144302</v>
      </c>
      <c r="W1577" s="14">
        <v>0.60052439896816101</v>
      </c>
      <c r="X1577" s="14">
        <v>0.49103483618150601</v>
      </c>
      <c r="Y1577" s="14">
        <v>0.62195452658057904</v>
      </c>
      <c r="Z1577" s="14">
        <v>0.69471226893822702</v>
      </c>
      <c r="AA1577" s="14">
        <v>0.59444879503661996</v>
      </c>
      <c r="AB1577" s="14"/>
      <c r="AC1577" s="14">
        <v>0.61368688437321695</v>
      </c>
      <c r="AD1577" s="14">
        <v>0.58114922409735703</v>
      </c>
      <c r="AE1577" s="14">
        <v>0.61588416981794403</v>
      </c>
      <c r="AF1577" s="14">
        <v>0.53729535169473097</v>
      </c>
      <c r="AG1577" s="14">
        <v>0.36617702496496302</v>
      </c>
      <c r="AH1577" s="14"/>
      <c r="AI1577" s="14">
        <v>0.56258807507942599</v>
      </c>
      <c r="AJ1577" s="14">
        <v>0.59857929656619002</v>
      </c>
      <c r="AK1577" s="14">
        <v>0.628869411791105</v>
      </c>
      <c r="AL1577" s="14">
        <v>0.47945982142690702</v>
      </c>
      <c r="AM1577" s="14">
        <v>0.51137253228894197</v>
      </c>
      <c r="AN1577" s="14">
        <v>0.54056942275345399</v>
      </c>
      <c r="AO1577" s="14"/>
      <c r="AP1577" s="14">
        <v>0.53362819949649198</v>
      </c>
      <c r="AQ1577" s="14">
        <v>0.60520976662225801</v>
      </c>
      <c r="AR1577" s="14"/>
      <c r="AS1577" s="14" t="s">
        <v>88</v>
      </c>
      <c r="AT1577" s="14" t="s">
        <v>88</v>
      </c>
      <c r="AU1577" s="14">
        <v>0.56550181452328496</v>
      </c>
      <c r="AV1577" s="14"/>
      <c r="AW1577" s="14">
        <v>0.56908380392302105</v>
      </c>
      <c r="AX1577" s="14">
        <v>0.56413261693486105</v>
      </c>
      <c r="AY1577" s="14"/>
      <c r="AZ1577" s="14">
        <v>0.55780496345261998</v>
      </c>
      <c r="BA1577" s="14">
        <v>0.60407234861508297</v>
      </c>
    </row>
    <row r="1578" spans="2:53" x14ac:dyDescent="0.35">
      <c r="B1578" t="s">
        <v>237</v>
      </c>
      <c r="C1578" s="14">
        <v>0.15218606669769799</v>
      </c>
      <c r="D1578" s="14">
        <v>0.13699883436048099</v>
      </c>
      <c r="E1578" s="14">
        <v>0.168879697408468</v>
      </c>
      <c r="F1578" s="14"/>
      <c r="G1578" s="14" t="s">
        <v>88</v>
      </c>
      <c r="H1578" s="14">
        <v>0.15355542370303099</v>
      </c>
      <c r="I1578" s="14">
        <v>0.17592789450750901</v>
      </c>
      <c r="J1578" s="14">
        <v>0.13559167353403601</v>
      </c>
      <c r="K1578" s="14">
        <v>0.11927855778633401</v>
      </c>
      <c r="L1578" s="14">
        <v>4.8327608748138601E-2</v>
      </c>
      <c r="M1578" s="14"/>
      <c r="N1578" s="14">
        <v>0.127696794697719</v>
      </c>
      <c r="O1578" s="14">
        <v>0.114718397943727</v>
      </c>
      <c r="P1578" s="14">
        <v>0.15883841183924799</v>
      </c>
      <c r="Q1578" s="14">
        <v>0.227172676484519</v>
      </c>
      <c r="R1578" s="14"/>
      <c r="S1578" s="14">
        <v>0.123792035967424</v>
      </c>
      <c r="T1578" s="14">
        <v>0.16272901717691499</v>
      </c>
      <c r="U1578" s="14">
        <v>0.13735506103105299</v>
      </c>
      <c r="V1578" s="14">
        <v>0.201663294997213</v>
      </c>
      <c r="W1578" s="14">
        <v>0.19766403005576699</v>
      </c>
      <c r="X1578" s="14">
        <v>0.110917567697519</v>
      </c>
      <c r="Y1578" s="14">
        <v>0.13160676095377299</v>
      </c>
      <c r="Z1578" s="14">
        <v>9.5942368469848105E-2</v>
      </c>
      <c r="AA1578" s="14">
        <v>0.19696451733464401</v>
      </c>
      <c r="AB1578" s="14"/>
      <c r="AC1578" s="14">
        <v>0.118646210817834</v>
      </c>
      <c r="AD1578" s="14">
        <v>0.21576914726160401</v>
      </c>
      <c r="AE1578" s="14">
        <v>0.121641002716794</v>
      </c>
      <c r="AF1578" s="14">
        <v>0.114940544011661</v>
      </c>
      <c r="AG1578" s="14">
        <v>2.76160010874494E-2</v>
      </c>
      <c r="AH1578" s="14"/>
      <c r="AI1578" s="14">
        <v>0.131432238355324</v>
      </c>
      <c r="AJ1578" s="14">
        <v>0.15602056637866599</v>
      </c>
      <c r="AK1578" s="14">
        <v>0.115003494669756</v>
      </c>
      <c r="AL1578" s="14">
        <v>0.20216908773623399</v>
      </c>
      <c r="AM1578" s="14">
        <v>0.28639081161942698</v>
      </c>
      <c r="AN1578" s="14">
        <v>4.6803605505859103E-2</v>
      </c>
      <c r="AO1578" s="14"/>
      <c r="AP1578" s="14">
        <v>0.137729877151575</v>
      </c>
      <c r="AQ1578" s="14">
        <v>0.17019549805804399</v>
      </c>
      <c r="AR1578" s="14"/>
      <c r="AS1578" s="14" t="s">
        <v>88</v>
      </c>
      <c r="AT1578" s="14" t="s">
        <v>88</v>
      </c>
      <c r="AU1578" s="14">
        <v>0.15218606669769799</v>
      </c>
      <c r="AV1578" s="14"/>
      <c r="AW1578" s="14">
        <v>0.16938289368591</v>
      </c>
      <c r="AX1578" s="14">
        <v>7.7386456197446399E-2</v>
      </c>
      <c r="AY1578" s="14"/>
      <c r="AZ1578" s="14">
        <v>0.153468951233906</v>
      </c>
      <c r="BA1578" s="14">
        <v>0.14687383005129101</v>
      </c>
    </row>
    <row r="1579" spans="2:53" x14ac:dyDescent="0.35">
      <c r="B1579" t="s">
        <v>238</v>
      </c>
      <c r="C1579" s="14">
        <v>1.0642395263064401E-2</v>
      </c>
      <c r="D1579" s="14">
        <v>1.02241078077848E-2</v>
      </c>
      <c r="E1579" s="14">
        <v>1.11021720120033E-2</v>
      </c>
      <c r="F1579" s="14"/>
      <c r="G1579" s="14" t="s">
        <v>88</v>
      </c>
      <c r="H1579" s="14">
        <v>0</v>
      </c>
      <c r="I1579" s="14">
        <v>1.20613099530521E-2</v>
      </c>
      <c r="J1579" s="14">
        <v>1.47862909258111E-2</v>
      </c>
      <c r="K1579" s="14">
        <v>0</v>
      </c>
      <c r="L1579" s="14">
        <v>0</v>
      </c>
      <c r="M1579" s="14"/>
      <c r="N1579" s="14">
        <v>7.7719359947192399E-3</v>
      </c>
      <c r="O1579" s="14">
        <v>1.25640142320628E-2</v>
      </c>
      <c r="P1579" s="14">
        <v>1.1940318271104301E-2</v>
      </c>
      <c r="Q1579" s="14">
        <v>1.1687928354520399E-2</v>
      </c>
      <c r="R1579" s="14"/>
      <c r="S1579" s="14">
        <v>1.31463788890093E-2</v>
      </c>
      <c r="T1579" s="14">
        <v>1.76475594711283E-2</v>
      </c>
      <c r="U1579" s="14">
        <v>5.6557577569970298E-2</v>
      </c>
      <c r="V1579" s="14">
        <v>0</v>
      </c>
      <c r="W1579" s="14">
        <v>0</v>
      </c>
      <c r="X1579" s="14">
        <v>0</v>
      </c>
      <c r="Y1579" s="14">
        <v>0</v>
      </c>
      <c r="Z1579" s="14">
        <v>0</v>
      </c>
      <c r="AA1579" s="14">
        <v>0</v>
      </c>
      <c r="AB1579" s="14"/>
      <c r="AC1579" s="14">
        <v>0</v>
      </c>
      <c r="AD1579" s="14">
        <v>1.30487060549449E-2</v>
      </c>
      <c r="AE1579" s="14">
        <v>1.67498758678284E-2</v>
      </c>
      <c r="AF1579" s="14">
        <v>0</v>
      </c>
      <c r="AG1579" s="14">
        <v>0</v>
      </c>
      <c r="AH1579" s="14"/>
      <c r="AI1579" s="14">
        <v>0</v>
      </c>
      <c r="AJ1579" s="14">
        <v>1.4922336303648901E-2</v>
      </c>
      <c r="AK1579" s="14">
        <v>0</v>
      </c>
      <c r="AL1579" s="14">
        <v>1.9509402203756101E-2</v>
      </c>
      <c r="AM1579" s="14">
        <v>0</v>
      </c>
      <c r="AN1579" s="14">
        <v>4.8320421270761402E-2</v>
      </c>
      <c r="AO1579" s="14"/>
      <c r="AP1579" s="14">
        <v>9.2639722571793894E-3</v>
      </c>
      <c r="AQ1579" s="14">
        <v>1.23596261025469E-2</v>
      </c>
      <c r="AR1579" s="14"/>
      <c r="AS1579" s="14" t="s">
        <v>88</v>
      </c>
      <c r="AT1579" s="14" t="s">
        <v>88</v>
      </c>
      <c r="AU1579" s="14">
        <v>1.0642395263064401E-2</v>
      </c>
      <c r="AV1579" s="14"/>
      <c r="AW1579" s="14">
        <v>1.46707052965908E-2</v>
      </c>
      <c r="AX1579" s="14">
        <v>0</v>
      </c>
      <c r="AY1579" s="14"/>
      <c r="AZ1579" s="14">
        <v>9.0336906011681192E-3</v>
      </c>
      <c r="BA1579" s="14">
        <v>2.0124146767887999E-2</v>
      </c>
    </row>
    <row r="1580" spans="2:53" x14ac:dyDescent="0.35">
      <c r="B1580" t="s">
        <v>116</v>
      </c>
      <c r="C1580" s="14">
        <v>2.01171481623202E-2</v>
      </c>
      <c r="D1580" s="14">
        <v>1.78466637127398E-2</v>
      </c>
      <c r="E1580" s="14">
        <v>2.2612838495769599E-2</v>
      </c>
      <c r="F1580" s="14"/>
      <c r="G1580" s="14" t="s">
        <v>88</v>
      </c>
      <c r="H1580" s="14">
        <v>3.77528451458004E-2</v>
      </c>
      <c r="I1580" s="14">
        <v>1.0592074617362199E-2</v>
      </c>
      <c r="J1580" s="14">
        <v>2.7921726271535201E-2</v>
      </c>
      <c r="K1580" s="14">
        <v>1.9822371883006201E-2</v>
      </c>
      <c r="L1580" s="14">
        <v>0</v>
      </c>
      <c r="M1580" s="14"/>
      <c r="N1580" s="14">
        <v>1.1312371996109899E-2</v>
      </c>
      <c r="O1580" s="14">
        <v>1.7657430372730501E-2</v>
      </c>
      <c r="P1580" s="14">
        <v>3.34262743626721E-2</v>
      </c>
      <c r="Q1580" s="14">
        <v>2.1010153190959901E-2</v>
      </c>
      <c r="R1580" s="14"/>
      <c r="S1580" s="14">
        <v>1.1558467553297499E-2</v>
      </c>
      <c r="T1580" s="14">
        <v>3.0550404515623401E-2</v>
      </c>
      <c r="U1580" s="14">
        <v>0</v>
      </c>
      <c r="V1580" s="14">
        <v>0</v>
      </c>
      <c r="W1580" s="14">
        <v>2.0181609753958E-2</v>
      </c>
      <c r="X1580" s="14">
        <v>3.7587392804235203E-2</v>
      </c>
      <c r="Y1580" s="14">
        <v>4.74515729542948E-2</v>
      </c>
      <c r="Z1580" s="14">
        <v>5.3521637127850401E-2</v>
      </c>
      <c r="AA1580" s="14">
        <v>0</v>
      </c>
      <c r="AB1580" s="14"/>
      <c r="AC1580" s="14">
        <v>2.96460416200942E-2</v>
      </c>
      <c r="AD1580" s="14">
        <v>2.7560281643412801E-2</v>
      </c>
      <c r="AE1580" s="14">
        <v>2.0016916558250102E-2</v>
      </c>
      <c r="AF1580" s="14">
        <v>8.4849690685426492E-3</v>
      </c>
      <c r="AG1580" s="14">
        <v>0</v>
      </c>
      <c r="AH1580" s="14"/>
      <c r="AI1580" s="14">
        <v>2.0049571712804599E-2</v>
      </c>
      <c r="AJ1580" s="14">
        <v>1.2260821319914E-2</v>
      </c>
      <c r="AK1580" s="14">
        <v>0</v>
      </c>
      <c r="AL1580" s="14">
        <v>3.9203416284698797E-2</v>
      </c>
      <c r="AM1580" s="14">
        <v>3.05879418371524E-2</v>
      </c>
      <c r="AN1580" s="14">
        <v>5.0182808861078398E-2</v>
      </c>
      <c r="AO1580" s="14"/>
      <c r="AP1580" s="14">
        <v>1.57365387068449E-2</v>
      </c>
      <c r="AQ1580" s="14">
        <v>2.5574484277978898E-2</v>
      </c>
      <c r="AR1580" s="14"/>
      <c r="AS1580" s="14" t="s">
        <v>88</v>
      </c>
      <c r="AT1580" s="14" t="s">
        <v>88</v>
      </c>
      <c r="AU1580" s="14">
        <v>2.01171481623202E-2</v>
      </c>
      <c r="AV1580" s="14"/>
      <c r="AW1580" s="14">
        <v>2.1846150618938999E-2</v>
      </c>
      <c r="AX1580" s="14">
        <v>0</v>
      </c>
      <c r="AY1580" s="14"/>
      <c r="AZ1580" s="14">
        <v>1.6431384913471299E-2</v>
      </c>
      <c r="BA1580" s="14">
        <v>4.17814260700764E-2</v>
      </c>
    </row>
    <row r="1581" spans="2:53" x14ac:dyDescent="0.35"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  <c r="AO1581" s="14"/>
      <c r="AP1581" s="14"/>
      <c r="AQ1581" s="14"/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</row>
    <row r="1582" spans="2:53" x14ac:dyDescent="0.35">
      <c r="B1582" s="6" t="s">
        <v>375</v>
      </c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  <c r="AO1582" s="14"/>
      <c r="AP1582" s="14"/>
      <c r="AQ1582" s="14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</row>
    <row r="1583" spans="2:53" x14ac:dyDescent="0.35">
      <c r="B1583" s="30" t="s">
        <v>463</v>
      </c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4"/>
      <c r="AP1583" s="14"/>
      <c r="AQ1583" s="14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</row>
    <row r="1584" spans="2:53" x14ac:dyDescent="0.35">
      <c r="B1584" t="s">
        <v>220</v>
      </c>
      <c r="C1584" s="14">
        <v>0.235141485896916</v>
      </c>
      <c r="D1584" s="14">
        <v>0.272029783707464</v>
      </c>
      <c r="E1584" s="14">
        <v>0.194594294181861</v>
      </c>
      <c r="F1584" s="14"/>
      <c r="G1584" s="14" t="s">
        <v>88</v>
      </c>
      <c r="H1584" s="14">
        <v>0.198111478116962</v>
      </c>
      <c r="I1584" s="14">
        <v>0.28947029936355001</v>
      </c>
      <c r="J1584" s="14">
        <v>0.19619898144975101</v>
      </c>
      <c r="K1584" s="14">
        <v>0.208051845254622</v>
      </c>
      <c r="L1584" s="14">
        <v>0</v>
      </c>
      <c r="M1584" s="14"/>
      <c r="N1584" s="14">
        <v>0.27443590251295202</v>
      </c>
      <c r="O1584" s="14">
        <v>0.21078539853501299</v>
      </c>
      <c r="P1584" s="14">
        <v>0.224097514370101</v>
      </c>
      <c r="Q1584" s="14">
        <v>0.21329756792525001</v>
      </c>
      <c r="R1584" s="14"/>
      <c r="S1584" s="14">
        <v>0.30196727188940597</v>
      </c>
      <c r="T1584" s="14">
        <v>0.206192907352162</v>
      </c>
      <c r="U1584" s="14">
        <v>0.19151066241017001</v>
      </c>
      <c r="V1584" s="14">
        <v>0.18163984485189499</v>
      </c>
      <c r="W1584" s="14">
        <v>0.30815992725760399</v>
      </c>
      <c r="X1584" s="14">
        <v>0.29157100597208002</v>
      </c>
      <c r="Y1584" s="14">
        <v>0.17265963998755901</v>
      </c>
      <c r="Z1584" s="14">
        <v>0.168337068843635</v>
      </c>
      <c r="AA1584" s="14">
        <v>0.23914026426691101</v>
      </c>
      <c r="AB1584" s="14"/>
      <c r="AC1584" s="14">
        <v>0.19990993934873</v>
      </c>
      <c r="AD1584" s="14">
        <v>0.12966809549638</v>
      </c>
      <c r="AE1584" s="14">
        <v>0.236816269086154</v>
      </c>
      <c r="AF1584" s="14">
        <v>0.31800529490928497</v>
      </c>
      <c r="AG1584" s="14">
        <v>0.71753794257456105</v>
      </c>
      <c r="AH1584" s="14"/>
      <c r="AI1584" s="14">
        <v>0.27220351128685999</v>
      </c>
      <c r="AJ1584" s="14">
        <v>0.24697158156124499</v>
      </c>
      <c r="AK1584" s="14">
        <v>0.24148478574787</v>
      </c>
      <c r="AL1584" s="14">
        <v>0.19203968944247099</v>
      </c>
      <c r="AM1584" s="14">
        <v>0.13220182379815301</v>
      </c>
      <c r="AN1584" s="14">
        <v>0.231159329301902</v>
      </c>
      <c r="AO1584" s="14"/>
      <c r="AP1584" s="14">
        <v>0.26172084342516699</v>
      </c>
      <c r="AQ1584" s="14">
        <v>0.202029086984334</v>
      </c>
      <c r="AR1584" s="14"/>
      <c r="AS1584" s="14" t="s">
        <v>88</v>
      </c>
      <c r="AT1584" s="14" t="s">
        <v>88</v>
      </c>
      <c r="AU1584" s="14">
        <v>0.235141485896916</v>
      </c>
      <c r="AV1584" s="14"/>
      <c r="AW1584" s="14">
        <v>0.204757166020373</v>
      </c>
      <c r="AX1584" s="14">
        <v>0.40009079669201397</v>
      </c>
      <c r="AY1584" s="14"/>
      <c r="AZ1584" s="14">
        <v>0.26326528573326602</v>
      </c>
      <c r="BA1584" s="14">
        <v>7.5274939439513799E-2</v>
      </c>
    </row>
    <row r="1585" spans="2:53" x14ac:dyDescent="0.35">
      <c r="B1585" t="s">
        <v>221</v>
      </c>
      <c r="C1585" s="14">
        <v>0.43851960493881498</v>
      </c>
      <c r="D1585" s="14">
        <v>0.46549661248511998</v>
      </c>
      <c r="E1585" s="14">
        <v>0.40886678922754699</v>
      </c>
      <c r="F1585" s="14"/>
      <c r="G1585" s="14" t="s">
        <v>88</v>
      </c>
      <c r="H1585" s="14">
        <v>0.46062573140843099</v>
      </c>
      <c r="I1585" s="14">
        <v>0.43818760397354001</v>
      </c>
      <c r="J1585" s="14">
        <v>0.41309050111960299</v>
      </c>
      <c r="K1585" s="14">
        <v>0.46044106090480702</v>
      </c>
      <c r="L1585" s="14">
        <v>0.76762488057573197</v>
      </c>
      <c r="M1585" s="14"/>
      <c r="N1585" s="14">
        <v>0.408584641148804</v>
      </c>
      <c r="O1585" s="14">
        <v>0.52071424848381598</v>
      </c>
      <c r="P1585" s="14">
        <v>0.46433389536580899</v>
      </c>
      <c r="Q1585" s="14">
        <v>0.35962278096990002</v>
      </c>
      <c r="R1585" s="14"/>
      <c r="S1585" s="14">
        <v>0.424506131547085</v>
      </c>
      <c r="T1585" s="14">
        <v>0.34280831770477699</v>
      </c>
      <c r="U1585" s="14">
        <v>0.36494662957041601</v>
      </c>
      <c r="V1585" s="14">
        <v>0.535999181600464</v>
      </c>
      <c r="W1585" s="14">
        <v>0.41238741640968302</v>
      </c>
      <c r="X1585" s="14">
        <v>0.46687000881867802</v>
      </c>
      <c r="Y1585" s="14">
        <v>0.40149461808990999</v>
      </c>
      <c r="Z1585" s="14">
        <v>0.54299385643680798</v>
      </c>
      <c r="AA1585" s="14">
        <v>0.52571192066615102</v>
      </c>
      <c r="AB1585" s="14"/>
      <c r="AC1585" s="14">
        <v>0.48653783153755498</v>
      </c>
      <c r="AD1585" s="14">
        <v>0.46260600734047902</v>
      </c>
      <c r="AE1585" s="14">
        <v>0.465231293676313</v>
      </c>
      <c r="AF1585" s="14">
        <v>0.45156262890743698</v>
      </c>
      <c r="AG1585" s="14">
        <v>0.13875971363095399</v>
      </c>
      <c r="AH1585" s="14"/>
      <c r="AI1585" s="14">
        <v>0.45675941901987099</v>
      </c>
      <c r="AJ1585" s="14">
        <v>0.462592201217223</v>
      </c>
      <c r="AK1585" s="14">
        <v>0.41090041327604199</v>
      </c>
      <c r="AL1585" s="14">
        <v>0.409417505462146</v>
      </c>
      <c r="AM1585" s="14">
        <v>0.40134079833066999</v>
      </c>
      <c r="AN1585" s="14">
        <v>0.42676833783802498</v>
      </c>
      <c r="AO1585" s="14"/>
      <c r="AP1585" s="14">
        <v>0.44088727427566199</v>
      </c>
      <c r="AQ1585" s="14">
        <v>0.43556997714997803</v>
      </c>
      <c r="AR1585" s="14"/>
      <c r="AS1585" s="14" t="s">
        <v>88</v>
      </c>
      <c r="AT1585" s="14" t="s">
        <v>88</v>
      </c>
      <c r="AU1585" s="14">
        <v>0.43851960493881498</v>
      </c>
      <c r="AV1585" s="14"/>
      <c r="AW1585" s="14">
        <v>0.45821796253137398</v>
      </c>
      <c r="AX1585" s="14">
        <v>0.35468045098348899</v>
      </c>
      <c r="AY1585" s="14"/>
      <c r="AZ1585" s="14">
        <v>0.45666060204965098</v>
      </c>
      <c r="BA1585" s="14">
        <v>0.32541631244262997</v>
      </c>
    </row>
    <row r="1586" spans="2:53" x14ac:dyDescent="0.35">
      <c r="B1586" t="s">
        <v>222</v>
      </c>
      <c r="C1586" s="14">
        <v>0.19425185912326901</v>
      </c>
      <c r="D1586" s="14">
        <v>0.15078107359936199</v>
      </c>
      <c r="E1586" s="14">
        <v>0.24203444545171601</v>
      </c>
      <c r="F1586" s="14"/>
      <c r="G1586" s="14" t="s">
        <v>88</v>
      </c>
      <c r="H1586" s="14">
        <v>0.171272358269836</v>
      </c>
      <c r="I1586" s="14">
        <v>0.14587268655406499</v>
      </c>
      <c r="J1586" s="14">
        <v>0.26546131870645601</v>
      </c>
      <c r="K1586" s="14">
        <v>0.16906193493365501</v>
      </c>
      <c r="L1586" s="14">
        <v>0.18404751067613001</v>
      </c>
      <c r="M1586" s="14"/>
      <c r="N1586" s="14">
        <v>0.21745843408247401</v>
      </c>
      <c r="O1586" s="14">
        <v>0.154527051864815</v>
      </c>
      <c r="P1586" s="14">
        <v>0.17282871848928999</v>
      </c>
      <c r="Q1586" s="14">
        <v>0.22850280525710201</v>
      </c>
      <c r="R1586" s="14"/>
      <c r="S1586" s="14">
        <v>0.154724393033985</v>
      </c>
      <c r="T1586" s="14">
        <v>0.32845374013817902</v>
      </c>
      <c r="U1586" s="14">
        <v>0.22493280615695199</v>
      </c>
      <c r="V1586" s="14">
        <v>0.121869078516643</v>
      </c>
      <c r="W1586" s="14">
        <v>0.179526044139351</v>
      </c>
      <c r="X1586" s="14">
        <v>0.15787990487210499</v>
      </c>
      <c r="Y1586" s="14">
        <v>0.22131216035666501</v>
      </c>
      <c r="Z1586" s="14">
        <v>0.18892272768670901</v>
      </c>
      <c r="AA1586" s="14">
        <v>0.13881472621975299</v>
      </c>
      <c r="AB1586" s="14"/>
      <c r="AC1586" s="14">
        <v>0.15029003379022099</v>
      </c>
      <c r="AD1586" s="14">
        <v>0.272789346902576</v>
      </c>
      <c r="AE1586" s="14">
        <v>0.183710562201883</v>
      </c>
      <c r="AF1586" s="14">
        <v>0.15826954648548999</v>
      </c>
      <c r="AG1586" s="14">
        <v>0.11688368828387</v>
      </c>
      <c r="AH1586" s="14"/>
      <c r="AI1586" s="14">
        <v>0.14732897448301999</v>
      </c>
      <c r="AJ1586" s="14">
        <v>0.17476665321840601</v>
      </c>
      <c r="AK1586" s="14">
        <v>0.28027124761622102</v>
      </c>
      <c r="AL1586" s="14">
        <v>0.19168675328086399</v>
      </c>
      <c r="AM1586" s="14">
        <v>0.259332857556619</v>
      </c>
      <c r="AN1586" s="14">
        <v>0.19744853693395101</v>
      </c>
      <c r="AO1586" s="14"/>
      <c r="AP1586" s="14">
        <v>0.18190175003036199</v>
      </c>
      <c r="AQ1586" s="14">
        <v>0.209637548505098</v>
      </c>
      <c r="AR1586" s="14"/>
      <c r="AS1586" s="14" t="s">
        <v>88</v>
      </c>
      <c r="AT1586" s="14" t="s">
        <v>88</v>
      </c>
      <c r="AU1586" s="14">
        <v>0.19425185912326901</v>
      </c>
      <c r="AV1586" s="14"/>
      <c r="AW1586" s="14">
        <v>0.19832180416569001</v>
      </c>
      <c r="AX1586" s="14">
        <v>0.157946373045731</v>
      </c>
      <c r="AY1586" s="14"/>
      <c r="AZ1586" s="14">
        <v>0.17222245766094199</v>
      </c>
      <c r="BA1586" s="14">
        <v>0.32477292082237103</v>
      </c>
    </row>
    <row r="1587" spans="2:53" x14ac:dyDescent="0.35">
      <c r="B1587" t="s">
        <v>223</v>
      </c>
      <c r="C1587" s="14">
        <v>3.7368550274180103E-2</v>
      </c>
      <c r="D1587" s="14">
        <v>9.23579113245869E-3</v>
      </c>
      <c r="E1587" s="14">
        <v>6.8291754815938494E-2</v>
      </c>
      <c r="F1587" s="14"/>
      <c r="G1587" s="14" t="s">
        <v>88</v>
      </c>
      <c r="H1587" s="14">
        <v>0</v>
      </c>
      <c r="I1587" s="14">
        <v>4.3659317523929701E-2</v>
      </c>
      <c r="J1587" s="14">
        <v>4.2937883593917398E-2</v>
      </c>
      <c r="K1587" s="14">
        <v>2.1855464492184801E-2</v>
      </c>
      <c r="L1587" s="14">
        <v>4.8327608748138601E-2</v>
      </c>
      <c r="M1587" s="14"/>
      <c r="N1587" s="14">
        <v>2.49780635062085E-2</v>
      </c>
      <c r="O1587" s="14">
        <v>1.6452817660483999E-2</v>
      </c>
      <c r="P1587" s="14">
        <v>3.62869452061629E-2</v>
      </c>
      <c r="Q1587" s="14">
        <v>8.2688981463411401E-2</v>
      </c>
      <c r="R1587" s="14"/>
      <c r="S1587" s="14">
        <v>5.0206624940024001E-2</v>
      </c>
      <c r="T1587" s="14">
        <v>3.5811275791767898E-2</v>
      </c>
      <c r="U1587" s="14">
        <v>7.5827327746127701E-2</v>
      </c>
      <c r="V1587" s="14">
        <v>3.7011304297565301E-2</v>
      </c>
      <c r="W1587" s="14">
        <v>0</v>
      </c>
      <c r="X1587" s="14">
        <v>9.8314766979195108E-3</v>
      </c>
      <c r="Y1587" s="14">
        <v>4.7451583006499799E-2</v>
      </c>
      <c r="Z1587" s="14">
        <v>5.3521637127850401E-2</v>
      </c>
      <c r="AA1587" s="14">
        <v>2.3504402494851799E-2</v>
      </c>
      <c r="AB1587" s="14"/>
      <c r="AC1587" s="14">
        <v>1.50994880952319E-2</v>
      </c>
      <c r="AD1587" s="14">
        <v>3.9204900786916297E-2</v>
      </c>
      <c r="AE1587" s="14">
        <v>2.7246115754973502E-2</v>
      </c>
      <c r="AF1587" s="14">
        <v>1.9660644966592801E-3</v>
      </c>
      <c r="AG1587" s="14">
        <v>0</v>
      </c>
      <c r="AH1587" s="14"/>
      <c r="AI1587" s="14">
        <v>3.86212278142017E-2</v>
      </c>
      <c r="AJ1587" s="14">
        <v>3.2042469558332801E-2</v>
      </c>
      <c r="AK1587" s="14">
        <v>3.0260342603952502E-2</v>
      </c>
      <c r="AL1587" s="14">
        <v>7.6715761399880303E-2</v>
      </c>
      <c r="AM1587" s="14">
        <v>0</v>
      </c>
      <c r="AN1587" s="14">
        <v>4.8320421270761402E-2</v>
      </c>
      <c r="AO1587" s="14"/>
      <c r="AP1587" s="14">
        <v>3.0435748474843101E-2</v>
      </c>
      <c r="AQ1587" s="14">
        <v>4.6005391797437997E-2</v>
      </c>
      <c r="AR1587" s="14"/>
      <c r="AS1587" s="14" t="s">
        <v>88</v>
      </c>
      <c r="AT1587" s="14" t="s">
        <v>88</v>
      </c>
      <c r="AU1587" s="14">
        <v>3.7368550274180103E-2</v>
      </c>
      <c r="AV1587" s="14"/>
      <c r="AW1587" s="14">
        <v>4.4253499209222801E-2</v>
      </c>
      <c r="AX1587" s="14">
        <v>1.16155490640357E-2</v>
      </c>
      <c r="AY1587" s="14"/>
      <c r="AZ1587" s="14">
        <v>2.0373650931879001E-2</v>
      </c>
      <c r="BA1587" s="14">
        <v>0.13648625734004999</v>
      </c>
    </row>
    <row r="1588" spans="2:53" x14ac:dyDescent="0.35">
      <c r="B1588" t="s">
        <v>116</v>
      </c>
      <c r="C1588" s="14">
        <v>1.6617288452262301E-2</v>
      </c>
      <c r="D1588" s="14">
        <v>1.0432954501920499E-2</v>
      </c>
      <c r="E1588" s="14">
        <v>2.34150370391525E-2</v>
      </c>
      <c r="F1588" s="14"/>
      <c r="G1588" s="14" t="s">
        <v>88</v>
      </c>
      <c r="H1588" s="14">
        <v>5.4188595108219502E-2</v>
      </c>
      <c r="I1588" s="14">
        <v>1.1004341609636399E-2</v>
      </c>
      <c r="J1588" s="14">
        <v>1.81288927724364E-2</v>
      </c>
      <c r="K1588" s="14">
        <v>0</v>
      </c>
      <c r="L1588" s="14">
        <v>0</v>
      </c>
      <c r="M1588" s="14"/>
      <c r="N1588" s="14">
        <v>3.6106871892277602E-3</v>
      </c>
      <c r="O1588" s="14">
        <v>9.9442742012183002E-3</v>
      </c>
      <c r="P1588" s="14">
        <v>3.2292681428600999E-2</v>
      </c>
      <c r="Q1588" s="14">
        <v>2.6157748071994801E-2</v>
      </c>
      <c r="R1588" s="14"/>
      <c r="S1588" s="14">
        <v>0</v>
      </c>
      <c r="T1588" s="14">
        <v>1.5275202257811701E-2</v>
      </c>
      <c r="U1588" s="14">
        <v>3.0344505251832E-2</v>
      </c>
      <c r="V1588" s="14">
        <v>2.4219894189236601E-2</v>
      </c>
      <c r="W1588" s="14">
        <v>0</v>
      </c>
      <c r="X1588" s="14">
        <v>2.1506501101983301E-2</v>
      </c>
      <c r="Y1588" s="14">
        <v>5.9077450777102997E-2</v>
      </c>
      <c r="Z1588" s="14">
        <v>0</v>
      </c>
      <c r="AA1588" s="14">
        <v>1.0055810948557901E-2</v>
      </c>
      <c r="AB1588" s="14"/>
      <c r="AC1588" s="14">
        <v>3.4869979116971199E-2</v>
      </c>
      <c r="AD1588" s="14">
        <v>9.2346393612394596E-3</v>
      </c>
      <c r="AE1588" s="14">
        <v>1.7250947266020101E-2</v>
      </c>
      <c r="AF1588" s="14">
        <v>0</v>
      </c>
      <c r="AG1588" s="14">
        <v>0</v>
      </c>
      <c r="AH1588" s="14"/>
      <c r="AI1588" s="14">
        <v>1.16105893530005E-2</v>
      </c>
      <c r="AJ1588" s="14">
        <v>1.2260821319914E-2</v>
      </c>
      <c r="AK1588" s="14">
        <v>2.6865977894630799E-2</v>
      </c>
      <c r="AL1588" s="14">
        <v>3.5993916723213698E-2</v>
      </c>
      <c r="AM1588" s="14">
        <v>3.05879418371524E-2</v>
      </c>
      <c r="AN1588" s="14">
        <v>0</v>
      </c>
      <c r="AO1588" s="14"/>
      <c r="AP1588" s="14">
        <v>2.05312558863649E-2</v>
      </c>
      <c r="AQ1588" s="14">
        <v>1.17412920753329E-2</v>
      </c>
      <c r="AR1588" s="14"/>
      <c r="AS1588" s="14" t="s">
        <v>88</v>
      </c>
      <c r="AT1588" s="14" t="s">
        <v>88</v>
      </c>
      <c r="AU1588" s="14">
        <v>1.6617288452262301E-2</v>
      </c>
      <c r="AV1588" s="14"/>
      <c r="AW1588" s="14">
        <v>1.52431855636694E-2</v>
      </c>
      <c r="AX1588" s="14">
        <v>0</v>
      </c>
      <c r="AY1588" s="14"/>
      <c r="AZ1588" s="14">
        <v>1.0660071540201601E-2</v>
      </c>
      <c r="BA1588" s="14">
        <v>5.1410240698838199E-2</v>
      </c>
    </row>
    <row r="1589" spans="2:53" x14ac:dyDescent="0.35">
      <c r="B1589" t="s">
        <v>224</v>
      </c>
      <c r="C1589" s="14">
        <v>0.673661090835732</v>
      </c>
      <c r="D1589" s="14">
        <v>0.73752639619258398</v>
      </c>
      <c r="E1589" s="14">
        <v>0.60346108340940796</v>
      </c>
      <c r="F1589" s="14"/>
      <c r="G1589" s="14" t="s">
        <v>88</v>
      </c>
      <c r="H1589" s="14">
        <v>0.65873720952539305</v>
      </c>
      <c r="I1589" s="14">
        <v>0.72765790333709002</v>
      </c>
      <c r="J1589" s="14">
        <v>0.609289482569354</v>
      </c>
      <c r="K1589" s="14">
        <v>0.66849290615943002</v>
      </c>
      <c r="L1589" s="14">
        <v>0.76762488057573197</v>
      </c>
      <c r="M1589" s="14"/>
      <c r="N1589" s="14">
        <v>0.68302054366175602</v>
      </c>
      <c r="O1589" s="14">
        <v>0.73149964701882897</v>
      </c>
      <c r="P1589" s="14">
        <v>0.68843140973590899</v>
      </c>
      <c r="Q1589" s="14">
        <v>0.57292034889514998</v>
      </c>
      <c r="R1589" s="14"/>
      <c r="S1589" s="14">
        <v>0.72647340343649103</v>
      </c>
      <c r="T1589" s="14">
        <v>0.54900122505694005</v>
      </c>
      <c r="U1589" s="14">
        <v>0.55645729198058502</v>
      </c>
      <c r="V1589" s="14">
        <v>0.717639026452359</v>
      </c>
      <c r="W1589" s="14">
        <v>0.72054734366728801</v>
      </c>
      <c r="X1589" s="14">
        <v>0.75844101479075798</v>
      </c>
      <c r="Y1589" s="14">
        <v>0.574154258077468</v>
      </c>
      <c r="Z1589" s="14">
        <v>0.71133092528044295</v>
      </c>
      <c r="AA1589" s="14">
        <v>0.76485218493306295</v>
      </c>
      <c r="AB1589" s="14"/>
      <c r="AC1589" s="14">
        <v>0.68644777088628495</v>
      </c>
      <c r="AD1589" s="14">
        <v>0.592274102836859</v>
      </c>
      <c r="AE1589" s="14">
        <v>0.70204756276246805</v>
      </c>
      <c r="AF1589" s="14">
        <v>0.76956792381672201</v>
      </c>
      <c r="AG1589" s="14">
        <v>0.85629765620551501</v>
      </c>
      <c r="AH1589" s="14"/>
      <c r="AI1589" s="14">
        <v>0.72896293030673198</v>
      </c>
      <c r="AJ1589" s="14">
        <v>0.70956378277846799</v>
      </c>
      <c r="AK1589" s="14">
        <v>0.65238519902391201</v>
      </c>
      <c r="AL1589" s="14">
        <v>0.60145719490461602</v>
      </c>
      <c r="AM1589" s="14">
        <v>0.53354262212882198</v>
      </c>
      <c r="AN1589" s="14">
        <v>0.65792766713992701</v>
      </c>
      <c r="AO1589" s="14"/>
      <c r="AP1589" s="14">
        <v>0.70260811770082998</v>
      </c>
      <c r="AQ1589" s="14">
        <v>0.637599064134312</v>
      </c>
      <c r="AR1589" s="14"/>
      <c r="AS1589" s="14" t="s">
        <v>88</v>
      </c>
      <c r="AT1589" s="14" t="s">
        <v>88</v>
      </c>
      <c r="AU1589" s="14">
        <v>0.673661090835732</v>
      </c>
      <c r="AV1589" s="14"/>
      <c r="AW1589" s="14">
        <v>0.66297512855174701</v>
      </c>
      <c r="AX1589" s="14">
        <v>0.75477124767550396</v>
      </c>
      <c r="AY1589" s="14"/>
      <c r="AZ1589" s="14">
        <v>0.719925887782917</v>
      </c>
      <c r="BA1589" s="14">
        <v>0.400691251882144</v>
      </c>
    </row>
    <row r="1590" spans="2:53" x14ac:dyDescent="0.35"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  <c r="AO1590" s="14"/>
      <c r="AP1590" s="14"/>
      <c r="AQ1590" s="14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</row>
    <row r="1591" spans="2:53" x14ac:dyDescent="0.35">
      <c r="B1591" s="6" t="s">
        <v>376</v>
      </c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/>
      <c r="AN1591" s="14"/>
      <c r="AO1591" s="14"/>
      <c r="AP1591" s="14"/>
      <c r="AQ1591" s="14"/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</row>
    <row r="1592" spans="2:53" x14ac:dyDescent="0.35">
      <c r="B1592" s="24" t="s">
        <v>101</v>
      </c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</row>
    <row r="1593" spans="2:53" x14ac:dyDescent="0.35">
      <c r="B1593" t="s">
        <v>154</v>
      </c>
      <c r="C1593" s="14">
        <v>0.49235580159812298</v>
      </c>
      <c r="D1593" s="14">
        <v>0.50728249874902398</v>
      </c>
      <c r="E1593" s="14">
        <v>0.47680880622434701</v>
      </c>
      <c r="F1593" s="14"/>
      <c r="G1593" s="14">
        <v>0.81714198225865298</v>
      </c>
      <c r="H1593" s="14">
        <v>0.54261473827014495</v>
      </c>
      <c r="I1593" s="14">
        <v>0.511842838956313</v>
      </c>
      <c r="J1593" s="14">
        <v>0.46637797090838701</v>
      </c>
      <c r="K1593" s="14">
        <v>0.45829697010072501</v>
      </c>
      <c r="L1593" s="14">
        <v>0.57890015759304003</v>
      </c>
      <c r="M1593" s="14"/>
      <c r="N1593" s="14">
        <v>0.54109093594109303</v>
      </c>
      <c r="O1593" s="14">
        <v>0.46390695187303599</v>
      </c>
      <c r="P1593" s="14">
        <v>0.54185499490867095</v>
      </c>
      <c r="Q1593" s="14">
        <v>0.41218287041450202</v>
      </c>
      <c r="R1593" s="14"/>
      <c r="S1593" s="14">
        <v>0.57192361971196204</v>
      </c>
      <c r="T1593" s="14">
        <v>0.489071882833854</v>
      </c>
      <c r="U1593" s="14">
        <v>0.34423073172180702</v>
      </c>
      <c r="V1593" s="14">
        <v>0.43265392716479201</v>
      </c>
      <c r="W1593" s="14">
        <v>0.50175521200442097</v>
      </c>
      <c r="X1593" s="14">
        <v>0.55025373317849802</v>
      </c>
      <c r="Y1593" s="14">
        <v>0.51719272981022402</v>
      </c>
      <c r="Z1593" s="14">
        <v>0.57399985512778695</v>
      </c>
      <c r="AA1593" s="14">
        <v>0.460143714872913</v>
      </c>
      <c r="AB1593" s="14"/>
      <c r="AC1593" s="14">
        <v>0.36373210175007797</v>
      </c>
      <c r="AD1593" s="14">
        <v>0.53366974091858899</v>
      </c>
      <c r="AE1593" s="14">
        <v>0.51892520124833796</v>
      </c>
      <c r="AF1593" s="14">
        <v>0.63373717439264399</v>
      </c>
      <c r="AG1593" s="14">
        <v>0.61567738374056702</v>
      </c>
      <c r="AH1593" s="14"/>
      <c r="AI1593" s="14">
        <v>0.51064714740981898</v>
      </c>
      <c r="AJ1593" s="14">
        <v>0.514646681193351</v>
      </c>
      <c r="AK1593" s="14">
        <v>0.45620712742984798</v>
      </c>
      <c r="AL1593" s="14">
        <v>0.48603742647305997</v>
      </c>
      <c r="AM1593" s="14">
        <v>0.62997073622797894</v>
      </c>
      <c r="AN1593" s="14">
        <v>0.388572252107592</v>
      </c>
      <c r="AO1593" s="14"/>
      <c r="AP1593" s="14">
        <v>0.51785388642221497</v>
      </c>
      <c r="AQ1593" s="14">
        <v>0.46463650355947</v>
      </c>
      <c r="AR1593" s="14"/>
      <c r="AS1593" s="14" t="s">
        <v>88</v>
      </c>
      <c r="AT1593" s="14" t="s">
        <v>88</v>
      </c>
      <c r="AU1593" s="14">
        <v>0.49235580159812298</v>
      </c>
      <c r="AV1593" s="14"/>
      <c r="AW1593" s="14">
        <v>0.48307645832333101</v>
      </c>
      <c r="AX1593" s="14">
        <v>0.62874719239707899</v>
      </c>
      <c r="AY1593" s="14"/>
      <c r="AZ1593" s="14">
        <v>0.51808762791130902</v>
      </c>
      <c r="BA1593" s="14">
        <v>0.40051766128633298</v>
      </c>
    </row>
    <row r="1594" spans="2:53" x14ac:dyDescent="0.35">
      <c r="B1594" t="s">
        <v>155</v>
      </c>
      <c r="C1594" s="14">
        <v>0.228067517546715</v>
      </c>
      <c r="D1594" s="14">
        <v>0.25328783561353502</v>
      </c>
      <c r="E1594" s="14">
        <v>0.20343815193176101</v>
      </c>
      <c r="F1594" s="14"/>
      <c r="G1594" s="14">
        <v>0.182858017741347</v>
      </c>
      <c r="H1594" s="14">
        <v>0.31453403659290502</v>
      </c>
      <c r="I1594" s="14">
        <v>0.234542569085502</v>
      </c>
      <c r="J1594" s="14">
        <v>0.191110797773518</v>
      </c>
      <c r="K1594" s="14">
        <v>0.261374863810034</v>
      </c>
      <c r="L1594" s="14">
        <v>0.25669282383526099</v>
      </c>
      <c r="M1594" s="14"/>
      <c r="N1594" s="14">
        <v>0.24555956359825201</v>
      </c>
      <c r="O1594" s="14">
        <v>0.20265752368319501</v>
      </c>
      <c r="P1594" s="14">
        <v>0.21128300801504399</v>
      </c>
      <c r="Q1594" s="14">
        <v>0.25361429176129702</v>
      </c>
      <c r="R1594" s="14"/>
      <c r="S1594" s="14">
        <v>0.21224950162141601</v>
      </c>
      <c r="T1594" s="14">
        <v>0.22132440767958</v>
      </c>
      <c r="U1594" s="14">
        <v>0.31833020553296298</v>
      </c>
      <c r="V1594" s="14">
        <v>0.25041939639690203</v>
      </c>
      <c r="W1594" s="14">
        <v>0.20961376633748399</v>
      </c>
      <c r="X1594" s="14">
        <v>0.15232576483514099</v>
      </c>
      <c r="Y1594" s="14">
        <v>0.223356429487717</v>
      </c>
      <c r="Z1594" s="14">
        <v>0.21251265279324499</v>
      </c>
      <c r="AA1594" s="14">
        <v>0.25106122016990501</v>
      </c>
      <c r="AB1594" s="14"/>
      <c r="AC1594" s="14">
        <v>0.28048512648762702</v>
      </c>
      <c r="AD1594" s="14">
        <v>0.193135961453131</v>
      </c>
      <c r="AE1594" s="14">
        <v>0.22651813443041899</v>
      </c>
      <c r="AF1594" s="14">
        <v>0.22231874706850099</v>
      </c>
      <c r="AG1594" s="14">
        <v>0.27326499150706102</v>
      </c>
      <c r="AH1594" s="14"/>
      <c r="AI1594" s="14">
        <v>0.23716572640865899</v>
      </c>
      <c r="AJ1594" s="14">
        <v>0.27497468368711098</v>
      </c>
      <c r="AK1594" s="14">
        <v>0.16946335409303601</v>
      </c>
      <c r="AL1594" s="14">
        <v>0.19675468091491499</v>
      </c>
      <c r="AM1594" s="14">
        <v>0.226947605485602</v>
      </c>
      <c r="AN1594" s="14">
        <v>0.25217392697367802</v>
      </c>
      <c r="AO1594" s="14"/>
      <c r="AP1594" s="14">
        <v>0.22690296794286</v>
      </c>
      <c r="AQ1594" s="14">
        <v>0.230561336444325</v>
      </c>
      <c r="AR1594" s="14"/>
      <c r="AS1594" s="14" t="s">
        <v>88</v>
      </c>
      <c r="AT1594" s="14" t="s">
        <v>88</v>
      </c>
      <c r="AU1594" s="14">
        <v>0.228067517546715</v>
      </c>
      <c r="AV1594" s="14"/>
      <c r="AW1594" s="14">
        <v>0.21990519163859801</v>
      </c>
      <c r="AX1594" s="14">
        <v>0.236989984260772</v>
      </c>
      <c r="AY1594" s="14"/>
      <c r="AZ1594" s="14">
        <v>0.24317002729620901</v>
      </c>
      <c r="BA1594" s="14">
        <v>0.17568078884424901</v>
      </c>
    </row>
    <row r="1595" spans="2:53" x14ac:dyDescent="0.35">
      <c r="B1595" t="s">
        <v>116</v>
      </c>
      <c r="C1595" s="14">
        <v>0.27957668085516202</v>
      </c>
      <c r="D1595" s="14">
        <v>0.239429665637441</v>
      </c>
      <c r="E1595" s="14">
        <v>0.31975304184389097</v>
      </c>
      <c r="F1595" s="14"/>
      <c r="G1595" s="14">
        <v>0</v>
      </c>
      <c r="H1595" s="14">
        <v>0.142851225136951</v>
      </c>
      <c r="I1595" s="14">
        <v>0.25361459195818498</v>
      </c>
      <c r="J1595" s="14">
        <v>0.34251123131809502</v>
      </c>
      <c r="K1595" s="14">
        <v>0.28032816608924099</v>
      </c>
      <c r="L1595" s="14">
        <v>0.16440701857169901</v>
      </c>
      <c r="M1595" s="14"/>
      <c r="N1595" s="14">
        <v>0.21334950046065501</v>
      </c>
      <c r="O1595" s="14">
        <v>0.333435524443769</v>
      </c>
      <c r="P1595" s="14">
        <v>0.24686199707628501</v>
      </c>
      <c r="Q1595" s="14">
        <v>0.33420283782420102</v>
      </c>
      <c r="R1595" s="14"/>
      <c r="S1595" s="14">
        <v>0.21582687866662101</v>
      </c>
      <c r="T1595" s="14">
        <v>0.289603709486566</v>
      </c>
      <c r="U1595" s="14">
        <v>0.33743906274523</v>
      </c>
      <c r="V1595" s="14">
        <v>0.31692667643830702</v>
      </c>
      <c r="W1595" s="14">
        <v>0.28863102165809401</v>
      </c>
      <c r="X1595" s="14">
        <v>0.297420501986361</v>
      </c>
      <c r="Y1595" s="14">
        <v>0.25945084070205898</v>
      </c>
      <c r="Z1595" s="14">
        <v>0.213487492078968</v>
      </c>
      <c r="AA1595" s="14">
        <v>0.28879506495718199</v>
      </c>
      <c r="AB1595" s="14"/>
      <c r="AC1595" s="14">
        <v>0.355782771762295</v>
      </c>
      <c r="AD1595" s="14">
        <v>0.27319429762828001</v>
      </c>
      <c r="AE1595" s="14">
        <v>0.25455666432124402</v>
      </c>
      <c r="AF1595" s="14">
        <v>0.14394407853885499</v>
      </c>
      <c r="AG1595" s="14">
        <v>0.111057624752373</v>
      </c>
      <c r="AH1595" s="14"/>
      <c r="AI1595" s="14">
        <v>0.252187126181522</v>
      </c>
      <c r="AJ1595" s="14">
        <v>0.210378635119538</v>
      </c>
      <c r="AK1595" s="14">
        <v>0.37432951847711599</v>
      </c>
      <c r="AL1595" s="14">
        <v>0.31720789261202498</v>
      </c>
      <c r="AM1595" s="14">
        <v>0.143081658286419</v>
      </c>
      <c r="AN1595" s="14">
        <v>0.35925382091872998</v>
      </c>
      <c r="AO1595" s="14"/>
      <c r="AP1595" s="14">
        <v>0.25524314563492501</v>
      </c>
      <c r="AQ1595" s="14">
        <v>0.30480215999620502</v>
      </c>
      <c r="AR1595" s="14"/>
      <c r="AS1595" s="14" t="s">
        <v>88</v>
      </c>
      <c r="AT1595" s="14" t="s">
        <v>88</v>
      </c>
      <c r="AU1595" s="14">
        <v>0.27957668085516202</v>
      </c>
      <c r="AV1595" s="14"/>
      <c r="AW1595" s="14">
        <v>0.29701835003807098</v>
      </c>
      <c r="AX1595" s="14">
        <v>0.13426282334214901</v>
      </c>
      <c r="AY1595" s="14"/>
      <c r="AZ1595" s="14">
        <v>0.23874234479248299</v>
      </c>
      <c r="BA1595" s="14">
        <v>0.42380154986941898</v>
      </c>
    </row>
    <row r="1596" spans="2:53" x14ac:dyDescent="0.35"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/>
      <c r="AN1596" s="14"/>
      <c r="AO1596" s="14"/>
      <c r="AP1596" s="14"/>
      <c r="AQ1596" s="14"/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</row>
    <row r="1597" spans="2:53" x14ac:dyDescent="0.35">
      <c r="B1597" s="6" t="s">
        <v>377</v>
      </c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/>
      <c r="AN1597" s="14"/>
      <c r="AO1597" s="14"/>
      <c r="AP1597" s="14"/>
      <c r="AQ1597" s="14"/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</row>
    <row r="1598" spans="2:53" x14ac:dyDescent="0.35">
      <c r="B1598" s="30" t="s">
        <v>463</v>
      </c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</row>
    <row r="1599" spans="2:53" x14ac:dyDescent="0.35">
      <c r="B1599" t="s">
        <v>214</v>
      </c>
      <c r="C1599" s="14">
        <v>0.18345086902800301</v>
      </c>
      <c r="D1599" s="14">
        <v>0.19628372968660401</v>
      </c>
      <c r="E1599" s="14">
        <v>0.17051216041980999</v>
      </c>
      <c r="F1599" s="14"/>
      <c r="G1599" s="14">
        <v>0</v>
      </c>
      <c r="H1599" s="14">
        <v>0.18447183204319501</v>
      </c>
      <c r="I1599" s="14">
        <v>0.23055837465687901</v>
      </c>
      <c r="J1599" s="14">
        <v>0.172824375890753</v>
      </c>
      <c r="K1599" s="14">
        <v>8.6644142509204006E-2</v>
      </c>
      <c r="L1599" s="14">
        <v>4.5541395434548299E-2</v>
      </c>
      <c r="M1599" s="14"/>
      <c r="N1599" s="14">
        <v>0.20279035355951899</v>
      </c>
      <c r="O1599" s="14">
        <v>0.128733061470543</v>
      </c>
      <c r="P1599" s="14">
        <v>0.18056158129285901</v>
      </c>
      <c r="Q1599" s="14">
        <v>0.22666152591052599</v>
      </c>
      <c r="R1599" s="14"/>
      <c r="S1599" s="14">
        <v>0.26311917220901798</v>
      </c>
      <c r="T1599" s="14">
        <v>0.15191431915911599</v>
      </c>
      <c r="U1599" s="14">
        <v>0.211454011931691</v>
      </c>
      <c r="V1599" s="14">
        <v>6.8980124539206197E-2</v>
      </c>
      <c r="W1599" s="14">
        <v>0.20886705731062499</v>
      </c>
      <c r="X1599" s="14">
        <v>0.18654763052197901</v>
      </c>
      <c r="Y1599" s="14">
        <v>0.14769220911693001</v>
      </c>
      <c r="Z1599" s="14">
        <v>0.28929170784744201</v>
      </c>
      <c r="AA1599" s="14">
        <v>0.13911089709395999</v>
      </c>
      <c r="AB1599" s="14"/>
      <c r="AC1599" s="14">
        <v>0.140715643050907</v>
      </c>
      <c r="AD1599" s="14">
        <v>0.139220512201432</v>
      </c>
      <c r="AE1599" s="14">
        <v>0.153487431672504</v>
      </c>
      <c r="AF1599" s="14">
        <v>0.29793483489403899</v>
      </c>
      <c r="AG1599" s="14">
        <v>0.52601651378475001</v>
      </c>
      <c r="AH1599" s="14"/>
      <c r="AI1599" s="14">
        <v>0.24286821063481501</v>
      </c>
      <c r="AJ1599" s="14">
        <v>0.15136850320294601</v>
      </c>
      <c r="AK1599" s="14">
        <v>0.24016713920965199</v>
      </c>
      <c r="AL1599" s="14">
        <v>9.72142143423603E-2</v>
      </c>
      <c r="AM1599" s="14">
        <v>0.353822064959116</v>
      </c>
      <c r="AN1599" s="14">
        <v>0.129416419862802</v>
      </c>
      <c r="AO1599" s="14"/>
      <c r="AP1599" s="14">
        <v>0.21072009766118999</v>
      </c>
      <c r="AQ1599" s="14">
        <v>0.14909409225370601</v>
      </c>
      <c r="AR1599" s="14"/>
      <c r="AS1599" s="14" t="s">
        <v>88</v>
      </c>
      <c r="AT1599" s="14" t="s">
        <v>88</v>
      </c>
      <c r="AU1599" s="14">
        <v>0.18345086902800301</v>
      </c>
      <c r="AV1599" s="14"/>
      <c r="AW1599" s="14">
        <v>0.175627183097713</v>
      </c>
      <c r="AX1599" s="14">
        <v>0.25269105802245001</v>
      </c>
      <c r="AY1599" s="14"/>
      <c r="AZ1599" s="14">
        <v>0.18956449192997599</v>
      </c>
      <c r="BA1599" s="14">
        <v>0.15640825502841599</v>
      </c>
    </row>
    <row r="1600" spans="2:53" x14ac:dyDescent="0.35">
      <c r="B1600" t="s">
        <v>215</v>
      </c>
      <c r="C1600" s="14">
        <v>0.534645804456227</v>
      </c>
      <c r="D1600" s="14">
        <v>0.54829337600458194</v>
      </c>
      <c r="E1600" s="14">
        <v>0.52196063157321404</v>
      </c>
      <c r="F1600" s="14"/>
      <c r="G1600" s="14">
        <v>0.53755186374684905</v>
      </c>
      <c r="H1600" s="14">
        <v>0.59412466086537796</v>
      </c>
      <c r="I1600" s="14">
        <v>0.49610248298587001</v>
      </c>
      <c r="J1600" s="14">
        <v>0.54785112102653299</v>
      </c>
      <c r="K1600" s="14">
        <v>0.52569573654867696</v>
      </c>
      <c r="L1600" s="14">
        <v>0.79477377274709105</v>
      </c>
      <c r="M1600" s="14"/>
      <c r="N1600" s="14">
        <v>0.50025498744991703</v>
      </c>
      <c r="O1600" s="14">
        <v>0.55203783951308705</v>
      </c>
      <c r="P1600" s="14">
        <v>0.57766455936021799</v>
      </c>
      <c r="Q1600" s="14">
        <v>0.49691228696154799</v>
      </c>
      <c r="R1600" s="14"/>
      <c r="S1600" s="14">
        <v>0.56864847967477905</v>
      </c>
      <c r="T1600" s="14">
        <v>0.53973169183527603</v>
      </c>
      <c r="U1600" s="14">
        <v>0.35367597808379903</v>
      </c>
      <c r="V1600" s="14">
        <v>0.58291775632755904</v>
      </c>
      <c r="W1600" s="14">
        <v>0.44374109806594902</v>
      </c>
      <c r="X1600" s="14">
        <v>0.56939270954114496</v>
      </c>
      <c r="Y1600" s="14">
        <v>0.53158083371987597</v>
      </c>
      <c r="Z1600" s="14">
        <v>0.54084014036100403</v>
      </c>
      <c r="AA1600" s="14">
        <v>0.58270552310312895</v>
      </c>
      <c r="AB1600" s="14"/>
      <c r="AC1600" s="14">
        <v>0.51172210966002696</v>
      </c>
      <c r="AD1600" s="14">
        <v>0.58882150500619601</v>
      </c>
      <c r="AE1600" s="14">
        <v>0.56494068629602101</v>
      </c>
      <c r="AF1600" s="14">
        <v>0.47379292045814703</v>
      </c>
      <c r="AG1600" s="14">
        <v>0.33873665906364703</v>
      </c>
      <c r="AH1600" s="14"/>
      <c r="AI1600" s="14">
        <v>0.465653784738566</v>
      </c>
      <c r="AJ1600" s="14">
        <v>0.637562479102457</v>
      </c>
      <c r="AK1600" s="14">
        <v>0.51862826683474506</v>
      </c>
      <c r="AL1600" s="14">
        <v>0.57633264467619705</v>
      </c>
      <c r="AM1600" s="14">
        <v>0.417680683987049</v>
      </c>
      <c r="AN1600" s="14">
        <v>0.47783733825257102</v>
      </c>
      <c r="AO1600" s="14"/>
      <c r="AP1600" s="14">
        <v>0.54359903051237901</v>
      </c>
      <c r="AQ1600" s="14">
        <v>0.52217366489683703</v>
      </c>
      <c r="AR1600" s="14"/>
      <c r="AS1600" s="14" t="s">
        <v>88</v>
      </c>
      <c r="AT1600" s="14" t="s">
        <v>88</v>
      </c>
      <c r="AU1600" s="14">
        <v>0.534645804456227</v>
      </c>
      <c r="AV1600" s="14"/>
      <c r="AW1600" s="14">
        <v>0.53848626435451397</v>
      </c>
      <c r="AX1600" s="14">
        <v>0.52741275868715698</v>
      </c>
      <c r="AY1600" s="14"/>
      <c r="AZ1600" s="14">
        <v>0.54230315459420297</v>
      </c>
      <c r="BA1600" s="14">
        <v>0.49430824886748498</v>
      </c>
    </row>
    <row r="1601" spans="2:53" x14ac:dyDescent="0.35">
      <c r="B1601" t="s">
        <v>216</v>
      </c>
      <c r="C1601" s="14">
        <v>0.146564278258215</v>
      </c>
      <c r="D1601" s="14">
        <v>0.13403521695321499</v>
      </c>
      <c r="E1601" s="14">
        <v>0.157061846264345</v>
      </c>
      <c r="F1601" s="14"/>
      <c r="G1601" s="14">
        <v>0</v>
      </c>
      <c r="H1601" s="14">
        <v>0.11650208600421399</v>
      </c>
      <c r="I1601" s="14">
        <v>0.158718157999853</v>
      </c>
      <c r="J1601" s="14">
        <v>0.12012252121781999</v>
      </c>
      <c r="K1601" s="14">
        <v>0.238131214557113</v>
      </c>
      <c r="L1601" s="14">
        <v>4.0102572464986302E-2</v>
      </c>
      <c r="M1601" s="14"/>
      <c r="N1601" s="14">
        <v>0.14050869596473001</v>
      </c>
      <c r="O1601" s="14">
        <v>0.138269232377325</v>
      </c>
      <c r="P1601" s="14">
        <v>0.14633609361626199</v>
      </c>
      <c r="Q1601" s="14">
        <v>0.17024313649430101</v>
      </c>
      <c r="R1601" s="14"/>
      <c r="S1601" s="14">
        <v>8.4228969617313298E-2</v>
      </c>
      <c r="T1601" s="14">
        <v>0.16650968122071599</v>
      </c>
      <c r="U1601" s="14">
        <v>0.145209398216367</v>
      </c>
      <c r="V1601" s="14">
        <v>0.231052967984887</v>
      </c>
      <c r="W1601" s="14">
        <v>0.16980692163442301</v>
      </c>
      <c r="X1601" s="14">
        <v>0.121368310655227</v>
      </c>
      <c r="Y1601" s="14">
        <v>0.21496223263660699</v>
      </c>
      <c r="Z1601" s="14">
        <v>4.8228838378472798E-2</v>
      </c>
      <c r="AA1601" s="14">
        <v>0.13724041690504599</v>
      </c>
      <c r="AB1601" s="14"/>
      <c r="AC1601" s="14">
        <v>0.21654775314084801</v>
      </c>
      <c r="AD1601" s="14">
        <v>0.15444135291715699</v>
      </c>
      <c r="AE1601" s="14">
        <v>0.13522841157365301</v>
      </c>
      <c r="AF1601" s="14">
        <v>0.114144190723154</v>
      </c>
      <c r="AG1601" s="14">
        <v>5.6247486145082098E-2</v>
      </c>
      <c r="AH1601" s="14"/>
      <c r="AI1601" s="14">
        <v>0.18314578676585999</v>
      </c>
      <c r="AJ1601" s="14">
        <v>0.120027933164669</v>
      </c>
      <c r="AK1601" s="14">
        <v>9.64719837094688E-2</v>
      </c>
      <c r="AL1601" s="14">
        <v>0.15296624971135001</v>
      </c>
      <c r="AM1601" s="14">
        <v>8.2933304179517095E-2</v>
      </c>
      <c r="AN1601" s="14">
        <v>0.11275067425850301</v>
      </c>
      <c r="AO1601" s="14"/>
      <c r="AP1601" s="14">
        <v>0.13610628649450601</v>
      </c>
      <c r="AQ1601" s="14">
        <v>0.16023231902335899</v>
      </c>
      <c r="AR1601" s="14"/>
      <c r="AS1601" s="14" t="s">
        <v>88</v>
      </c>
      <c r="AT1601" s="14" t="s">
        <v>88</v>
      </c>
      <c r="AU1601" s="14">
        <v>0.146564278258215</v>
      </c>
      <c r="AV1601" s="14"/>
      <c r="AW1601" s="14">
        <v>0.13509581876297899</v>
      </c>
      <c r="AX1601" s="14">
        <v>0.12879954302861801</v>
      </c>
      <c r="AY1601" s="14"/>
      <c r="AZ1601" s="14">
        <v>0.14735929978110601</v>
      </c>
      <c r="BA1601" s="14">
        <v>0.144189138972138</v>
      </c>
    </row>
    <row r="1602" spans="2:53" x14ac:dyDescent="0.35">
      <c r="B1602" t="s">
        <v>217</v>
      </c>
      <c r="C1602" s="14">
        <v>2.6484699617707601E-2</v>
      </c>
      <c r="D1602" s="14">
        <v>1.7740400309544099E-2</v>
      </c>
      <c r="E1602" s="14">
        <v>3.57807150817544E-2</v>
      </c>
      <c r="F1602" s="14"/>
      <c r="G1602" s="14">
        <v>0</v>
      </c>
      <c r="H1602" s="14">
        <v>3.6658601341958703E-2</v>
      </c>
      <c r="I1602" s="14">
        <v>2.9972067568968402E-2</v>
      </c>
      <c r="J1602" s="14">
        <v>3.0583103105998401E-2</v>
      </c>
      <c r="K1602" s="14">
        <v>0</v>
      </c>
      <c r="L1602" s="14">
        <v>0</v>
      </c>
      <c r="M1602" s="14"/>
      <c r="N1602" s="14">
        <v>2.49096038896084E-2</v>
      </c>
      <c r="O1602" s="14">
        <v>1.5712583277942799E-2</v>
      </c>
      <c r="P1602" s="14">
        <v>3.6597752931304697E-2</v>
      </c>
      <c r="Q1602" s="14">
        <v>2.92728158982902E-2</v>
      </c>
      <c r="R1602" s="14"/>
      <c r="S1602" s="14">
        <v>1.23041971381052E-2</v>
      </c>
      <c r="T1602" s="14">
        <v>2.0564018827315102E-2</v>
      </c>
      <c r="U1602" s="14">
        <v>8.6857281945303205E-2</v>
      </c>
      <c r="V1602" s="14">
        <v>1.48944986256204E-2</v>
      </c>
      <c r="W1602" s="14">
        <v>3.97320847519083E-2</v>
      </c>
      <c r="X1602" s="14">
        <v>4.6369470952012902E-2</v>
      </c>
      <c r="Y1602" s="14">
        <v>2.4556391071366101E-2</v>
      </c>
      <c r="Z1602" s="14">
        <v>0</v>
      </c>
      <c r="AA1602" s="14">
        <v>1.55389711588749E-2</v>
      </c>
      <c r="AB1602" s="14"/>
      <c r="AC1602" s="14">
        <v>1.9793681555979301E-2</v>
      </c>
      <c r="AD1602" s="14">
        <v>5.0159470717912297E-2</v>
      </c>
      <c r="AE1602" s="14">
        <v>1.63835690383708E-2</v>
      </c>
      <c r="AF1602" s="14">
        <v>1.22706660446982E-2</v>
      </c>
      <c r="AG1602" s="14">
        <v>0</v>
      </c>
      <c r="AH1602" s="14"/>
      <c r="AI1602" s="14">
        <v>1.5884310664190202E-2</v>
      </c>
      <c r="AJ1602" s="14">
        <v>3.6820883961591201E-2</v>
      </c>
      <c r="AK1602" s="14">
        <v>0</v>
      </c>
      <c r="AL1602" s="14">
        <v>2.7336618855912199E-2</v>
      </c>
      <c r="AM1602" s="14">
        <v>2.4665716181075301E-2</v>
      </c>
      <c r="AN1602" s="14">
        <v>7.7801059563057204E-2</v>
      </c>
      <c r="AO1602" s="14"/>
      <c r="AP1602" s="14">
        <v>2.1759537303093299E-2</v>
      </c>
      <c r="AQ1602" s="14">
        <v>3.2570125338692503E-2</v>
      </c>
      <c r="AR1602" s="14"/>
      <c r="AS1602" s="14" t="s">
        <v>88</v>
      </c>
      <c r="AT1602" s="14" t="s">
        <v>88</v>
      </c>
      <c r="AU1602" s="14">
        <v>2.6484699617707601E-2</v>
      </c>
      <c r="AV1602" s="14"/>
      <c r="AW1602" s="14">
        <v>2.83536774508849E-2</v>
      </c>
      <c r="AX1602" s="14">
        <v>2.4490927331119499E-2</v>
      </c>
      <c r="AY1602" s="14"/>
      <c r="AZ1602" s="14">
        <v>2.2592856411885302E-2</v>
      </c>
      <c r="BA1602" s="14">
        <v>4.5032392241280202E-2</v>
      </c>
    </row>
    <row r="1603" spans="2:53" x14ac:dyDescent="0.35">
      <c r="B1603" t="s">
        <v>116</v>
      </c>
      <c r="C1603" s="14">
        <v>3.5779429647116702E-2</v>
      </c>
      <c r="D1603" s="14">
        <v>1.2542072750861199E-2</v>
      </c>
      <c r="E1603" s="14">
        <v>6.03733883768321E-2</v>
      </c>
      <c r="F1603" s="14"/>
      <c r="G1603" s="14">
        <v>0</v>
      </c>
      <c r="H1603" s="14">
        <v>3.0022239600714502E-2</v>
      </c>
      <c r="I1603" s="14">
        <v>2.12952744148448E-2</v>
      </c>
      <c r="J1603" s="14">
        <v>6.2902385855338597E-2</v>
      </c>
      <c r="K1603" s="14">
        <v>0</v>
      </c>
      <c r="L1603" s="14">
        <v>6.6606585190569695E-2</v>
      </c>
      <c r="M1603" s="14"/>
      <c r="N1603" s="14">
        <v>3.23630627646629E-2</v>
      </c>
      <c r="O1603" s="14">
        <v>6.7270673000162304E-2</v>
      </c>
      <c r="P1603" s="14">
        <v>2.7845459530180399E-2</v>
      </c>
      <c r="Q1603" s="14">
        <v>1.6046210715276302E-2</v>
      </c>
      <c r="R1603" s="14"/>
      <c r="S1603" s="14">
        <v>2.23914131983537E-2</v>
      </c>
      <c r="T1603" s="14">
        <v>1.7500534178955401E-2</v>
      </c>
      <c r="U1603" s="14">
        <v>8.2889760179789801E-2</v>
      </c>
      <c r="V1603" s="14">
        <v>6.93925829092783E-2</v>
      </c>
      <c r="W1603" s="14">
        <v>1.3764900952232199E-2</v>
      </c>
      <c r="X1603" s="14">
        <v>2.1717071943611801E-2</v>
      </c>
      <c r="Y1603" s="14">
        <v>3.2554323422171003E-2</v>
      </c>
      <c r="Z1603" s="14">
        <v>8.31197459037471E-2</v>
      </c>
      <c r="AA1603" s="14">
        <v>3.5156224401441498E-2</v>
      </c>
      <c r="AB1603" s="14"/>
      <c r="AC1603" s="14">
        <v>5.99497865176844E-2</v>
      </c>
      <c r="AD1603" s="14">
        <v>1.28450488113403E-2</v>
      </c>
      <c r="AE1603" s="14">
        <v>5.13279683575006E-2</v>
      </c>
      <c r="AF1603" s="14">
        <v>9.3915287676599492E-3</v>
      </c>
      <c r="AG1603" s="14">
        <v>0</v>
      </c>
      <c r="AH1603" s="14"/>
      <c r="AI1603" s="14">
        <v>2.8979470123095801E-2</v>
      </c>
      <c r="AJ1603" s="14">
        <v>1.29955061696159E-2</v>
      </c>
      <c r="AK1603" s="14">
        <v>1.27796242541154E-2</v>
      </c>
      <c r="AL1603" s="14">
        <v>4.1266637494436001E-2</v>
      </c>
      <c r="AM1603" s="14">
        <v>3.6496726607732601E-2</v>
      </c>
      <c r="AN1603" s="14">
        <v>0.13722871043967499</v>
      </c>
      <c r="AO1603" s="14"/>
      <c r="AP1603" s="14">
        <v>3.12218524505396E-2</v>
      </c>
      <c r="AQ1603" s="14">
        <v>4.1672234337099198E-2</v>
      </c>
      <c r="AR1603" s="14"/>
      <c r="AS1603" s="14" t="s">
        <v>88</v>
      </c>
      <c r="AT1603" s="14" t="s">
        <v>88</v>
      </c>
      <c r="AU1603" s="14">
        <v>3.5779429647116702E-2</v>
      </c>
      <c r="AV1603" s="14"/>
      <c r="AW1603" s="14">
        <v>4.3882657803136098E-2</v>
      </c>
      <c r="AX1603" s="14">
        <v>5.5007462804084603E-3</v>
      </c>
      <c r="AY1603" s="14"/>
      <c r="AZ1603" s="14">
        <v>2.1123432095378598E-2</v>
      </c>
      <c r="BA1603" s="14">
        <v>0.105031809254643</v>
      </c>
    </row>
    <row r="1604" spans="2:53" x14ac:dyDescent="0.35"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  <c r="AO1604" s="14"/>
      <c r="AP1604" s="14"/>
      <c r="AQ1604" s="14"/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</row>
    <row r="1605" spans="2:53" x14ac:dyDescent="0.35">
      <c r="B1605" s="6" t="s">
        <v>378</v>
      </c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  <c r="AO1605" s="14"/>
      <c r="AP1605" s="14"/>
      <c r="AQ1605" s="14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</row>
    <row r="1606" spans="2:53" x14ac:dyDescent="0.35">
      <c r="B1606" s="30" t="s">
        <v>463</v>
      </c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  <c r="AO1606" s="14"/>
      <c r="AP1606" s="14"/>
      <c r="AQ1606" s="14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</row>
    <row r="1607" spans="2:53" x14ac:dyDescent="0.35">
      <c r="B1607" t="s">
        <v>220</v>
      </c>
      <c r="C1607" s="14">
        <v>0.192412088629657</v>
      </c>
      <c r="D1607" s="14">
        <v>0.21426555767902999</v>
      </c>
      <c r="E1607" s="14">
        <v>0.166832616640401</v>
      </c>
      <c r="F1607" s="14"/>
      <c r="G1607" s="14">
        <v>0</v>
      </c>
      <c r="H1607" s="14">
        <v>0.242594418291878</v>
      </c>
      <c r="I1607" s="14">
        <v>0.19243914213242899</v>
      </c>
      <c r="J1607" s="14">
        <v>0.17340995785622201</v>
      </c>
      <c r="K1607" s="14">
        <v>0.192201355273275</v>
      </c>
      <c r="L1607" s="14">
        <v>0.31782868721058699</v>
      </c>
      <c r="M1607" s="14"/>
      <c r="N1607" s="14">
        <v>0.23028839889223501</v>
      </c>
      <c r="O1607" s="14">
        <v>0.163610269974584</v>
      </c>
      <c r="P1607" s="14">
        <v>0.160537865492417</v>
      </c>
      <c r="Q1607" s="14">
        <v>0.214982326778102</v>
      </c>
      <c r="R1607" s="14"/>
      <c r="S1607" s="14">
        <v>0.23581858113880999</v>
      </c>
      <c r="T1607" s="14">
        <v>0.18757792232623899</v>
      </c>
      <c r="U1607" s="14">
        <v>0.211454007884641</v>
      </c>
      <c r="V1607" s="14">
        <v>0.175493790106345</v>
      </c>
      <c r="W1607" s="14">
        <v>0.12739588416994099</v>
      </c>
      <c r="X1607" s="14">
        <v>0.21077825719673701</v>
      </c>
      <c r="Y1607" s="14">
        <v>7.6725029923102497E-2</v>
      </c>
      <c r="Z1607" s="14">
        <v>0.228531044081655</v>
      </c>
      <c r="AA1607" s="14">
        <v>0.260115159459124</v>
      </c>
      <c r="AB1607" s="14"/>
      <c r="AC1607" s="14">
        <v>0.137211336953729</v>
      </c>
      <c r="AD1607" s="14">
        <v>0.13503234986086801</v>
      </c>
      <c r="AE1607" s="14">
        <v>0.17807448901871001</v>
      </c>
      <c r="AF1607" s="14">
        <v>0.28960568450819002</v>
      </c>
      <c r="AG1607" s="14">
        <v>0.56588247984155204</v>
      </c>
      <c r="AH1607" s="14"/>
      <c r="AI1607" s="14">
        <v>0.22715968643776699</v>
      </c>
      <c r="AJ1607" s="14">
        <v>9.7624129824537595E-2</v>
      </c>
      <c r="AK1607" s="14">
        <v>0.27478980765872302</v>
      </c>
      <c r="AL1607" s="14">
        <v>0.18385512878870799</v>
      </c>
      <c r="AM1607" s="14">
        <v>0.25309246519601802</v>
      </c>
      <c r="AN1607" s="14">
        <v>0.182089015329576</v>
      </c>
      <c r="AO1607" s="14"/>
      <c r="AP1607" s="14">
        <v>0.21072264679027999</v>
      </c>
      <c r="AQ1607" s="14">
        <v>0.16949942465214199</v>
      </c>
      <c r="AR1607" s="14"/>
      <c r="AS1607" s="14" t="s">
        <v>88</v>
      </c>
      <c r="AT1607" s="14" t="s">
        <v>88</v>
      </c>
      <c r="AU1607" s="14">
        <v>0.192412088629657</v>
      </c>
      <c r="AV1607" s="14"/>
      <c r="AW1607" s="14">
        <v>0.181275790771245</v>
      </c>
      <c r="AX1607" s="14">
        <v>0.282655017038203</v>
      </c>
      <c r="AY1607" s="14"/>
      <c r="AZ1607" s="14">
        <v>0.202637197054572</v>
      </c>
      <c r="BA1607" s="14">
        <v>0.146118658738082</v>
      </c>
    </row>
    <row r="1608" spans="2:53" x14ac:dyDescent="0.35">
      <c r="B1608" t="s">
        <v>221</v>
      </c>
      <c r="C1608" s="14">
        <v>0.53009358831380204</v>
      </c>
      <c r="D1608" s="14">
        <v>0.52289762315067101</v>
      </c>
      <c r="E1608" s="14">
        <v>0.53935278636092998</v>
      </c>
      <c r="F1608" s="14"/>
      <c r="G1608" s="14">
        <v>0</v>
      </c>
      <c r="H1608" s="14">
        <v>0.44631872101211301</v>
      </c>
      <c r="I1608" s="14">
        <v>0.55371789409862004</v>
      </c>
      <c r="J1608" s="14">
        <v>0.55575454856728301</v>
      </c>
      <c r="K1608" s="14">
        <v>0.473051425614198</v>
      </c>
      <c r="L1608" s="14">
        <v>0.41435528244907999</v>
      </c>
      <c r="M1608" s="14"/>
      <c r="N1608" s="14">
        <v>0.50874500580667004</v>
      </c>
      <c r="O1608" s="14">
        <v>0.50853294277008099</v>
      </c>
      <c r="P1608" s="14">
        <v>0.55944139974149099</v>
      </c>
      <c r="Q1608" s="14">
        <v>0.53448494986377504</v>
      </c>
      <c r="R1608" s="14"/>
      <c r="S1608" s="14">
        <v>0.59990627349902104</v>
      </c>
      <c r="T1608" s="14">
        <v>0.51454438464135299</v>
      </c>
      <c r="U1608" s="14">
        <v>0.41480032575472903</v>
      </c>
      <c r="V1608" s="14">
        <v>0.51231997599230605</v>
      </c>
      <c r="W1608" s="14">
        <v>0.54288792833770105</v>
      </c>
      <c r="X1608" s="14">
        <v>0.5330479596287</v>
      </c>
      <c r="Y1608" s="14">
        <v>0.58369200686510203</v>
      </c>
      <c r="Z1608" s="14">
        <v>0.50701785120780496</v>
      </c>
      <c r="AA1608" s="14">
        <v>0.47694861434374197</v>
      </c>
      <c r="AB1608" s="14"/>
      <c r="AC1608" s="14">
        <v>0.53848513972179901</v>
      </c>
      <c r="AD1608" s="14">
        <v>0.58515046705045404</v>
      </c>
      <c r="AE1608" s="14">
        <v>0.54707700475852095</v>
      </c>
      <c r="AF1608" s="14">
        <v>0.479375523448416</v>
      </c>
      <c r="AG1608" s="14">
        <v>0.39530416007388303</v>
      </c>
      <c r="AH1608" s="14"/>
      <c r="AI1608" s="14">
        <v>0.52353319079111904</v>
      </c>
      <c r="AJ1608" s="14">
        <v>0.65505467778835103</v>
      </c>
      <c r="AK1608" s="14">
        <v>0.52191257273677705</v>
      </c>
      <c r="AL1608" s="14">
        <v>0.48195144625717701</v>
      </c>
      <c r="AM1608" s="14">
        <v>0.32682064922055698</v>
      </c>
      <c r="AN1608" s="14">
        <v>0.45536886796619402</v>
      </c>
      <c r="AO1608" s="14"/>
      <c r="AP1608" s="14">
        <v>0.556116195584204</v>
      </c>
      <c r="AQ1608" s="14">
        <v>0.498112547590012</v>
      </c>
      <c r="AR1608" s="14"/>
      <c r="AS1608" s="14" t="s">
        <v>88</v>
      </c>
      <c r="AT1608" s="14" t="s">
        <v>88</v>
      </c>
      <c r="AU1608" s="14">
        <v>0.53009358831380204</v>
      </c>
      <c r="AV1608" s="14"/>
      <c r="AW1608" s="14">
        <v>0.53569102298244198</v>
      </c>
      <c r="AX1608" s="14">
        <v>0.53003708180172804</v>
      </c>
      <c r="AY1608" s="14"/>
      <c r="AZ1608" s="14">
        <v>0.55108716182704998</v>
      </c>
      <c r="BA1608" s="14">
        <v>0.42700036019642301</v>
      </c>
    </row>
    <row r="1609" spans="2:53" x14ac:dyDescent="0.35">
      <c r="B1609" t="s">
        <v>222</v>
      </c>
      <c r="C1609" s="14">
        <v>0.166721267403134</v>
      </c>
      <c r="D1609" s="14">
        <v>0.16259545456784799</v>
      </c>
      <c r="E1609" s="14">
        <v>0.17159565252376999</v>
      </c>
      <c r="F1609" s="14"/>
      <c r="G1609" s="14">
        <v>0</v>
      </c>
      <c r="H1609" s="14">
        <v>0.22893946994342701</v>
      </c>
      <c r="I1609" s="14">
        <v>0.17042883773005099</v>
      </c>
      <c r="J1609" s="14">
        <v>0.139464952102169</v>
      </c>
      <c r="K1609" s="14">
        <v>0.17471828153409799</v>
      </c>
      <c r="L1609" s="14">
        <v>0.26781603034033202</v>
      </c>
      <c r="M1609" s="14"/>
      <c r="N1609" s="14">
        <v>0.14423644437555999</v>
      </c>
      <c r="O1609" s="14">
        <v>0.182654240223144</v>
      </c>
      <c r="P1609" s="14">
        <v>0.17708785963804</v>
      </c>
      <c r="Q1609" s="14">
        <v>0.174632655388057</v>
      </c>
      <c r="R1609" s="14"/>
      <c r="S1609" s="14">
        <v>0.105554552525394</v>
      </c>
      <c r="T1609" s="14">
        <v>0.13916905132476101</v>
      </c>
      <c r="U1609" s="14">
        <v>0.15544100748388801</v>
      </c>
      <c r="V1609" s="14">
        <v>0.24494584172747499</v>
      </c>
      <c r="W1609" s="14">
        <v>0.13096290143495701</v>
      </c>
      <c r="X1609" s="14">
        <v>0.19634362891894</v>
      </c>
      <c r="Y1609" s="14">
        <v>0.25687242381988901</v>
      </c>
      <c r="Z1609" s="14">
        <v>0.119143988400096</v>
      </c>
      <c r="AA1609" s="14">
        <v>0.17806572615313401</v>
      </c>
      <c r="AB1609" s="14"/>
      <c r="AC1609" s="14">
        <v>0.22564485935338</v>
      </c>
      <c r="AD1609" s="14">
        <v>0.174181215442547</v>
      </c>
      <c r="AE1609" s="14">
        <v>0.137639857535409</v>
      </c>
      <c r="AF1609" s="14">
        <v>0.13396212323029699</v>
      </c>
      <c r="AG1609" s="14">
        <v>1.8514054290770101E-2</v>
      </c>
      <c r="AH1609" s="14"/>
      <c r="AI1609" s="14">
        <v>0.171409779992341</v>
      </c>
      <c r="AJ1609" s="14">
        <v>0.17485128897317101</v>
      </c>
      <c r="AK1609" s="14">
        <v>8.4837981869902601E-2</v>
      </c>
      <c r="AL1609" s="14">
        <v>0.17761182126424199</v>
      </c>
      <c r="AM1609" s="14">
        <v>0.22393324602152001</v>
      </c>
      <c r="AN1609" s="14">
        <v>0.178607492961778</v>
      </c>
      <c r="AO1609" s="14"/>
      <c r="AP1609" s="14">
        <v>0.14846874615228001</v>
      </c>
      <c r="AQ1609" s="14">
        <v>0.18810662164986</v>
      </c>
      <c r="AR1609" s="14"/>
      <c r="AS1609" s="14" t="s">
        <v>88</v>
      </c>
      <c r="AT1609" s="14" t="s">
        <v>88</v>
      </c>
      <c r="AU1609" s="14">
        <v>0.166721267403134</v>
      </c>
      <c r="AV1609" s="14"/>
      <c r="AW1609" s="14">
        <v>0.16358415428776099</v>
      </c>
      <c r="AX1609" s="14">
        <v>0.126704783267031</v>
      </c>
      <c r="AY1609" s="14"/>
      <c r="AZ1609" s="14">
        <v>0.15044203877383999</v>
      </c>
      <c r="BA1609" s="14">
        <v>0.244824962616909</v>
      </c>
    </row>
    <row r="1610" spans="2:53" x14ac:dyDescent="0.35">
      <c r="B1610" t="s">
        <v>223</v>
      </c>
      <c r="C1610" s="14">
        <v>3.0172096446725399E-2</v>
      </c>
      <c r="D1610" s="14">
        <v>1.6668206446996001E-2</v>
      </c>
      <c r="E1610" s="14">
        <v>4.4494041187680397E-2</v>
      </c>
      <c r="F1610" s="14"/>
      <c r="G1610" s="14">
        <v>0.53755186374684905</v>
      </c>
      <c r="H1610" s="14">
        <v>2.6159916865581199E-2</v>
      </c>
      <c r="I1610" s="14">
        <v>2.4845350316064701E-2</v>
      </c>
      <c r="J1610" s="14">
        <v>3.8599153162166201E-2</v>
      </c>
      <c r="K1610" s="14">
        <v>1.6074461587555398E-2</v>
      </c>
      <c r="L1610" s="14">
        <v>0</v>
      </c>
      <c r="M1610" s="14"/>
      <c r="N1610" s="14">
        <v>2.4951355223791698E-2</v>
      </c>
      <c r="O1610" s="14">
        <v>2.6291154507808799E-2</v>
      </c>
      <c r="P1610" s="14">
        <v>4.4092862328695297E-2</v>
      </c>
      <c r="Q1610" s="14">
        <v>2.5859311678861401E-2</v>
      </c>
      <c r="R1610" s="14"/>
      <c r="S1610" s="14">
        <v>7.5224950811576801E-3</v>
      </c>
      <c r="T1610" s="14">
        <v>6.0233648233832003E-2</v>
      </c>
      <c r="U1610" s="14">
        <v>3.4356242466066798E-2</v>
      </c>
      <c r="V1610" s="14">
        <v>1.11369480128137E-2</v>
      </c>
      <c r="W1610" s="14">
        <v>8.3277291937727593E-2</v>
      </c>
      <c r="X1610" s="14">
        <v>1.15405192202661E-2</v>
      </c>
      <c r="Y1610" s="14">
        <v>4.3227374999932802E-2</v>
      </c>
      <c r="Z1610" s="14">
        <v>2.36678028973616E-2</v>
      </c>
      <c r="AA1610" s="14">
        <v>3.8898731382452198E-3</v>
      </c>
      <c r="AB1610" s="14"/>
      <c r="AC1610" s="14">
        <v>3.0010259781470899E-2</v>
      </c>
      <c r="AD1610" s="14">
        <v>7.1645039999146606E-2</v>
      </c>
      <c r="AE1610" s="14">
        <v>2.2125729153693801E-2</v>
      </c>
      <c r="AF1610" s="14">
        <v>7.6423994982208103E-3</v>
      </c>
      <c r="AG1610" s="14">
        <v>0</v>
      </c>
      <c r="AH1610" s="14"/>
      <c r="AI1610" s="14">
        <v>1.24101272927801E-2</v>
      </c>
      <c r="AJ1610" s="14">
        <v>2.4735151432968099E-2</v>
      </c>
      <c r="AK1610" s="14">
        <v>3.1524067691522502E-2</v>
      </c>
      <c r="AL1610" s="14">
        <v>5.0957777768596002E-2</v>
      </c>
      <c r="AM1610" s="14">
        <v>4.0664429350044801E-2</v>
      </c>
      <c r="AN1610" s="14">
        <v>5.2561556290291502E-2</v>
      </c>
      <c r="AO1610" s="14"/>
      <c r="AP1610" s="14">
        <v>2.1319042149588401E-2</v>
      </c>
      <c r="AQ1610" s="14">
        <v>4.1529631323884202E-2</v>
      </c>
      <c r="AR1610" s="14"/>
      <c r="AS1610" s="14" t="s">
        <v>88</v>
      </c>
      <c r="AT1610" s="14" t="s">
        <v>88</v>
      </c>
      <c r="AU1610" s="14">
        <v>3.0172096446725399E-2</v>
      </c>
      <c r="AV1610" s="14"/>
      <c r="AW1610" s="14">
        <v>3.06384809556817E-2</v>
      </c>
      <c r="AX1610" s="14">
        <v>9.1933749625971901E-3</v>
      </c>
      <c r="AY1610" s="14"/>
      <c r="AZ1610" s="14">
        <v>2.4223828966932499E-2</v>
      </c>
      <c r="BA1610" s="14">
        <v>5.8424385778094702E-2</v>
      </c>
    </row>
    <row r="1611" spans="2:53" x14ac:dyDescent="0.35">
      <c r="B1611" t="s">
        <v>116</v>
      </c>
      <c r="C1611" s="14">
        <v>2.1420156975923699E-2</v>
      </c>
      <c r="D1611" s="14">
        <v>9.2977039831877908E-3</v>
      </c>
      <c r="E1611" s="14">
        <v>3.4259042572947498E-2</v>
      </c>
      <c r="F1611" s="14"/>
      <c r="G1611" s="14">
        <v>0</v>
      </c>
      <c r="H1611" s="14">
        <v>3.6244363735144398E-2</v>
      </c>
      <c r="I1611" s="14">
        <v>1.43923880010763E-2</v>
      </c>
      <c r="J1611" s="14">
        <v>3.4054606753119297E-2</v>
      </c>
      <c r="K1611" s="14">
        <v>0</v>
      </c>
      <c r="L1611" s="14">
        <v>0</v>
      </c>
      <c r="M1611" s="14"/>
      <c r="N1611" s="14">
        <v>6.6791442916106902E-3</v>
      </c>
      <c r="O1611" s="14">
        <v>3.8993489538018497E-2</v>
      </c>
      <c r="P1611" s="14">
        <v>2.7845459530180399E-2</v>
      </c>
      <c r="Q1611" s="14">
        <v>1.60462072260498E-2</v>
      </c>
      <c r="R1611" s="14"/>
      <c r="S1611" s="14">
        <v>7.5224948280199098E-3</v>
      </c>
      <c r="T1611" s="14">
        <v>8.88019826017011E-3</v>
      </c>
      <c r="U1611" s="14">
        <v>5.8622999605206103E-2</v>
      </c>
      <c r="V1611" s="14">
        <v>4.7118686883650999E-2</v>
      </c>
      <c r="W1611" s="14">
        <v>0</v>
      </c>
      <c r="X1611" s="14">
        <v>1.4661471669820699E-2</v>
      </c>
      <c r="Y1611" s="14">
        <v>1.44274196521077E-2</v>
      </c>
      <c r="Z1611" s="14">
        <v>6.3859962149079699E-2</v>
      </c>
      <c r="AA1611" s="14">
        <v>2.4765354060245801E-2</v>
      </c>
      <c r="AB1611" s="14"/>
      <c r="AC1611" s="14">
        <v>1.72753927795447E-2</v>
      </c>
      <c r="AD1611" s="14">
        <v>1.60531027516525E-2</v>
      </c>
      <c r="AE1611" s="14">
        <v>3.6013435187022103E-2</v>
      </c>
      <c r="AF1611" s="14">
        <v>0</v>
      </c>
      <c r="AG1611" s="14">
        <v>0</v>
      </c>
      <c r="AH1611" s="14"/>
      <c r="AI1611" s="14">
        <v>1.0578946519619801E-2</v>
      </c>
      <c r="AJ1611" s="14">
        <v>0</v>
      </c>
      <c r="AK1611" s="14">
        <v>1.27796242541154E-2</v>
      </c>
      <c r="AL1611" s="14">
        <v>2.91780307106741E-2</v>
      </c>
      <c r="AM1611" s="14">
        <v>4.5548157479751203E-2</v>
      </c>
      <c r="AN1611" s="14">
        <v>8.7764916580819502E-2</v>
      </c>
      <c r="AO1611" s="14"/>
      <c r="AP1611" s="14">
        <v>1.5934514099170301E-2</v>
      </c>
      <c r="AQ1611" s="14">
        <v>2.8463836654493101E-2</v>
      </c>
      <c r="AR1611" s="14"/>
      <c r="AS1611" s="14" t="s">
        <v>88</v>
      </c>
      <c r="AT1611" s="14" t="s">
        <v>88</v>
      </c>
      <c r="AU1611" s="14">
        <v>2.1420156975923699E-2</v>
      </c>
      <c r="AV1611" s="14"/>
      <c r="AW1611" s="14">
        <v>2.67480688790784E-2</v>
      </c>
      <c r="AX1611" s="14">
        <v>0</v>
      </c>
      <c r="AY1611" s="14"/>
      <c r="AZ1611" s="14">
        <v>1.1322695998642799E-2</v>
      </c>
      <c r="BA1611" s="14">
        <v>6.9102530055035402E-2</v>
      </c>
    </row>
    <row r="1612" spans="2:53" x14ac:dyDescent="0.35">
      <c r="B1612" t="s">
        <v>224</v>
      </c>
      <c r="C1612" s="14">
        <v>0.72250567694345902</v>
      </c>
      <c r="D1612" s="14">
        <v>0.737163180829701</v>
      </c>
      <c r="E1612" s="14">
        <v>0.70618540300133104</v>
      </c>
      <c r="F1612" s="14"/>
      <c r="G1612" s="14">
        <v>0</v>
      </c>
      <c r="H1612" s="14">
        <v>0.68891313930399001</v>
      </c>
      <c r="I1612" s="14">
        <v>0.74615703623104901</v>
      </c>
      <c r="J1612" s="14">
        <v>0.72916450642350505</v>
      </c>
      <c r="K1612" s="14">
        <v>0.66525278088747297</v>
      </c>
      <c r="L1612" s="14">
        <v>0.73218396965966803</v>
      </c>
      <c r="M1612" s="14"/>
      <c r="N1612" s="14">
        <v>0.73903340469890599</v>
      </c>
      <c r="O1612" s="14">
        <v>0.67214321274466404</v>
      </c>
      <c r="P1612" s="14">
        <v>0.71997926523390898</v>
      </c>
      <c r="Q1612" s="14">
        <v>0.74946727664187696</v>
      </c>
      <c r="R1612" s="14"/>
      <c r="S1612" s="14">
        <v>0.83572485463783097</v>
      </c>
      <c r="T1612" s="14">
        <v>0.70212230696759204</v>
      </c>
      <c r="U1612" s="14">
        <v>0.62625433363937</v>
      </c>
      <c r="V1612" s="14">
        <v>0.68781376609865097</v>
      </c>
      <c r="W1612" s="14">
        <v>0.67028381250764202</v>
      </c>
      <c r="X1612" s="14">
        <v>0.74382621682543704</v>
      </c>
      <c r="Y1612" s="14">
        <v>0.66041703678820496</v>
      </c>
      <c r="Z1612" s="14">
        <v>0.73554889528946099</v>
      </c>
      <c r="AA1612" s="14">
        <v>0.73706377380286603</v>
      </c>
      <c r="AB1612" s="14"/>
      <c r="AC1612" s="14">
        <v>0.67569647667552801</v>
      </c>
      <c r="AD1612" s="14">
        <v>0.72018281691132202</v>
      </c>
      <c r="AE1612" s="14">
        <v>0.72515149377723098</v>
      </c>
      <c r="AF1612" s="14">
        <v>0.76898120795660596</v>
      </c>
      <c r="AG1612" s="14">
        <v>0.96118663991543496</v>
      </c>
      <c r="AH1612" s="14"/>
      <c r="AI1612" s="14">
        <v>0.750692877228887</v>
      </c>
      <c r="AJ1612" s="14">
        <v>0.75267880761288797</v>
      </c>
      <c r="AK1612" s="14">
        <v>0.79670238039550001</v>
      </c>
      <c r="AL1612" s="14">
        <v>0.66580657504588503</v>
      </c>
      <c r="AM1612" s="14">
        <v>0.579913114416575</v>
      </c>
      <c r="AN1612" s="14">
        <v>0.63745788329577002</v>
      </c>
      <c r="AO1612" s="14"/>
      <c r="AP1612" s="14">
        <v>0.76683884237448396</v>
      </c>
      <c r="AQ1612" s="14">
        <v>0.66761197224215296</v>
      </c>
      <c r="AR1612" s="14"/>
      <c r="AS1612" s="14" t="s">
        <v>88</v>
      </c>
      <c r="AT1612" s="14" t="s">
        <v>88</v>
      </c>
      <c r="AU1612" s="14">
        <v>0.72250567694345902</v>
      </c>
      <c r="AV1612" s="14"/>
      <c r="AW1612" s="14">
        <v>0.71696681375368798</v>
      </c>
      <c r="AX1612" s="14">
        <v>0.81269209883993099</v>
      </c>
      <c r="AY1612" s="14"/>
      <c r="AZ1612" s="14">
        <v>0.75372435888162204</v>
      </c>
      <c r="BA1612" s="14">
        <v>0.57311901893450501</v>
      </c>
    </row>
    <row r="1613" spans="2:53" x14ac:dyDescent="0.35"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/>
      <c r="AN1613" s="14"/>
      <c r="AO1613" s="14"/>
      <c r="AP1613" s="14"/>
      <c r="AQ1613" s="14"/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</row>
    <row r="1614" spans="2:53" x14ac:dyDescent="0.35">
      <c r="B1614" s="6" t="s">
        <v>379</v>
      </c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  <c r="AO1614" s="14"/>
      <c r="AP1614" s="14"/>
      <c r="AQ1614" s="14"/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</row>
    <row r="1615" spans="2:53" x14ac:dyDescent="0.35">
      <c r="B1615" s="30" t="s">
        <v>463</v>
      </c>
      <c r="C1615" s="14"/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/>
      <c r="AN1615" s="14"/>
      <c r="AO1615" s="14"/>
      <c r="AP1615" s="14"/>
      <c r="AQ1615" s="14"/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</row>
    <row r="1616" spans="2:53" x14ac:dyDescent="0.35">
      <c r="B1616" t="s">
        <v>226</v>
      </c>
      <c r="C1616" s="14">
        <v>0.19587075840624499</v>
      </c>
      <c r="D1616" s="14">
        <v>0.20927676671735099</v>
      </c>
      <c r="E1616" s="14">
        <v>0.182367555316064</v>
      </c>
      <c r="F1616" s="14"/>
      <c r="G1616" s="14">
        <v>0.53755186374684905</v>
      </c>
      <c r="H1616" s="14">
        <v>0.19344165806115399</v>
      </c>
      <c r="I1616" s="14">
        <v>0.188099056464337</v>
      </c>
      <c r="J1616" s="14">
        <v>0.21520313137223901</v>
      </c>
      <c r="K1616" s="14">
        <v>0.12811370052573001</v>
      </c>
      <c r="L1616" s="14">
        <v>0.31339671064854302</v>
      </c>
      <c r="M1616" s="14"/>
      <c r="N1616" s="14">
        <v>0.252212794329989</v>
      </c>
      <c r="O1616" s="14">
        <v>0.15173757713528299</v>
      </c>
      <c r="P1616" s="14">
        <v>0.199649675095464</v>
      </c>
      <c r="Q1616" s="14">
        <v>0.163267638997938</v>
      </c>
      <c r="R1616" s="14"/>
      <c r="S1616" s="14">
        <v>0.32374835257619999</v>
      </c>
      <c r="T1616" s="14">
        <v>0.17955951727453501</v>
      </c>
      <c r="U1616" s="14">
        <v>0.259277418947847</v>
      </c>
      <c r="V1616" s="14">
        <v>0.161454774646965</v>
      </c>
      <c r="W1616" s="14">
        <v>0.16217593125337801</v>
      </c>
      <c r="X1616" s="14">
        <v>0.16025432045372001</v>
      </c>
      <c r="Y1616" s="14">
        <v>9.6446267644232406E-2</v>
      </c>
      <c r="Z1616" s="14">
        <v>0.22219889990824099</v>
      </c>
      <c r="AA1616" s="14">
        <v>0.159092939056728</v>
      </c>
      <c r="AB1616" s="14"/>
      <c r="AC1616" s="14">
        <v>0.144619153468449</v>
      </c>
      <c r="AD1616" s="14">
        <v>0.16749291653588899</v>
      </c>
      <c r="AE1616" s="14">
        <v>0.16752498287745801</v>
      </c>
      <c r="AF1616" s="14">
        <v>0.24008748585641199</v>
      </c>
      <c r="AG1616" s="14">
        <v>0.55396530642589303</v>
      </c>
      <c r="AH1616" s="14"/>
      <c r="AI1616" s="14">
        <v>0.25820347158204798</v>
      </c>
      <c r="AJ1616" s="14">
        <v>0.16738224230395199</v>
      </c>
      <c r="AK1616" s="14">
        <v>0.274943202154452</v>
      </c>
      <c r="AL1616" s="14">
        <v>0.12098807805965001</v>
      </c>
      <c r="AM1616" s="14">
        <v>0.164371829670419</v>
      </c>
      <c r="AN1616" s="14">
        <v>0.154410182750158</v>
      </c>
      <c r="AO1616" s="14"/>
      <c r="AP1616" s="14">
        <v>0.22936212365615999</v>
      </c>
      <c r="AQ1616" s="14">
        <v>0.15360788982169199</v>
      </c>
      <c r="AR1616" s="14"/>
      <c r="AS1616" s="14" t="s">
        <v>88</v>
      </c>
      <c r="AT1616" s="14" t="s">
        <v>88</v>
      </c>
      <c r="AU1616" s="14">
        <v>0.19587075840624499</v>
      </c>
      <c r="AV1616" s="14"/>
      <c r="AW1616" s="14">
        <v>0.19095409266264199</v>
      </c>
      <c r="AX1616" s="14">
        <v>0.27053608795476602</v>
      </c>
      <c r="AY1616" s="14"/>
      <c r="AZ1616" s="14">
        <v>0.21306278968883499</v>
      </c>
      <c r="BA1616" s="14">
        <v>0.11684768720175701</v>
      </c>
    </row>
    <row r="1617" spans="2:53" x14ac:dyDescent="0.35">
      <c r="B1617" t="s">
        <v>227</v>
      </c>
      <c r="C1617" s="14">
        <v>0.41663031436995801</v>
      </c>
      <c r="D1617" s="14">
        <v>0.436645028464544</v>
      </c>
      <c r="E1617" s="14">
        <v>0.39369782722526298</v>
      </c>
      <c r="F1617" s="14"/>
      <c r="G1617" s="14">
        <v>0</v>
      </c>
      <c r="H1617" s="14">
        <v>0.54416135937674004</v>
      </c>
      <c r="I1617" s="14">
        <v>0.47800746329718702</v>
      </c>
      <c r="J1617" s="14">
        <v>0.349645295384444</v>
      </c>
      <c r="K1617" s="14">
        <v>0.36387773587467498</v>
      </c>
      <c r="L1617" s="14">
        <v>0.24419642866895899</v>
      </c>
      <c r="M1617" s="14"/>
      <c r="N1617" s="14">
        <v>0.38152876922440798</v>
      </c>
      <c r="O1617" s="14">
        <v>0.42206908961489598</v>
      </c>
      <c r="P1617" s="14">
        <v>0.44487364362689602</v>
      </c>
      <c r="Q1617" s="14">
        <v>0.42113940261170302</v>
      </c>
      <c r="R1617" s="14"/>
      <c r="S1617" s="14">
        <v>0.43352374376138098</v>
      </c>
      <c r="T1617" s="14">
        <v>0.456582591144362</v>
      </c>
      <c r="U1617" s="14">
        <v>0.203916926064939</v>
      </c>
      <c r="V1617" s="14">
        <v>0.37309146005802601</v>
      </c>
      <c r="W1617" s="14">
        <v>0.38114491356758201</v>
      </c>
      <c r="X1617" s="14">
        <v>0.43201351087763901</v>
      </c>
      <c r="Y1617" s="14">
        <v>0.46643115649052003</v>
      </c>
      <c r="Z1617" s="14">
        <v>0.396009942459563</v>
      </c>
      <c r="AA1617" s="14">
        <v>0.47655025597141099</v>
      </c>
      <c r="AB1617" s="14"/>
      <c r="AC1617" s="14">
        <v>0.36291271727458901</v>
      </c>
      <c r="AD1617" s="14">
        <v>0.40719251541171497</v>
      </c>
      <c r="AE1617" s="14">
        <v>0.45714929712587798</v>
      </c>
      <c r="AF1617" s="14">
        <v>0.503164982767078</v>
      </c>
      <c r="AG1617" s="14">
        <v>0.33705889095053199</v>
      </c>
      <c r="AH1617" s="14"/>
      <c r="AI1617" s="14">
        <v>0.38765985148579601</v>
      </c>
      <c r="AJ1617" s="14">
        <v>0.50435241932424202</v>
      </c>
      <c r="AK1617" s="14">
        <v>0.40059901484105198</v>
      </c>
      <c r="AL1617" s="14">
        <v>0.39365130956475503</v>
      </c>
      <c r="AM1617" s="14">
        <v>0.35326462545235898</v>
      </c>
      <c r="AN1617" s="14">
        <v>0.44119445066442398</v>
      </c>
      <c r="AO1617" s="14"/>
      <c r="AP1617" s="14">
        <v>0.42513074217812402</v>
      </c>
      <c r="AQ1617" s="14">
        <v>0.40673565740151701</v>
      </c>
      <c r="AR1617" s="14"/>
      <c r="AS1617" s="14" t="s">
        <v>88</v>
      </c>
      <c r="AT1617" s="14" t="s">
        <v>88</v>
      </c>
      <c r="AU1617" s="14">
        <v>0.41663031436995801</v>
      </c>
      <c r="AV1617" s="14"/>
      <c r="AW1617" s="14">
        <v>0.41407410178513498</v>
      </c>
      <c r="AX1617" s="14">
        <v>0.47191067243794499</v>
      </c>
      <c r="AY1617" s="14"/>
      <c r="AZ1617" s="14">
        <v>0.43521458994248402</v>
      </c>
      <c r="BA1617" s="14">
        <v>0.32381125473187899</v>
      </c>
    </row>
    <row r="1618" spans="2:53" x14ac:dyDescent="0.35">
      <c r="B1618" t="s">
        <v>228</v>
      </c>
      <c r="C1618" s="14">
        <v>0.22181775470742701</v>
      </c>
      <c r="D1618" s="14">
        <v>0.22518628031323601</v>
      </c>
      <c r="E1618" s="14">
        <v>0.21897124073302199</v>
      </c>
      <c r="F1618" s="14"/>
      <c r="G1618" s="14">
        <v>0</v>
      </c>
      <c r="H1618" s="14">
        <v>0.156389392758886</v>
      </c>
      <c r="I1618" s="14">
        <v>0.189963288341085</v>
      </c>
      <c r="J1618" s="14">
        <v>0.26335852855660702</v>
      </c>
      <c r="K1618" s="14">
        <v>0.212686984155184</v>
      </c>
      <c r="L1618" s="14">
        <v>0.44240686068249802</v>
      </c>
      <c r="M1618" s="14"/>
      <c r="N1618" s="14">
        <v>0.205773955855756</v>
      </c>
      <c r="O1618" s="14">
        <v>0.252789313013562</v>
      </c>
      <c r="P1618" s="14">
        <v>0.17868696457911401</v>
      </c>
      <c r="Q1618" s="14">
        <v>0.26613216615865098</v>
      </c>
      <c r="R1618" s="14"/>
      <c r="S1618" s="14">
        <v>0.180404916327737</v>
      </c>
      <c r="T1618" s="14">
        <v>0.1849417946843</v>
      </c>
      <c r="U1618" s="14">
        <v>0.32729053114800499</v>
      </c>
      <c r="V1618" s="14">
        <v>0.234865857178468</v>
      </c>
      <c r="W1618" s="14">
        <v>0.248620061757996</v>
      </c>
      <c r="X1618" s="14">
        <v>0.24890136336721799</v>
      </c>
      <c r="Y1618" s="14">
        <v>0.321857714998879</v>
      </c>
      <c r="Z1618" s="14">
        <v>0.14884240313417699</v>
      </c>
      <c r="AA1618" s="14">
        <v>0.15803212876846501</v>
      </c>
      <c r="AB1618" s="14"/>
      <c r="AC1618" s="14">
        <v>0.33363273245274599</v>
      </c>
      <c r="AD1618" s="14">
        <v>0.22675348983318999</v>
      </c>
      <c r="AE1618" s="14">
        <v>0.235633771615606</v>
      </c>
      <c r="AF1618" s="14">
        <v>0.11931671567221</v>
      </c>
      <c r="AG1618" s="14">
        <v>4.9914277950762503E-2</v>
      </c>
      <c r="AH1618" s="14"/>
      <c r="AI1618" s="14">
        <v>0.24045813024099999</v>
      </c>
      <c r="AJ1618" s="14">
        <v>0.23218432792950799</v>
      </c>
      <c r="AK1618" s="14">
        <v>0.11257556925100901</v>
      </c>
      <c r="AL1618" s="14">
        <v>0.25446502858916997</v>
      </c>
      <c r="AM1618" s="14">
        <v>0.19372758488149</v>
      </c>
      <c r="AN1618" s="14">
        <v>0.15517326054175801</v>
      </c>
      <c r="AO1618" s="14"/>
      <c r="AP1618" s="14">
        <v>0.195527883293838</v>
      </c>
      <c r="AQ1618" s="14">
        <v>0.25357700713624998</v>
      </c>
      <c r="AR1618" s="14"/>
      <c r="AS1618" s="14" t="s">
        <v>88</v>
      </c>
      <c r="AT1618" s="14" t="s">
        <v>88</v>
      </c>
      <c r="AU1618" s="14">
        <v>0.22181775470742701</v>
      </c>
      <c r="AV1618" s="14"/>
      <c r="AW1618" s="14">
        <v>0.234702905013246</v>
      </c>
      <c r="AX1618" s="14">
        <v>0.171416033498836</v>
      </c>
      <c r="AY1618" s="14"/>
      <c r="AZ1618" s="14">
        <v>0.217308802505425</v>
      </c>
      <c r="BA1618" s="14">
        <v>0.24508450170111801</v>
      </c>
    </row>
    <row r="1619" spans="2:53" x14ac:dyDescent="0.35">
      <c r="B1619" t="s">
        <v>229</v>
      </c>
      <c r="C1619" s="14">
        <v>7.9352341190410805E-2</v>
      </c>
      <c r="D1619" s="14">
        <v>4.6419796681522303E-2</v>
      </c>
      <c r="E1619" s="14">
        <v>0.11429818063012399</v>
      </c>
      <c r="F1619" s="14"/>
      <c r="G1619" s="14">
        <v>0</v>
      </c>
      <c r="H1619" s="14">
        <v>4.0200804707775699E-2</v>
      </c>
      <c r="I1619" s="14">
        <v>8.1014271053937506E-2</v>
      </c>
      <c r="J1619" s="14">
        <v>7.9579040657362404E-2</v>
      </c>
      <c r="K1619" s="14">
        <v>0.1227739209253</v>
      </c>
      <c r="L1619" s="14">
        <v>0</v>
      </c>
      <c r="M1619" s="14"/>
      <c r="N1619" s="14">
        <v>7.8387996141893096E-2</v>
      </c>
      <c r="O1619" s="14">
        <v>4.5781925985726203E-2</v>
      </c>
      <c r="P1619" s="14">
        <v>0.10696254127872599</v>
      </c>
      <c r="Q1619" s="14">
        <v>8.0386196037081997E-2</v>
      </c>
      <c r="R1619" s="14"/>
      <c r="S1619" s="14">
        <v>1.29711603726384E-2</v>
      </c>
      <c r="T1619" s="14">
        <v>8.9061441026886901E-2</v>
      </c>
      <c r="U1619" s="14">
        <v>6.8712477233702399E-2</v>
      </c>
      <c r="V1619" s="14">
        <v>0.13302883596784901</v>
      </c>
      <c r="W1619" s="14">
        <v>0.10995834775409501</v>
      </c>
      <c r="X1619" s="14">
        <v>9.5657209208627803E-2</v>
      </c>
      <c r="Y1619" s="14">
        <v>8.00939880616275E-2</v>
      </c>
      <c r="Z1619" s="14">
        <v>6.7488621991149494E-2</v>
      </c>
      <c r="AA1619" s="14">
        <v>9.1554563971717906E-2</v>
      </c>
      <c r="AB1619" s="14"/>
      <c r="AC1619" s="14">
        <v>9.1041750531718604E-2</v>
      </c>
      <c r="AD1619" s="14">
        <v>0.14422882304064</v>
      </c>
      <c r="AE1619" s="14">
        <v>3.2898126090412601E-2</v>
      </c>
      <c r="AF1619" s="14">
        <v>4.04402232555017E-2</v>
      </c>
      <c r="AG1619" s="14">
        <v>0</v>
      </c>
      <c r="AH1619" s="14"/>
      <c r="AI1619" s="14">
        <v>5.5291879632888098E-2</v>
      </c>
      <c r="AJ1619" s="14">
        <v>5.1254766486969E-2</v>
      </c>
      <c r="AK1619" s="14">
        <v>3.48009185496767E-2</v>
      </c>
      <c r="AL1619" s="14">
        <v>0.11155141182429</v>
      </c>
      <c r="AM1619" s="14">
        <v>0.16799981025248201</v>
      </c>
      <c r="AN1619" s="14">
        <v>0.12693366592993699</v>
      </c>
      <c r="AO1619" s="14"/>
      <c r="AP1619" s="14">
        <v>6.6501475963224296E-2</v>
      </c>
      <c r="AQ1619" s="14">
        <v>9.5919275121912895E-2</v>
      </c>
      <c r="AR1619" s="14"/>
      <c r="AS1619" s="14" t="s">
        <v>88</v>
      </c>
      <c r="AT1619" s="14" t="s">
        <v>88</v>
      </c>
      <c r="AU1619" s="14">
        <v>7.9352341190410805E-2</v>
      </c>
      <c r="AV1619" s="14"/>
      <c r="AW1619" s="14">
        <v>6.9831915860892296E-2</v>
      </c>
      <c r="AX1619" s="14">
        <v>3.3004799494951602E-2</v>
      </c>
      <c r="AY1619" s="14"/>
      <c r="AZ1619" s="14">
        <v>6.2839738682802307E-2</v>
      </c>
      <c r="BA1619" s="14">
        <v>0.15774071142033799</v>
      </c>
    </row>
    <row r="1620" spans="2:53" x14ac:dyDescent="0.35">
      <c r="B1620" t="s">
        <v>116</v>
      </c>
      <c r="C1620" s="14">
        <v>3.5979871334161702E-2</v>
      </c>
      <c r="D1620" s="14">
        <v>1.9802380725815E-2</v>
      </c>
      <c r="E1620" s="14">
        <v>5.31368559621661E-2</v>
      </c>
      <c r="F1620" s="14"/>
      <c r="G1620" s="14">
        <v>0</v>
      </c>
      <c r="H1620" s="14">
        <v>5.8094869601768198E-2</v>
      </c>
      <c r="I1620" s="14">
        <v>2.7013271659066699E-2</v>
      </c>
      <c r="J1620" s="14">
        <v>4.0222045317314999E-2</v>
      </c>
      <c r="K1620" s="14">
        <v>4.5708577126626099E-2</v>
      </c>
      <c r="L1620" s="14">
        <v>0</v>
      </c>
      <c r="M1620" s="14"/>
      <c r="N1620" s="14">
        <v>2.79827838820891E-2</v>
      </c>
      <c r="O1620" s="14">
        <v>5.34756832693975E-2</v>
      </c>
      <c r="P1620" s="14">
        <v>3.5934824055675899E-2</v>
      </c>
      <c r="Q1620" s="14">
        <v>2.9202412696175101E-2</v>
      </c>
      <c r="R1620" s="14"/>
      <c r="S1620" s="14">
        <v>1.20602640505484E-2</v>
      </c>
      <c r="T1620" s="14">
        <v>3.0045051037970599E-2</v>
      </c>
      <c r="U1620" s="14">
        <v>5.8622999605206103E-2</v>
      </c>
      <c r="V1620" s="14">
        <v>7.9342879641642605E-2</v>
      </c>
      <c r="W1620" s="14">
        <v>1.0292323328911E-2</v>
      </c>
      <c r="X1620" s="14">
        <v>2.87726716550907E-2</v>
      </c>
      <c r="Y1620" s="14">
        <v>2.4799146228424301E-2</v>
      </c>
      <c r="Z1620" s="14">
        <v>0.10768078124286801</v>
      </c>
      <c r="AA1620" s="14">
        <v>3.2534839639683302E-2</v>
      </c>
      <c r="AB1620" s="14"/>
      <c r="AC1620" s="14">
        <v>3.8545167724105697E-2</v>
      </c>
      <c r="AD1620" s="14">
        <v>2.3238401482973899E-2</v>
      </c>
      <c r="AE1620" s="14">
        <v>5.7190909147530299E-2</v>
      </c>
      <c r="AF1620" s="14">
        <v>1.34072558614339E-2</v>
      </c>
      <c r="AG1620" s="14">
        <v>2.9865597151427701E-2</v>
      </c>
      <c r="AH1620" s="14"/>
      <c r="AI1620" s="14">
        <v>1.7963088987198901E-2</v>
      </c>
      <c r="AJ1620" s="14">
        <v>5.4710121675186499E-3</v>
      </c>
      <c r="AK1620" s="14">
        <v>6.2994211236828801E-2</v>
      </c>
      <c r="AL1620" s="14">
        <v>5.0399743264258098E-2</v>
      </c>
      <c r="AM1620" s="14">
        <v>4.5548157479751203E-2</v>
      </c>
      <c r="AN1620" s="14">
        <v>0.122288440113723</v>
      </c>
      <c r="AO1620" s="14"/>
      <c r="AP1620" s="14">
        <v>3.1294068629698399E-2</v>
      </c>
      <c r="AQ1620" s="14">
        <v>4.20366393669344E-2</v>
      </c>
      <c r="AR1620" s="14"/>
      <c r="AS1620" s="14" t="s">
        <v>88</v>
      </c>
      <c r="AT1620" s="14" t="s">
        <v>88</v>
      </c>
      <c r="AU1620" s="14">
        <v>3.5979871334161702E-2</v>
      </c>
      <c r="AV1620" s="14"/>
      <c r="AW1620" s="14">
        <v>3.69987374193557E-2</v>
      </c>
      <c r="AX1620" s="14">
        <v>1.19624778008769E-2</v>
      </c>
      <c r="AY1620" s="14"/>
      <c r="AZ1620" s="14">
        <v>2.2907047881475798E-2</v>
      </c>
      <c r="BA1620" s="14">
        <v>9.7789270892776697E-2</v>
      </c>
    </row>
    <row r="1621" spans="2:53" x14ac:dyDescent="0.35"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  <c r="AO1621" s="14"/>
      <c r="AP1621" s="14"/>
      <c r="AQ1621" s="14"/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</row>
    <row r="1622" spans="2:53" x14ac:dyDescent="0.35">
      <c r="B1622" s="6" t="s">
        <v>380</v>
      </c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/>
      <c r="AN1622" s="14"/>
      <c r="AO1622" s="14"/>
      <c r="AP1622" s="14"/>
      <c r="AQ1622" s="14"/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</row>
    <row r="1623" spans="2:53" x14ac:dyDescent="0.35">
      <c r="B1623" s="30" t="s">
        <v>463</v>
      </c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/>
      <c r="AN1623" s="14"/>
      <c r="AO1623" s="14"/>
      <c r="AP1623" s="14"/>
      <c r="AQ1623" s="14"/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</row>
    <row r="1624" spans="2:53" x14ac:dyDescent="0.35">
      <c r="B1624" t="s">
        <v>231</v>
      </c>
      <c r="C1624" s="14">
        <v>9.9308037762826804E-2</v>
      </c>
      <c r="D1624" s="14">
        <v>9.7618790997848995E-2</v>
      </c>
      <c r="E1624" s="14">
        <v>0.101402065226203</v>
      </c>
      <c r="F1624" s="14"/>
      <c r="G1624" s="14">
        <v>0</v>
      </c>
      <c r="H1624" s="14">
        <v>0.18001209743211499</v>
      </c>
      <c r="I1624" s="14">
        <v>0.125386617455648</v>
      </c>
      <c r="J1624" s="14">
        <v>6.5388909726231001E-2</v>
      </c>
      <c r="K1624" s="14">
        <v>7.6685534468223196E-2</v>
      </c>
      <c r="L1624" s="14">
        <v>0</v>
      </c>
      <c r="M1624" s="14"/>
      <c r="N1624" s="14">
        <v>0.118427689462389</v>
      </c>
      <c r="O1624" s="14">
        <v>8.1622317226767105E-2</v>
      </c>
      <c r="P1624" s="14">
        <v>9.9624110147249895E-2</v>
      </c>
      <c r="Q1624" s="14">
        <v>9.3639417149602E-2</v>
      </c>
      <c r="R1624" s="14"/>
      <c r="S1624" s="14">
        <v>0.161595988513038</v>
      </c>
      <c r="T1624" s="14">
        <v>7.03777117404501E-2</v>
      </c>
      <c r="U1624" s="14">
        <v>0.108695961630321</v>
      </c>
      <c r="V1624" s="14">
        <v>6.7837430782424296E-2</v>
      </c>
      <c r="W1624" s="14">
        <v>6.9099000814898601E-2</v>
      </c>
      <c r="X1624" s="14">
        <v>8.4726650927464495E-2</v>
      </c>
      <c r="Y1624" s="14">
        <v>0.10703523504406801</v>
      </c>
      <c r="Z1624" s="14">
        <v>5.3142090137417497E-2</v>
      </c>
      <c r="AA1624" s="14">
        <v>0.11966133801155</v>
      </c>
      <c r="AB1624" s="14"/>
      <c r="AC1624" s="14">
        <v>4.0278304654925497E-2</v>
      </c>
      <c r="AD1624" s="14">
        <v>0.10107450324888199</v>
      </c>
      <c r="AE1624" s="14">
        <v>0.108535479124323</v>
      </c>
      <c r="AF1624" s="14">
        <v>0.170654173369156</v>
      </c>
      <c r="AG1624" s="14">
        <v>7.6160285305346007E-2</v>
      </c>
      <c r="AH1624" s="14"/>
      <c r="AI1624" s="14">
        <v>0.12686913465223201</v>
      </c>
      <c r="AJ1624" s="14">
        <v>5.5018835323066201E-2</v>
      </c>
      <c r="AK1624" s="14">
        <v>0.153280989579542</v>
      </c>
      <c r="AL1624" s="14">
        <v>5.9156776636300097E-2</v>
      </c>
      <c r="AM1624" s="14">
        <v>7.4539309668654699E-2</v>
      </c>
      <c r="AN1624" s="14">
        <v>0.107995269836052</v>
      </c>
      <c r="AO1624" s="14"/>
      <c r="AP1624" s="14">
        <v>8.7868850612178598E-2</v>
      </c>
      <c r="AQ1624" s="14">
        <v>0.114120101753569</v>
      </c>
      <c r="AR1624" s="14"/>
      <c r="AS1624" s="14" t="s">
        <v>88</v>
      </c>
      <c r="AT1624" s="14" t="s">
        <v>88</v>
      </c>
      <c r="AU1624" s="14">
        <v>9.9308037762826804E-2</v>
      </c>
      <c r="AV1624" s="14"/>
      <c r="AW1624" s="14">
        <v>9.1494957711605998E-2</v>
      </c>
      <c r="AX1624" s="14">
        <v>0.11977221387215101</v>
      </c>
      <c r="AY1624" s="14"/>
      <c r="AZ1624" s="14">
        <v>0.101235266764289</v>
      </c>
      <c r="BA1624" s="14">
        <v>9.1169107915506198E-2</v>
      </c>
    </row>
    <row r="1625" spans="2:53" x14ac:dyDescent="0.35">
      <c r="B1625" t="s">
        <v>232</v>
      </c>
      <c r="C1625" s="14">
        <v>0.73567386224681097</v>
      </c>
      <c r="D1625" s="14">
        <v>0.76179187775246204</v>
      </c>
      <c r="E1625" s="14">
        <v>0.70732156391592604</v>
      </c>
      <c r="F1625" s="14"/>
      <c r="G1625" s="14">
        <v>1</v>
      </c>
      <c r="H1625" s="14">
        <v>0.54291158598215095</v>
      </c>
      <c r="I1625" s="14">
        <v>0.70050967655489305</v>
      </c>
      <c r="J1625" s="14">
        <v>0.77630742202313996</v>
      </c>
      <c r="K1625" s="14">
        <v>0.85634904506545495</v>
      </c>
      <c r="L1625" s="14">
        <v>0.80919467750156804</v>
      </c>
      <c r="M1625" s="14"/>
      <c r="N1625" s="14">
        <v>0.74061738684163103</v>
      </c>
      <c r="O1625" s="14">
        <v>0.72143654949968705</v>
      </c>
      <c r="P1625" s="14">
        <v>0.71620720096403301</v>
      </c>
      <c r="Q1625" s="14">
        <v>0.76052922866668604</v>
      </c>
      <c r="R1625" s="14"/>
      <c r="S1625" s="14">
        <v>0.66493433727282203</v>
      </c>
      <c r="T1625" s="14">
        <v>0.78227890855615101</v>
      </c>
      <c r="U1625" s="14">
        <v>0.68747163284967505</v>
      </c>
      <c r="V1625" s="14">
        <v>0.81735452396638197</v>
      </c>
      <c r="W1625" s="14">
        <v>0.80902254084987701</v>
      </c>
      <c r="X1625" s="14">
        <v>0.67119927437386095</v>
      </c>
      <c r="Y1625" s="14">
        <v>0.70432639139323705</v>
      </c>
      <c r="Z1625" s="14">
        <v>0.76915521103985096</v>
      </c>
      <c r="AA1625" s="14">
        <v>0.75330666459871998</v>
      </c>
      <c r="AB1625" s="14"/>
      <c r="AC1625" s="14">
        <v>0.75017482718639295</v>
      </c>
      <c r="AD1625" s="14">
        <v>0.75875386721739702</v>
      </c>
      <c r="AE1625" s="14">
        <v>0.73640379855981497</v>
      </c>
      <c r="AF1625" s="14">
        <v>0.68515897073054499</v>
      </c>
      <c r="AG1625" s="14">
        <v>0.80782774097271803</v>
      </c>
      <c r="AH1625" s="14"/>
      <c r="AI1625" s="14">
        <v>0.70178132137950799</v>
      </c>
      <c r="AJ1625" s="14">
        <v>0.79160203948148899</v>
      </c>
      <c r="AK1625" s="14">
        <v>0.77639409012111305</v>
      </c>
      <c r="AL1625" s="14">
        <v>0.77123055129907203</v>
      </c>
      <c r="AM1625" s="14">
        <v>0.73245632276096995</v>
      </c>
      <c r="AN1625" s="14">
        <v>0.58226702266317398</v>
      </c>
      <c r="AO1625" s="14"/>
      <c r="AP1625" s="14">
        <v>0.75129202661587602</v>
      </c>
      <c r="AQ1625" s="14">
        <v>0.71515869485723604</v>
      </c>
      <c r="AR1625" s="14"/>
      <c r="AS1625" s="14" t="s">
        <v>88</v>
      </c>
      <c r="AT1625" s="14" t="s">
        <v>88</v>
      </c>
      <c r="AU1625" s="14">
        <v>0.73567386224681097</v>
      </c>
      <c r="AV1625" s="14"/>
      <c r="AW1625" s="14">
        <v>0.74450293300620896</v>
      </c>
      <c r="AX1625" s="14">
        <v>0.73183504560344403</v>
      </c>
      <c r="AY1625" s="14"/>
      <c r="AZ1625" s="14">
        <v>0.74725974804215101</v>
      </c>
      <c r="BA1625" s="14">
        <v>0.67873253605238304</v>
      </c>
    </row>
    <row r="1626" spans="2:53" x14ac:dyDescent="0.35">
      <c r="B1626" t="s">
        <v>233</v>
      </c>
      <c r="C1626" s="14">
        <v>0.114648864894333</v>
      </c>
      <c r="D1626" s="14">
        <v>0.112143319503917</v>
      </c>
      <c r="E1626" s="14">
        <v>0.117651434626422</v>
      </c>
      <c r="F1626" s="14"/>
      <c r="G1626" s="14">
        <v>0</v>
      </c>
      <c r="H1626" s="14">
        <v>0.240831952850589</v>
      </c>
      <c r="I1626" s="14">
        <v>0.13448924805416301</v>
      </c>
      <c r="J1626" s="14">
        <v>7.7119838449019096E-2</v>
      </c>
      <c r="K1626" s="14">
        <v>6.6965420466322007E-2</v>
      </c>
      <c r="L1626" s="14">
        <v>0.124198737307862</v>
      </c>
      <c r="M1626" s="14"/>
      <c r="N1626" s="14">
        <v>9.5977307899822006E-2</v>
      </c>
      <c r="O1626" s="14">
        <v>0.12490837076190001</v>
      </c>
      <c r="P1626" s="14">
        <v>0.13774454529913699</v>
      </c>
      <c r="Q1626" s="14">
        <v>0.105533811041228</v>
      </c>
      <c r="R1626" s="14"/>
      <c r="S1626" s="14">
        <v>0.15860075609694399</v>
      </c>
      <c r="T1626" s="14">
        <v>8.9538016074295096E-2</v>
      </c>
      <c r="U1626" s="14">
        <v>9.1264037603212694E-2</v>
      </c>
      <c r="V1626" s="14">
        <v>6.7689358533081403E-2</v>
      </c>
      <c r="W1626" s="14">
        <v>9.7821234683197006E-2</v>
      </c>
      <c r="X1626" s="14">
        <v>0.201380359375707</v>
      </c>
      <c r="Y1626" s="14">
        <v>9.6430013936486203E-2</v>
      </c>
      <c r="Z1626" s="14">
        <v>9.4582952918984706E-2</v>
      </c>
      <c r="AA1626" s="14">
        <v>9.1875772988288404E-2</v>
      </c>
      <c r="AB1626" s="14"/>
      <c r="AC1626" s="14">
        <v>0.137268168599954</v>
      </c>
      <c r="AD1626" s="14">
        <v>0.101893508318426</v>
      </c>
      <c r="AE1626" s="14">
        <v>8.2026733968439403E-2</v>
      </c>
      <c r="AF1626" s="14">
        <v>0.14243772663085899</v>
      </c>
      <c r="AG1626" s="14">
        <v>0.116011973721936</v>
      </c>
      <c r="AH1626" s="14"/>
      <c r="AI1626" s="14">
        <v>0.123901278464926</v>
      </c>
      <c r="AJ1626" s="14">
        <v>0.13630890058172601</v>
      </c>
      <c r="AK1626" s="14">
        <v>4.6648551544181703E-2</v>
      </c>
      <c r="AL1626" s="14">
        <v>0.128346034570192</v>
      </c>
      <c r="AM1626" s="14">
        <v>0.10717621966218301</v>
      </c>
      <c r="AN1626" s="14">
        <v>0.117058449738195</v>
      </c>
      <c r="AO1626" s="14"/>
      <c r="AP1626" s="14">
        <v>0.110927359029228</v>
      </c>
      <c r="AQ1626" s="14">
        <v>0.119654393331695</v>
      </c>
      <c r="AR1626" s="14"/>
      <c r="AS1626" s="14" t="s">
        <v>88</v>
      </c>
      <c r="AT1626" s="14" t="s">
        <v>88</v>
      </c>
      <c r="AU1626" s="14">
        <v>0.114648864894333</v>
      </c>
      <c r="AV1626" s="14"/>
      <c r="AW1626" s="14">
        <v>0.108309736873615</v>
      </c>
      <c r="AX1626" s="14">
        <v>0.126707692347269</v>
      </c>
      <c r="AY1626" s="14"/>
      <c r="AZ1626" s="14">
        <v>0.11761642206476999</v>
      </c>
      <c r="BA1626" s="14">
        <v>0.101760522617419</v>
      </c>
    </row>
    <row r="1627" spans="2:53" x14ac:dyDescent="0.35">
      <c r="B1627" t="s">
        <v>116</v>
      </c>
      <c r="C1627" s="14">
        <v>5.0369235096029599E-2</v>
      </c>
      <c r="D1627" s="14">
        <v>2.8446011745771702E-2</v>
      </c>
      <c r="E1627" s="14">
        <v>7.3624936231449306E-2</v>
      </c>
      <c r="F1627" s="14"/>
      <c r="G1627" s="14">
        <v>0</v>
      </c>
      <c r="H1627" s="14">
        <v>3.6244363735144398E-2</v>
      </c>
      <c r="I1627" s="14">
        <v>3.9614457935295097E-2</v>
      </c>
      <c r="J1627" s="14">
        <v>8.1183829801609597E-2</v>
      </c>
      <c r="K1627" s="14">
        <v>0</v>
      </c>
      <c r="L1627" s="14">
        <v>6.6606585190569695E-2</v>
      </c>
      <c r="M1627" s="14"/>
      <c r="N1627" s="14">
        <v>4.4977615796158603E-2</v>
      </c>
      <c r="O1627" s="14">
        <v>7.20327625116466E-2</v>
      </c>
      <c r="P1627" s="14">
        <v>4.6424143589579997E-2</v>
      </c>
      <c r="Q1627" s="14">
        <v>4.0297543142483599E-2</v>
      </c>
      <c r="R1627" s="14"/>
      <c r="S1627" s="14">
        <v>1.4868918117195999E-2</v>
      </c>
      <c r="T1627" s="14">
        <v>5.7805363629103601E-2</v>
      </c>
      <c r="U1627" s="14">
        <v>0.11256836791679101</v>
      </c>
      <c r="V1627" s="14">
        <v>4.7118686718112299E-2</v>
      </c>
      <c r="W1627" s="14">
        <v>2.4057223652027299E-2</v>
      </c>
      <c r="X1627" s="14">
        <v>4.2693715322967202E-2</v>
      </c>
      <c r="Y1627" s="14">
        <v>9.2208359626208894E-2</v>
      </c>
      <c r="Z1627" s="14">
        <v>8.31197459037471E-2</v>
      </c>
      <c r="AA1627" s="14">
        <v>3.5156224401441498E-2</v>
      </c>
      <c r="AB1627" s="14"/>
      <c r="AC1627" s="14">
        <v>7.2278699558727399E-2</v>
      </c>
      <c r="AD1627" s="14">
        <v>3.82781212152946E-2</v>
      </c>
      <c r="AE1627" s="14">
        <v>7.3033988347422599E-2</v>
      </c>
      <c r="AF1627" s="14">
        <v>1.7491292694391499E-3</v>
      </c>
      <c r="AG1627" s="14">
        <v>0</v>
      </c>
      <c r="AH1627" s="14"/>
      <c r="AI1627" s="14">
        <v>4.7448265503333802E-2</v>
      </c>
      <c r="AJ1627" s="14">
        <v>1.7070224613719199E-2</v>
      </c>
      <c r="AK1627" s="14">
        <v>2.3676368755163098E-2</v>
      </c>
      <c r="AL1627" s="14">
        <v>4.1266637494436001E-2</v>
      </c>
      <c r="AM1627" s="14">
        <v>8.5828147908192806E-2</v>
      </c>
      <c r="AN1627" s="14">
        <v>0.19267925776257899</v>
      </c>
      <c r="AO1627" s="14"/>
      <c r="AP1627" s="14">
        <v>4.9911763742717198E-2</v>
      </c>
      <c r="AQ1627" s="14">
        <v>5.1066810057500502E-2</v>
      </c>
      <c r="AR1627" s="14"/>
      <c r="AS1627" s="14" t="s">
        <v>88</v>
      </c>
      <c r="AT1627" s="14" t="s">
        <v>88</v>
      </c>
      <c r="AU1627" s="14">
        <v>5.0369235096029599E-2</v>
      </c>
      <c r="AV1627" s="14"/>
      <c r="AW1627" s="14">
        <v>5.56923724085703E-2</v>
      </c>
      <c r="AX1627" s="14">
        <v>2.1685048177135499E-2</v>
      </c>
      <c r="AY1627" s="14"/>
      <c r="AZ1627" s="14">
        <v>3.3888563128789601E-2</v>
      </c>
      <c r="BA1627" s="14">
        <v>0.12833783341469199</v>
      </c>
    </row>
    <row r="1628" spans="2:53" x14ac:dyDescent="0.35">
      <c r="C1628" s="14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/>
      <c r="AN1628" s="14"/>
      <c r="AO1628" s="14"/>
      <c r="AP1628" s="14"/>
      <c r="AQ1628" s="14"/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</row>
    <row r="1629" spans="2:53" x14ac:dyDescent="0.35">
      <c r="B1629" s="6" t="s">
        <v>381</v>
      </c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/>
      <c r="AO1629" s="14"/>
      <c r="AP1629" s="14"/>
      <c r="AQ1629" s="14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</row>
    <row r="1630" spans="2:53" x14ac:dyDescent="0.35">
      <c r="B1630" s="30" t="s">
        <v>463</v>
      </c>
      <c r="C1630" s="14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/>
      <c r="AN1630" s="14"/>
      <c r="AO1630" s="14"/>
      <c r="AP1630" s="14"/>
      <c r="AQ1630" s="14"/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</row>
    <row r="1631" spans="2:53" x14ac:dyDescent="0.35">
      <c r="B1631" t="s">
        <v>235</v>
      </c>
      <c r="C1631" s="14">
        <v>0.33468370455707802</v>
      </c>
      <c r="D1631" s="14">
        <v>0.368241869972744</v>
      </c>
      <c r="E1631" s="14">
        <v>0.30038955510987098</v>
      </c>
      <c r="F1631" s="14"/>
      <c r="G1631" s="14">
        <v>0.46244813625315101</v>
      </c>
      <c r="H1631" s="14">
        <v>0.402347052844097</v>
      </c>
      <c r="I1631" s="14">
        <v>0.33353709246063301</v>
      </c>
      <c r="J1631" s="14">
        <v>0.334206232876262</v>
      </c>
      <c r="K1631" s="14">
        <v>0.30620789043264202</v>
      </c>
      <c r="L1631" s="14">
        <v>0.230138512607058</v>
      </c>
      <c r="M1631" s="14"/>
      <c r="N1631" s="14">
        <v>0.46973960732432601</v>
      </c>
      <c r="O1631" s="14">
        <v>0.28953880415977901</v>
      </c>
      <c r="P1631" s="14">
        <v>0.271618190287572</v>
      </c>
      <c r="Q1631" s="14">
        <v>0.26728468958478901</v>
      </c>
      <c r="R1631" s="14"/>
      <c r="S1631" s="14">
        <v>0.39157277708704002</v>
      </c>
      <c r="T1631" s="14">
        <v>0.37915306676858701</v>
      </c>
      <c r="U1631" s="14">
        <v>0.36199919166643002</v>
      </c>
      <c r="V1631" s="14">
        <v>0.27511855409803998</v>
      </c>
      <c r="W1631" s="14">
        <v>0.20218026555836399</v>
      </c>
      <c r="X1631" s="14">
        <v>0.38408614564416799</v>
      </c>
      <c r="Y1631" s="14">
        <v>0.34900261366597901</v>
      </c>
      <c r="Z1631" s="14">
        <v>0.32525686975845802</v>
      </c>
      <c r="AA1631" s="14">
        <v>0.28190652074144401</v>
      </c>
      <c r="AB1631" s="14"/>
      <c r="AC1631" s="14">
        <v>0.21126306512531301</v>
      </c>
      <c r="AD1631" s="14">
        <v>0.282533596546372</v>
      </c>
      <c r="AE1631" s="14">
        <v>0.34112376253437299</v>
      </c>
      <c r="AF1631" s="14">
        <v>0.46537910541462502</v>
      </c>
      <c r="AG1631" s="14">
        <v>0.60526869310937703</v>
      </c>
      <c r="AH1631" s="14"/>
      <c r="AI1631" s="14">
        <v>0.389690455453928</v>
      </c>
      <c r="AJ1631" s="14">
        <v>0.327894631883483</v>
      </c>
      <c r="AK1631" s="14">
        <v>0.45259821268632</v>
      </c>
      <c r="AL1631" s="14">
        <v>0.24286795264871999</v>
      </c>
      <c r="AM1631" s="14">
        <v>0.331663014678653</v>
      </c>
      <c r="AN1631" s="14">
        <v>0.32640959884788301</v>
      </c>
      <c r="AO1631" s="14"/>
      <c r="AP1631" s="14">
        <v>0.378650515067052</v>
      </c>
      <c r="AQ1631" s="14">
        <v>0.27937769337823098</v>
      </c>
      <c r="AR1631" s="14"/>
      <c r="AS1631" s="14" t="s">
        <v>88</v>
      </c>
      <c r="AT1631" s="14" t="s">
        <v>88</v>
      </c>
      <c r="AU1631" s="14">
        <v>0.33468370455707802</v>
      </c>
      <c r="AV1631" s="14"/>
      <c r="AW1631" s="14">
        <v>0.31363755613543398</v>
      </c>
      <c r="AX1631" s="14">
        <v>0.42698174869424499</v>
      </c>
      <c r="AY1631" s="14"/>
      <c r="AZ1631" s="14">
        <v>0.34144733875861899</v>
      </c>
      <c r="BA1631" s="14">
        <v>0.30599128883181398</v>
      </c>
    </row>
    <row r="1632" spans="2:53" x14ac:dyDescent="0.35">
      <c r="B1632" t="s">
        <v>236</v>
      </c>
      <c r="C1632" s="14">
        <v>0.54272183362002901</v>
      </c>
      <c r="D1632" s="14">
        <v>0.54828017855526801</v>
      </c>
      <c r="E1632" s="14">
        <v>0.53541840195981405</v>
      </c>
      <c r="F1632" s="14"/>
      <c r="G1632" s="14">
        <v>0</v>
      </c>
      <c r="H1632" s="14">
        <v>0.39917513031038698</v>
      </c>
      <c r="I1632" s="14">
        <v>0.55797288128403899</v>
      </c>
      <c r="J1632" s="14">
        <v>0.54415150398760803</v>
      </c>
      <c r="K1632" s="14">
        <v>0.59486117872169098</v>
      </c>
      <c r="L1632" s="14">
        <v>0.62777995183794699</v>
      </c>
      <c r="M1632" s="14"/>
      <c r="N1632" s="14">
        <v>0.43348726145847699</v>
      </c>
      <c r="O1632" s="14">
        <v>0.604779738737934</v>
      </c>
      <c r="P1632" s="14">
        <v>0.61376414229501997</v>
      </c>
      <c r="Q1632" s="14">
        <v>0.53782303145003696</v>
      </c>
      <c r="R1632" s="14"/>
      <c r="S1632" s="14">
        <v>0.52091670855552996</v>
      </c>
      <c r="T1632" s="14">
        <v>0.58038996101477802</v>
      </c>
      <c r="U1632" s="14">
        <v>0.51520082345082596</v>
      </c>
      <c r="V1632" s="14">
        <v>0.57933951889548296</v>
      </c>
      <c r="W1632" s="14">
        <v>0.58368645317215395</v>
      </c>
      <c r="X1632" s="14">
        <v>0.46162444888028897</v>
      </c>
      <c r="Y1632" s="14">
        <v>0.43787536690692602</v>
      </c>
      <c r="Z1632" s="14">
        <v>0.60099722963501701</v>
      </c>
      <c r="AA1632" s="14">
        <v>0.62092697521487905</v>
      </c>
      <c r="AB1632" s="14"/>
      <c r="AC1632" s="14">
        <v>0.61849671997247302</v>
      </c>
      <c r="AD1632" s="14">
        <v>0.57416217334776598</v>
      </c>
      <c r="AE1632" s="14">
        <v>0.55625035315326798</v>
      </c>
      <c r="AF1632" s="14">
        <v>0.47671067917668503</v>
      </c>
      <c r="AG1632" s="14">
        <v>0.39473130689062302</v>
      </c>
      <c r="AH1632" s="14"/>
      <c r="AI1632" s="14">
        <v>0.50174350406435098</v>
      </c>
      <c r="AJ1632" s="14">
        <v>0.545932575787205</v>
      </c>
      <c r="AK1632" s="14">
        <v>0.50699628741187697</v>
      </c>
      <c r="AL1632" s="14">
        <v>0.60288826880647095</v>
      </c>
      <c r="AM1632" s="14">
        <v>0.51381258569714505</v>
      </c>
      <c r="AN1632" s="14">
        <v>0.53941068909907197</v>
      </c>
      <c r="AO1632" s="14"/>
      <c r="AP1632" s="14">
        <v>0.51148925175954096</v>
      </c>
      <c r="AQ1632" s="14">
        <v>0.58151158104163003</v>
      </c>
      <c r="AR1632" s="14"/>
      <c r="AS1632" s="14" t="s">
        <v>88</v>
      </c>
      <c r="AT1632" s="14" t="s">
        <v>88</v>
      </c>
      <c r="AU1632" s="14">
        <v>0.54272183362002901</v>
      </c>
      <c r="AV1632" s="14"/>
      <c r="AW1632" s="14">
        <v>0.56754067789999596</v>
      </c>
      <c r="AX1632" s="14">
        <v>0.49163920262164101</v>
      </c>
      <c r="AY1632" s="14"/>
      <c r="AZ1632" s="14">
        <v>0.55542321604894596</v>
      </c>
      <c r="BA1632" s="14">
        <v>0.478739944925963</v>
      </c>
    </row>
    <row r="1633" spans="2:53" x14ac:dyDescent="0.35">
      <c r="B1633" t="s">
        <v>237</v>
      </c>
      <c r="C1633" s="14">
        <v>8.2007125115753296E-2</v>
      </c>
      <c r="D1633" s="14">
        <v>6.1535841956529697E-2</v>
      </c>
      <c r="E1633" s="14">
        <v>0.103833360638012</v>
      </c>
      <c r="F1633" s="14"/>
      <c r="G1633" s="14">
        <v>0</v>
      </c>
      <c r="H1633" s="14">
        <v>0.15474395445525899</v>
      </c>
      <c r="I1633" s="14">
        <v>8.1170426923218894E-2</v>
      </c>
      <c r="J1633" s="14">
        <v>8.1765588539680703E-2</v>
      </c>
      <c r="K1633" s="14">
        <v>4.5778285467940501E-2</v>
      </c>
      <c r="L1633" s="14">
        <v>1.70486452016991E-2</v>
      </c>
      <c r="M1633" s="14"/>
      <c r="N1633" s="14">
        <v>8.1766868621744496E-2</v>
      </c>
      <c r="O1633" s="14">
        <v>7.2818549330580407E-2</v>
      </c>
      <c r="P1633" s="14">
        <v>5.5253071047912002E-2</v>
      </c>
      <c r="Q1633" s="14">
        <v>0.12938422155489601</v>
      </c>
      <c r="R1633" s="14"/>
      <c r="S1633" s="14">
        <v>7.5822362830127402E-2</v>
      </c>
      <c r="T1633" s="14">
        <v>1.53122691454971E-2</v>
      </c>
      <c r="U1633" s="14">
        <v>6.4176977579106703E-2</v>
      </c>
      <c r="V1633" s="14">
        <v>7.5068756308036694E-2</v>
      </c>
      <c r="W1633" s="14">
        <v>0.13926948352066401</v>
      </c>
      <c r="X1633" s="14">
        <v>0.10552533168693</v>
      </c>
      <c r="Y1633" s="14">
        <v>0.133028037456496</v>
      </c>
      <c r="Z1633" s="14">
        <v>7.3745900606525E-2</v>
      </c>
      <c r="AA1633" s="14">
        <v>8.0170635386387398E-2</v>
      </c>
      <c r="AB1633" s="14"/>
      <c r="AC1633" s="14">
        <v>0.110184673433214</v>
      </c>
      <c r="AD1633" s="14">
        <v>6.3446179727965998E-2</v>
      </c>
      <c r="AE1633" s="14">
        <v>7.8586934075768999E-2</v>
      </c>
      <c r="AF1633" s="14">
        <v>5.79102154086895E-2</v>
      </c>
      <c r="AG1633" s="14">
        <v>0</v>
      </c>
      <c r="AH1633" s="14"/>
      <c r="AI1633" s="14">
        <v>7.3247524273667902E-2</v>
      </c>
      <c r="AJ1633" s="14">
        <v>0.11298942439498801</v>
      </c>
      <c r="AK1633" s="14">
        <v>2.2892982016749799E-2</v>
      </c>
      <c r="AL1633" s="14">
        <v>8.1314535396742202E-2</v>
      </c>
      <c r="AM1633" s="14">
        <v>0.113859981335848</v>
      </c>
      <c r="AN1633" s="14">
        <v>4.61715870191911E-2</v>
      </c>
      <c r="AO1633" s="14"/>
      <c r="AP1633" s="14">
        <v>7.6959675006533695E-2</v>
      </c>
      <c r="AQ1633" s="14">
        <v>8.8629430299080603E-2</v>
      </c>
      <c r="AR1633" s="14"/>
      <c r="AS1633" s="14" t="s">
        <v>88</v>
      </c>
      <c r="AT1633" s="14" t="s">
        <v>88</v>
      </c>
      <c r="AU1633" s="14">
        <v>8.2007125115753296E-2</v>
      </c>
      <c r="AV1633" s="14"/>
      <c r="AW1633" s="14">
        <v>7.9675197080284296E-2</v>
      </c>
      <c r="AX1633" s="14">
        <v>5.6314990255647103E-2</v>
      </c>
      <c r="AY1633" s="14"/>
      <c r="AZ1633" s="14">
        <v>7.3459549913183195E-2</v>
      </c>
      <c r="BA1633" s="14">
        <v>0.122964809483962</v>
      </c>
    </row>
    <row r="1634" spans="2:53" x14ac:dyDescent="0.35">
      <c r="B1634" t="s">
        <v>238</v>
      </c>
      <c r="C1634" s="14">
        <v>2.23162370481103E-2</v>
      </c>
      <c r="D1634" s="14">
        <v>1.79292006184926E-2</v>
      </c>
      <c r="E1634" s="14">
        <v>2.7008654847023798E-2</v>
      </c>
      <c r="F1634" s="14"/>
      <c r="G1634" s="14">
        <v>0.53755186374684905</v>
      </c>
      <c r="H1634" s="14">
        <v>2.6159916865581199E-2</v>
      </c>
      <c r="I1634" s="14">
        <v>1.38894476049451E-2</v>
      </c>
      <c r="J1634" s="14">
        <v>1.25796826244533E-2</v>
      </c>
      <c r="K1634" s="14">
        <v>4.1318717625423197E-2</v>
      </c>
      <c r="L1634" s="14">
        <v>0.12503289035329501</v>
      </c>
      <c r="M1634" s="14"/>
      <c r="N1634" s="14">
        <v>1.5006262595451901E-2</v>
      </c>
      <c r="O1634" s="14">
        <v>0</v>
      </c>
      <c r="P1634" s="14">
        <v>2.9953608323871901E-2</v>
      </c>
      <c r="Q1634" s="14">
        <v>4.9947280183708802E-2</v>
      </c>
      <c r="R1634" s="14"/>
      <c r="S1634" s="14">
        <v>1.16881515273029E-2</v>
      </c>
      <c r="T1634" s="14">
        <v>0</v>
      </c>
      <c r="U1634" s="14">
        <v>3.4356242466066798E-2</v>
      </c>
      <c r="V1634" s="14">
        <v>3.4491431993142398E-2</v>
      </c>
      <c r="W1634" s="14">
        <v>6.1098896796585998E-2</v>
      </c>
      <c r="X1634" s="14">
        <v>3.93279496295241E-2</v>
      </c>
      <c r="Y1634" s="14">
        <v>3.6555119601203799E-2</v>
      </c>
      <c r="Z1634" s="14">
        <v>0</v>
      </c>
      <c r="AA1634" s="14">
        <v>0</v>
      </c>
      <c r="AB1634" s="14"/>
      <c r="AC1634" s="14">
        <v>2.8221799453757999E-2</v>
      </c>
      <c r="AD1634" s="14">
        <v>4.37906002545057E-2</v>
      </c>
      <c r="AE1634" s="14">
        <v>1.5256479957605399E-2</v>
      </c>
      <c r="AF1634" s="14">
        <v>0</v>
      </c>
      <c r="AG1634" s="14">
        <v>0</v>
      </c>
      <c r="AH1634" s="14"/>
      <c r="AI1634" s="14">
        <v>2.73685312024722E-2</v>
      </c>
      <c r="AJ1634" s="14">
        <v>7.4160088995587001E-3</v>
      </c>
      <c r="AK1634" s="14">
        <v>1.75125178850528E-2</v>
      </c>
      <c r="AL1634" s="14">
        <v>3.8913190850183001E-2</v>
      </c>
      <c r="AM1634" s="14">
        <v>1.5998713168969399E-2</v>
      </c>
      <c r="AN1634" s="14">
        <v>0</v>
      </c>
      <c r="AO1634" s="14"/>
      <c r="AP1634" s="14">
        <v>1.92422391640239E-2</v>
      </c>
      <c r="AQ1634" s="14">
        <v>2.62867012678791E-2</v>
      </c>
      <c r="AR1634" s="14"/>
      <c r="AS1634" s="14" t="s">
        <v>88</v>
      </c>
      <c r="AT1634" s="14" t="s">
        <v>88</v>
      </c>
      <c r="AU1634" s="14">
        <v>2.23162370481103E-2</v>
      </c>
      <c r="AV1634" s="14"/>
      <c r="AW1634" s="14">
        <v>1.89595898634594E-2</v>
      </c>
      <c r="AX1634" s="14">
        <v>1.7123108805428999E-2</v>
      </c>
      <c r="AY1634" s="14"/>
      <c r="AZ1634" s="14">
        <v>2.58667886293888E-2</v>
      </c>
      <c r="BA1634" s="14">
        <v>5.8274386677302703E-3</v>
      </c>
    </row>
    <row r="1635" spans="2:53" x14ac:dyDescent="0.35">
      <c r="B1635" t="s">
        <v>116</v>
      </c>
      <c r="C1635" s="14">
        <v>1.8271099659029798E-2</v>
      </c>
      <c r="D1635" s="14">
        <v>4.01290889696503E-3</v>
      </c>
      <c r="E1635" s="14">
        <v>3.3350027445279699E-2</v>
      </c>
      <c r="F1635" s="14"/>
      <c r="G1635" s="14">
        <v>0</v>
      </c>
      <c r="H1635" s="14">
        <v>1.7573945524676299E-2</v>
      </c>
      <c r="I1635" s="14">
        <v>1.34301517271645E-2</v>
      </c>
      <c r="J1635" s="14">
        <v>2.7296991971996299E-2</v>
      </c>
      <c r="K1635" s="14">
        <v>1.1833927752303601E-2</v>
      </c>
      <c r="L1635" s="14">
        <v>0</v>
      </c>
      <c r="M1635" s="14"/>
      <c r="N1635" s="14">
        <v>0</v>
      </c>
      <c r="O1635" s="14">
        <v>3.2862907771706203E-2</v>
      </c>
      <c r="P1635" s="14">
        <v>2.9410988045624399E-2</v>
      </c>
      <c r="Q1635" s="14">
        <v>1.55607772265692E-2</v>
      </c>
      <c r="R1635" s="14"/>
      <c r="S1635" s="14">
        <v>0</v>
      </c>
      <c r="T1635" s="14">
        <v>2.5144703071137701E-2</v>
      </c>
      <c r="U1635" s="14">
        <v>2.4266764837570499E-2</v>
      </c>
      <c r="V1635" s="14">
        <v>3.5981738705298603E-2</v>
      </c>
      <c r="W1635" s="14">
        <v>1.3764900952232199E-2</v>
      </c>
      <c r="X1635" s="14">
        <v>9.4361241590892302E-3</v>
      </c>
      <c r="Y1635" s="14">
        <v>4.3538862369394998E-2</v>
      </c>
      <c r="Z1635" s="14">
        <v>0</v>
      </c>
      <c r="AA1635" s="14">
        <v>1.6995868657290001E-2</v>
      </c>
      <c r="AB1635" s="14"/>
      <c r="AC1635" s="14">
        <v>3.1833742015242097E-2</v>
      </c>
      <c r="AD1635" s="14">
        <v>3.6067450123390202E-2</v>
      </c>
      <c r="AE1635" s="14">
        <v>8.7824702789849607E-3</v>
      </c>
      <c r="AF1635" s="14">
        <v>0</v>
      </c>
      <c r="AG1635" s="14">
        <v>0</v>
      </c>
      <c r="AH1635" s="14"/>
      <c r="AI1635" s="14">
        <v>7.9499850055806398E-3</v>
      </c>
      <c r="AJ1635" s="14">
        <v>5.7673590347650603E-3</v>
      </c>
      <c r="AK1635" s="14">
        <v>0</v>
      </c>
      <c r="AL1635" s="14">
        <v>3.4016052297883403E-2</v>
      </c>
      <c r="AM1635" s="14">
        <v>2.4665705119384901E-2</v>
      </c>
      <c r="AN1635" s="14">
        <v>8.8008125033854301E-2</v>
      </c>
      <c r="AO1635" s="14"/>
      <c r="AP1635" s="14">
        <v>1.36583190028497E-2</v>
      </c>
      <c r="AQ1635" s="14">
        <v>2.4194594013179999E-2</v>
      </c>
      <c r="AR1635" s="14"/>
      <c r="AS1635" s="14" t="s">
        <v>88</v>
      </c>
      <c r="AT1635" s="14" t="s">
        <v>88</v>
      </c>
      <c r="AU1635" s="14">
        <v>1.8271099659029798E-2</v>
      </c>
      <c r="AV1635" s="14"/>
      <c r="AW1635" s="14">
        <v>2.0186979020826001E-2</v>
      </c>
      <c r="AX1635" s="14">
        <v>7.9409496230374802E-3</v>
      </c>
      <c r="AY1635" s="14"/>
      <c r="AZ1635" s="14">
        <v>3.8031066498628199E-3</v>
      </c>
      <c r="BA1635" s="14">
        <v>8.6476518090531099E-2</v>
      </c>
    </row>
    <row r="1636" spans="2:53" x14ac:dyDescent="0.35"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/>
      <c r="AO1636" s="14"/>
      <c r="AP1636" s="14"/>
      <c r="AQ1636" s="14"/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</row>
    <row r="1637" spans="2:53" x14ac:dyDescent="0.35">
      <c r="B1637" s="6" t="s">
        <v>382</v>
      </c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  <c r="AO1637" s="14"/>
      <c r="AP1637" s="14"/>
      <c r="AQ1637" s="14"/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</row>
    <row r="1638" spans="2:53" x14ac:dyDescent="0.35">
      <c r="B1638" s="30" t="s">
        <v>463</v>
      </c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  <c r="AO1638" s="14"/>
      <c r="AP1638" s="14"/>
      <c r="AQ1638" s="14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</row>
    <row r="1639" spans="2:53" x14ac:dyDescent="0.35">
      <c r="B1639" t="s">
        <v>220</v>
      </c>
      <c r="C1639" s="14">
        <v>0.26966419948195602</v>
      </c>
      <c r="D1639" s="14">
        <v>0.310866163392367</v>
      </c>
      <c r="E1639" s="14">
        <v>0.22394555008589301</v>
      </c>
      <c r="F1639" s="14"/>
      <c r="G1639" s="14">
        <v>0.46244813625315101</v>
      </c>
      <c r="H1639" s="14">
        <v>0.39455729998342098</v>
      </c>
      <c r="I1639" s="14">
        <v>0.27948673193344598</v>
      </c>
      <c r="J1639" s="14">
        <v>0.24443574291200401</v>
      </c>
      <c r="K1639" s="14">
        <v>0.20560022569471401</v>
      </c>
      <c r="L1639" s="14">
        <v>0.298370846612317</v>
      </c>
      <c r="M1639" s="14"/>
      <c r="N1639" s="14">
        <v>0.32875318618392602</v>
      </c>
      <c r="O1639" s="14">
        <v>0.23458342526044801</v>
      </c>
      <c r="P1639" s="14">
        <v>0.23878446749599899</v>
      </c>
      <c r="Q1639" s="14">
        <v>0.26877559891498598</v>
      </c>
      <c r="R1639" s="14"/>
      <c r="S1639" s="14">
        <v>0.37692824112415702</v>
      </c>
      <c r="T1639" s="14">
        <v>0.22709879571248001</v>
      </c>
      <c r="U1639" s="14">
        <v>0.29327333022114299</v>
      </c>
      <c r="V1639" s="14">
        <v>0.270242022685173</v>
      </c>
      <c r="W1639" s="14">
        <v>0.20150810451957199</v>
      </c>
      <c r="X1639" s="14">
        <v>0.288740725766577</v>
      </c>
      <c r="Y1639" s="14">
        <v>0.181782909669192</v>
      </c>
      <c r="Z1639" s="14">
        <v>0.26636850724556099</v>
      </c>
      <c r="AA1639" s="14">
        <v>0.27150083582262402</v>
      </c>
      <c r="AB1639" s="14"/>
      <c r="AC1639" s="14">
        <v>0.22858708269116601</v>
      </c>
      <c r="AD1639" s="14">
        <v>0.197987248492802</v>
      </c>
      <c r="AE1639" s="14">
        <v>0.26502640195098698</v>
      </c>
      <c r="AF1639" s="14">
        <v>0.41031362026199703</v>
      </c>
      <c r="AG1639" s="14">
        <v>0.64423312903430996</v>
      </c>
      <c r="AH1639" s="14"/>
      <c r="AI1639" s="14">
        <v>0.30548532775730503</v>
      </c>
      <c r="AJ1639" s="14">
        <v>0.238306738893862</v>
      </c>
      <c r="AK1639" s="14">
        <v>0.39221011827215801</v>
      </c>
      <c r="AL1639" s="14">
        <v>0.19726889517964499</v>
      </c>
      <c r="AM1639" s="14">
        <v>0.23100036602289101</v>
      </c>
      <c r="AN1639" s="14">
        <v>0.27233513145511201</v>
      </c>
      <c r="AO1639" s="14"/>
      <c r="AP1639" s="14">
        <v>0.29836796142091998</v>
      </c>
      <c r="AQ1639" s="14">
        <v>0.23367366200206299</v>
      </c>
      <c r="AR1639" s="14"/>
      <c r="AS1639" s="14" t="s">
        <v>88</v>
      </c>
      <c r="AT1639" s="14" t="s">
        <v>88</v>
      </c>
      <c r="AU1639" s="14">
        <v>0.26966419948195602</v>
      </c>
      <c r="AV1639" s="14"/>
      <c r="AW1639" s="14">
        <v>0.249883055550989</v>
      </c>
      <c r="AX1639" s="14">
        <v>0.39751480087695101</v>
      </c>
      <c r="AY1639" s="14"/>
      <c r="AZ1639" s="14">
        <v>0.30562412199147998</v>
      </c>
      <c r="BA1639" s="14">
        <v>0.103071966652261</v>
      </c>
    </row>
    <row r="1640" spans="2:53" x14ac:dyDescent="0.35">
      <c r="B1640" t="s">
        <v>221</v>
      </c>
      <c r="C1640" s="14">
        <v>0.44500222130779998</v>
      </c>
      <c r="D1640" s="14">
        <v>0.44326062613752798</v>
      </c>
      <c r="E1640" s="14">
        <v>0.44824582164348697</v>
      </c>
      <c r="F1640" s="14"/>
      <c r="G1640" s="14">
        <v>0</v>
      </c>
      <c r="H1640" s="14">
        <v>0.34374744397691098</v>
      </c>
      <c r="I1640" s="14">
        <v>0.47529887319070502</v>
      </c>
      <c r="J1640" s="14">
        <v>0.448668838033774</v>
      </c>
      <c r="K1640" s="14">
        <v>0.43593637361446802</v>
      </c>
      <c r="L1640" s="14">
        <v>0.37039711572787798</v>
      </c>
      <c r="M1640" s="14"/>
      <c r="N1640" s="14">
        <v>0.44453044312619799</v>
      </c>
      <c r="O1640" s="14">
        <v>0.48212925345062402</v>
      </c>
      <c r="P1640" s="14">
        <v>0.468046990499208</v>
      </c>
      <c r="Q1640" s="14">
        <v>0.37859423507539203</v>
      </c>
      <c r="R1640" s="14"/>
      <c r="S1640" s="14">
        <v>0.44997613937298703</v>
      </c>
      <c r="T1640" s="14">
        <v>0.473818406074763</v>
      </c>
      <c r="U1640" s="14">
        <v>0.49266265768919199</v>
      </c>
      <c r="V1640" s="14">
        <v>0.36535267694809698</v>
      </c>
      <c r="W1640" s="14">
        <v>0.45829311175411103</v>
      </c>
      <c r="X1640" s="14">
        <v>0.38621492036427002</v>
      </c>
      <c r="Y1640" s="14">
        <v>0.42836057592620602</v>
      </c>
      <c r="Z1640" s="14">
        <v>0.45243448275139603</v>
      </c>
      <c r="AA1640" s="14">
        <v>0.49474480776892998</v>
      </c>
      <c r="AB1640" s="14"/>
      <c r="AC1640" s="14">
        <v>0.385128927005495</v>
      </c>
      <c r="AD1640" s="14">
        <v>0.50803516371354795</v>
      </c>
      <c r="AE1640" s="14">
        <v>0.48895631544679502</v>
      </c>
      <c r="AF1640" s="14">
        <v>0.39538886325210698</v>
      </c>
      <c r="AG1640" s="14">
        <v>0.33546756517189502</v>
      </c>
      <c r="AH1640" s="14"/>
      <c r="AI1640" s="14">
        <v>0.46066158792050199</v>
      </c>
      <c r="AJ1640" s="14">
        <v>0.51978099426624302</v>
      </c>
      <c r="AK1640" s="14">
        <v>0.37603621927584702</v>
      </c>
      <c r="AL1640" s="14">
        <v>0.37587568355194101</v>
      </c>
      <c r="AM1640" s="14">
        <v>0.439556607589559</v>
      </c>
      <c r="AN1640" s="14">
        <v>0.424724154564388</v>
      </c>
      <c r="AO1640" s="14"/>
      <c r="AP1640" s="14">
        <v>0.46329312165298298</v>
      </c>
      <c r="AQ1640" s="14">
        <v>0.42268742679442201</v>
      </c>
      <c r="AR1640" s="14"/>
      <c r="AS1640" s="14" t="s">
        <v>88</v>
      </c>
      <c r="AT1640" s="14" t="s">
        <v>88</v>
      </c>
      <c r="AU1640" s="14">
        <v>0.44500222130779998</v>
      </c>
      <c r="AV1640" s="14"/>
      <c r="AW1640" s="14">
        <v>0.44318296752734299</v>
      </c>
      <c r="AX1640" s="14">
        <v>0.42885284435258197</v>
      </c>
      <c r="AY1640" s="14"/>
      <c r="AZ1640" s="14">
        <v>0.45520188946124401</v>
      </c>
      <c r="BA1640" s="14">
        <v>0.39187554456370799</v>
      </c>
    </row>
    <row r="1641" spans="2:53" x14ac:dyDescent="0.35">
      <c r="B1641" t="s">
        <v>222</v>
      </c>
      <c r="C1641" s="14">
        <v>0.16250970942053899</v>
      </c>
      <c r="D1641" s="14">
        <v>0.134072970473914</v>
      </c>
      <c r="E1641" s="14">
        <v>0.192982458103962</v>
      </c>
      <c r="F1641" s="14"/>
      <c r="G1641" s="14">
        <v>0.53755186374684905</v>
      </c>
      <c r="H1641" s="14">
        <v>0.13797471509336101</v>
      </c>
      <c r="I1641" s="14">
        <v>0.15579516142117</v>
      </c>
      <c r="J1641" s="14">
        <v>0.178516225894641</v>
      </c>
      <c r="K1641" s="14">
        <v>0.16287223289540001</v>
      </c>
      <c r="L1641" s="14">
        <v>7.0024319364504095E-2</v>
      </c>
      <c r="M1641" s="14"/>
      <c r="N1641" s="14">
        <v>0.105018404441549</v>
      </c>
      <c r="O1641" s="14">
        <v>0.17146353971482101</v>
      </c>
      <c r="P1641" s="14">
        <v>0.16432031317381299</v>
      </c>
      <c r="Q1641" s="14">
        <v>0.219122964684074</v>
      </c>
      <c r="R1641" s="14"/>
      <c r="S1641" s="14">
        <v>0.11984817087619699</v>
      </c>
      <c r="T1641" s="14">
        <v>0.13795492740351201</v>
      </c>
      <c r="U1641" s="14">
        <v>8.3350839677210395E-2</v>
      </c>
      <c r="V1641" s="14">
        <v>0.15725715664044099</v>
      </c>
      <c r="W1641" s="14">
        <v>0.1181627487607</v>
      </c>
      <c r="X1641" s="14">
        <v>0.24818864867549401</v>
      </c>
      <c r="Y1641" s="14">
        <v>0.258491966548199</v>
      </c>
      <c r="Z1641" s="14">
        <v>0.18300395871093</v>
      </c>
      <c r="AA1641" s="14">
        <v>0.16367891033765</v>
      </c>
      <c r="AB1641" s="14"/>
      <c r="AC1641" s="14">
        <v>0.25722449666860497</v>
      </c>
      <c r="AD1641" s="14">
        <v>0.14654275411544301</v>
      </c>
      <c r="AE1641" s="14">
        <v>0.117753710359527</v>
      </c>
      <c r="AF1641" s="14">
        <v>0.120049052983643</v>
      </c>
      <c r="AG1641" s="14">
        <v>0</v>
      </c>
      <c r="AH1641" s="14"/>
      <c r="AI1641" s="14">
        <v>0.12993809395189701</v>
      </c>
      <c r="AJ1641" s="14">
        <v>0.174746034238456</v>
      </c>
      <c r="AK1641" s="14">
        <v>0.115136689139456</v>
      </c>
      <c r="AL1641" s="14">
        <v>0.23913356748020401</v>
      </c>
      <c r="AM1641" s="14">
        <v>0.151078980592395</v>
      </c>
      <c r="AN1641" s="14">
        <v>0.17083452399773699</v>
      </c>
      <c r="AO1641" s="14"/>
      <c r="AP1641" s="14">
        <v>0.13408722201187601</v>
      </c>
      <c r="AQ1641" s="14">
        <v>0.196853907336454</v>
      </c>
      <c r="AR1641" s="14"/>
      <c r="AS1641" s="14" t="s">
        <v>88</v>
      </c>
      <c r="AT1641" s="14" t="s">
        <v>88</v>
      </c>
      <c r="AU1641" s="14">
        <v>0.16250970942053899</v>
      </c>
      <c r="AV1641" s="14"/>
      <c r="AW1641" s="14">
        <v>0.166875311242008</v>
      </c>
      <c r="AX1641" s="14">
        <v>0.109611432141134</v>
      </c>
      <c r="AY1641" s="14"/>
      <c r="AZ1641" s="14">
        <v>0.146138599602473</v>
      </c>
      <c r="BA1641" s="14">
        <v>0.24100629551981001</v>
      </c>
    </row>
    <row r="1642" spans="2:53" x14ac:dyDescent="0.35">
      <c r="B1642" t="s">
        <v>223</v>
      </c>
      <c r="C1642" s="14">
        <v>4.1763626614998203E-2</v>
      </c>
      <c r="D1642" s="14">
        <v>2.7330055977365601E-2</v>
      </c>
      <c r="E1642" s="14">
        <v>5.71016924155636E-2</v>
      </c>
      <c r="F1642" s="14"/>
      <c r="G1642" s="14">
        <v>0</v>
      </c>
      <c r="H1642" s="14">
        <v>4.4830335076049298E-2</v>
      </c>
      <c r="I1642" s="14">
        <v>3.01579170335457E-2</v>
      </c>
      <c r="J1642" s="14">
        <v>4.2268544807235103E-2</v>
      </c>
      <c r="K1642" s="14">
        <v>3.2464009540973601E-2</v>
      </c>
      <c r="L1642" s="14">
        <v>0.26120771829530098</v>
      </c>
      <c r="M1642" s="14"/>
      <c r="N1642" s="14">
        <v>4.8571779093672003E-2</v>
      </c>
      <c r="O1642" s="14">
        <v>1.7949588857949499E-2</v>
      </c>
      <c r="P1642" s="14">
        <v>4.9764676849682603E-2</v>
      </c>
      <c r="Q1642" s="14">
        <v>5.00451704596157E-2</v>
      </c>
      <c r="R1642" s="14"/>
      <c r="S1642" s="14">
        <v>1.48689176954322E-2</v>
      </c>
      <c r="T1642" s="14">
        <v>5.2348638605407699E-2</v>
      </c>
      <c r="U1642" s="14">
        <v>5.2501039263298799E-2</v>
      </c>
      <c r="V1642" s="14">
        <v>7.1659821233451798E-2</v>
      </c>
      <c r="W1642" s="14">
        <v>9.2795139893710202E-2</v>
      </c>
      <c r="X1642" s="14">
        <v>4.0313191437669101E-2</v>
      </c>
      <c r="Y1642" s="14">
        <v>2.7112201165289899E-2</v>
      </c>
      <c r="Z1642" s="14">
        <v>2.9925069716357899E-2</v>
      </c>
      <c r="AA1642" s="14">
        <v>1.6144919607499499E-2</v>
      </c>
      <c r="AB1642" s="14"/>
      <c r="AC1642" s="14">
        <v>4.43062067723905E-2</v>
      </c>
      <c r="AD1642" s="14">
        <v>7.2690339075889204E-2</v>
      </c>
      <c r="AE1642" s="14">
        <v>2.92833775714334E-2</v>
      </c>
      <c r="AF1642" s="14">
        <v>1.7404816236255099E-2</v>
      </c>
      <c r="AG1642" s="14">
        <v>0</v>
      </c>
      <c r="AH1642" s="14"/>
      <c r="AI1642" s="14">
        <v>2.1442301523569001E-2</v>
      </c>
      <c r="AJ1642" s="14">
        <v>2.3010460992661099E-2</v>
      </c>
      <c r="AK1642" s="14">
        <v>2.6368580212816801E-2</v>
      </c>
      <c r="AL1642" s="14">
        <v>9.9670896094605804E-2</v>
      </c>
      <c r="AM1642" s="14">
        <v>3.6881165529335798E-2</v>
      </c>
      <c r="AN1642" s="14">
        <v>3.3184657113321497E-2</v>
      </c>
      <c r="AO1642" s="14"/>
      <c r="AP1642" s="14">
        <v>4.1154336627742198E-2</v>
      </c>
      <c r="AQ1642" s="14">
        <v>4.2635280455651001E-2</v>
      </c>
      <c r="AR1642" s="14"/>
      <c r="AS1642" s="14" t="s">
        <v>88</v>
      </c>
      <c r="AT1642" s="14" t="s">
        <v>88</v>
      </c>
      <c r="AU1642" s="14">
        <v>4.1763626614998203E-2</v>
      </c>
      <c r="AV1642" s="14"/>
      <c r="AW1642" s="14">
        <v>5.3291111494509803E-2</v>
      </c>
      <c r="AX1642" s="14">
        <v>1.5787783945874601E-2</v>
      </c>
      <c r="AY1642" s="14"/>
      <c r="AZ1642" s="14">
        <v>2.06433655786964E-2</v>
      </c>
      <c r="BA1642" s="14">
        <v>0.14146974535772999</v>
      </c>
    </row>
    <row r="1643" spans="2:53" x14ac:dyDescent="0.35">
      <c r="B1643" t="s">
        <v>116</v>
      </c>
      <c r="C1643" s="14">
        <v>1.7878924148197899E-2</v>
      </c>
      <c r="D1643" s="14">
        <v>1.1770231993627299E-2</v>
      </c>
      <c r="E1643" s="14">
        <v>2.4371067931171098E-2</v>
      </c>
      <c r="F1643" s="14"/>
      <c r="G1643" s="14">
        <v>0</v>
      </c>
      <c r="H1643" s="14">
        <v>1.7573945524676299E-2</v>
      </c>
      <c r="I1643" s="14">
        <v>5.1216580330934701E-3</v>
      </c>
      <c r="J1643" s="14">
        <v>3.0060621084613399E-2</v>
      </c>
      <c r="K1643" s="14">
        <v>2.8812062471821599E-2</v>
      </c>
      <c r="L1643" s="14">
        <v>0</v>
      </c>
      <c r="M1643" s="14"/>
      <c r="N1643" s="14">
        <v>0</v>
      </c>
      <c r="O1643" s="14">
        <v>1.2025791757936E-2</v>
      </c>
      <c r="P1643" s="14">
        <v>3.3037027344646301E-2</v>
      </c>
      <c r="Q1643" s="14">
        <v>3.2903222573860601E-2</v>
      </c>
      <c r="R1643" s="14"/>
      <c r="S1643" s="14">
        <v>0</v>
      </c>
      <c r="T1643" s="14">
        <v>0</v>
      </c>
      <c r="U1643" s="14">
        <v>2.4266764837570499E-2</v>
      </c>
      <c r="V1643" s="14">
        <v>7.6063184615886306E-2</v>
      </c>
      <c r="W1643" s="14">
        <v>0</v>
      </c>
      <c r="X1643" s="14">
        <v>0</v>
      </c>
      <c r="Y1643" s="14">
        <v>5.5598336658062901E-2</v>
      </c>
      <c r="Z1643" s="14">
        <v>4.4600178536403003E-2</v>
      </c>
      <c r="AA1643" s="14">
        <v>0</v>
      </c>
      <c r="AB1643" s="14"/>
      <c r="AC1643" s="14">
        <v>2.87926838964634E-2</v>
      </c>
      <c r="AD1643" s="14">
        <v>3.5848305829608101E-2</v>
      </c>
      <c r="AE1643" s="14">
        <v>1.6536311550791299E-2</v>
      </c>
      <c r="AF1643" s="14">
        <v>0</v>
      </c>
      <c r="AG1643" s="14">
        <v>0</v>
      </c>
      <c r="AH1643" s="14"/>
      <c r="AI1643" s="14">
        <v>1.4295368215437801E-2</v>
      </c>
      <c r="AJ1643" s="14">
        <v>0</v>
      </c>
      <c r="AK1643" s="14">
        <v>2.4197568127886399E-2</v>
      </c>
      <c r="AL1643" s="14">
        <v>1.6584730338183799E-2</v>
      </c>
      <c r="AM1643" s="14">
        <v>2.4665705119384901E-2</v>
      </c>
      <c r="AN1643" s="14">
        <v>5.5313381998100299E-2</v>
      </c>
      <c r="AO1643" s="14"/>
      <c r="AP1643" s="14">
        <v>1.02431218471497E-2</v>
      </c>
      <c r="AQ1643" s="14">
        <v>2.7656383346244699E-2</v>
      </c>
      <c r="AR1643" s="14"/>
      <c r="AS1643" s="14" t="s">
        <v>88</v>
      </c>
      <c r="AT1643" s="14" t="s">
        <v>88</v>
      </c>
      <c r="AU1643" s="14">
        <v>1.7878924148197899E-2</v>
      </c>
      <c r="AV1643" s="14"/>
      <c r="AW1643" s="14">
        <v>1.7202381647479802E-2</v>
      </c>
      <c r="AX1643" s="14">
        <v>7.9409496230374802E-3</v>
      </c>
      <c r="AY1643" s="14"/>
      <c r="AZ1643" s="14">
        <v>9.4572676640031703E-3</v>
      </c>
      <c r="BA1643" s="14">
        <v>5.7647917172019301E-2</v>
      </c>
    </row>
    <row r="1644" spans="2:53" x14ac:dyDescent="0.35">
      <c r="B1644" t="s">
        <v>224</v>
      </c>
      <c r="C1644" s="14">
        <v>0.71466642078975595</v>
      </c>
      <c r="D1644" s="14">
        <v>0.75412678952989498</v>
      </c>
      <c r="E1644" s="14">
        <v>0.67219137172937904</v>
      </c>
      <c r="F1644" s="14"/>
      <c r="G1644" s="14">
        <v>0.46244813625315101</v>
      </c>
      <c r="H1644" s="14">
        <v>0.73830474396033197</v>
      </c>
      <c r="I1644" s="14">
        <v>0.75478560512415105</v>
      </c>
      <c r="J1644" s="14">
        <v>0.69310458094577898</v>
      </c>
      <c r="K1644" s="14">
        <v>0.64153659930918305</v>
      </c>
      <c r="L1644" s="14">
        <v>0.66876796234019498</v>
      </c>
      <c r="M1644" s="14"/>
      <c r="N1644" s="14">
        <v>0.77328362931012395</v>
      </c>
      <c r="O1644" s="14">
        <v>0.71671267871107203</v>
      </c>
      <c r="P1644" s="14">
        <v>0.70683145799520697</v>
      </c>
      <c r="Q1644" s="14">
        <v>0.64736983399037695</v>
      </c>
      <c r="R1644" s="14"/>
      <c r="S1644" s="14">
        <v>0.82690438049714299</v>
      </c>
      <c r="T1644" s="14">
        <v>0.70091720178724304</v>
      </c>
      <c r="U1644" s="14">
        <v>0.78593598791033503</v>
      </c>
      <c r="V1644" s="14">
        <v>0.63559469963326998</v>
      </c>
      <c r="W1644" s="14">
        <v>0.65980121627368404</v>
      </c>
      <c r="X1644" s="14">
        <v>0.67495564613084702</v>
      </c>
      <c r="Y1644" s="14">
        <v>0.61014348559539799</v>
      </c>
      <c r="Z1644" s="14">
        <v>0.71880298999695702</v>
      </c>
      <c r="AA1644" s="14">
        <v>0.766245643591554</v>
      </c>
      <c r="AB1644" s="14"/>
      <c r="AC1644" s="14">
        <v>0.61371600969666096</v>
      </c>
      <c r="AD1644" s="14">
        <v>0.70602241220634998</v>
      </c>
      <c r="AE1644" s="14">
        <v>0.753982717397782</v>
      </c>
      <c r="AF1644" s="14">
        <v>0.80570248351410401</v>
      </c>
      <c r="AG1644" s="14">
        <v>0.97970069420620498</v>
      </c>
      <c r="AH1644" s="14"/>
      <c r="AI1644" s="14">
        <v>0.76614691567780702</v>
      </c>
      <c r="AJ1644" s="14">
        <v>0.75808773316010503</v>
      </c>
      <c r="AK1644" s="14">
        <v>0.76824633754800498</v>
      </c>
      <c r="AL1644" s="14">
        <v>0.57314457873158597</v>
      </c>
      <c r="AM1644" s="14">
        <v>0.67055697361245004</v>
      </c>
      <c r="AN1644" s="14">
        <v>0.69705928601949996</v>
      </c>
      <c r="AO1644" s="14"/>
      <c r="AP1644" s="14">
        <v>0.76166108307390301</v>
      </c>
      <c r="AQ1644" s="14">
        <v>0.65636108879648503</v>
      </c>
      <c r="AR1644" s="14"/>
      <c r="AS1644" s="14" t="s">
        <v>88</v>
      </c>
      <c r="AT1644" s="14" t="s">
        <v>88</v>
      </c>
      <c r="AU1644" s="14">
        <v>0.71466642078975595</v>
      </c>
      <c r="AV1644" s="14"/>
      <c r="AW1644" s="14">
        <v>0.69306602307833198</v>
      </c>
      <c r="AX1644" s="14">
        <v>0.82636764522953199</v>
      </c>
      <c r="AY1644" s="14"/>
      <c r="AZ1644" s="14">
        <v>0.76082601145272399</v>
      </c>
      <c r="BA1644" s="14">
        <v>0.49494751121596903</v>
      </c>
    </row>
    <row r="1645" spans="2:53" x14ac:dyDescent="0.35"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/>
      <c r="AN1645" s="14"/>
      <c r="AO1645" s="14"/>
      <c r="AP1645" s="14"/>
      <c r="AQ1645" s="14"/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</row>
    <row r="1646" spans="2:53" x14ac:dyDescent="0.35">
      <c r="B1646" s="6" t="s">
        <v>383</v>
      </c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  <c r="AL1646" s="14"/>
      <c r="AM1646" s="14"/>
      <c r="AN1646" s="14"/>
      <c r="AO1646" s="14"/>
      <c r="AP1646" s="14"/>
      <c r="AQ1646" s="14"/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</row>
    <row r="1647" spans="2:53" x14ac:dyDescent="0.35">
      <c r="B1647" s="24" t="s">
        <v>101</v>
      </c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4"/>
      <c r="AP1647" s="14"/>
      <c r="AQ1647" s="14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</row>
    <row r="1648" spans="2:53" x14ac:dyDescent="0.35">
      <c r="B1648" t="s">
        <v>154</v>
      </c>
      <c r="C1648" s="14">
        <v>0.43700248553092902</v>
      </c>
      <c r="D1648" s="14">
        <v>0.49451697490482699</v>
      </c>
      <c r="E1648" s="14">
        <v>0.37920069418054297</v>
      </c>
      <c r="F1648" s="14"/>
      <c r="G1648" s="14">
        <v>0.37788578674971901</v>
      </c>
      <c r="H1648" s="14">
        <v>0.43880451569462597</v>
      </c>
      <c r="I1648" s="14">
        <v>0.44887894610323997</v>
      </c>
      <c r="J1648" s="14">
        <v>0.41497920638263802</v>
      </c>
      <c r="K1648" s="14">
        <v>0.45484902423064499</v>
      </c>
      <c r="L1648" s="14">
        <v>0.51292886853925101</v>
      </c>
      <c r="M1648" s="14"/>
      <c r="N1648" s="14">
        <v>0.50488463459752597</v>
      </c>
      <c r="O1648" s="14">
        <v>0.37759320894472298</v>
      </c>
      <c r="P1648" s="14">
        <v>0.49626962847668199</v>
      </c>
      <c r="Q1648" s="14">
        <v>0.36545780463087602</v>
      </c>
      <c r="R1648" s="14"/>
      <c r="S1648" s="14">
        <v>0.52841244396397402</v>
      </c>
      <c r="T1648" s="14">
        <v>0.475729837172092</v>
      </c>
      <c r="U1648" s="14">
        <v>0.40960715005104997</v>
      </c>
      <c r="V1648" s="14">
        <v>0.37461880359532301</v>
      </c>
      <c r="W1648" s="14">
        <v>0.355798616522079</v>
      </c>
      <c r="X1648" s="14">
        <v>0.47325236523773401</v>
      </c>
      <c r="Y1648" s="14">
        <v>0.37051640172643802</v>
      </c>
      <c r="Z1648" s="14">
        <v>0.50596356073502402</v>
      </c>
      <c r="AA1648" s="14">
        <v>0.41571453301936401</v>
      </c>
      <c r="AB1648" s="14"/>
      <c r="AC1648" s="14">
        <v>0.33846752454083801</v>
      </c>
      <c r="AD1648" s="14">
        <v>0.482439292332768</v>
      </c>
      <c r="AE1648" s="14">
        <v>0.43373407259285301</v>
      </c>
      <c r="AF1648" s="14">
        <v>0.53465336448518896</v>
      </c>
      <c r="AG1648" s="14">
        <v>0.64599516246018795</v>
      </c>
      <c r="AH1648" s="14"/>
      <c r="AI1648" s="14">
        <v>0.48207532960034999</v>
      </c>
      <c r="AJ1648" s="14">
        <v>0.51241485737318404</v>
      </c>
      <c r="AK1648" s="14">
        <v>0.415688763706413</v>
      </c>
      <c r="AL1648" s="14">
        <v>0.38423096435715298</v>
      </c>
      <c r="AM1648" s="14">
        <v>0.40114359184673198</v>
      </c>
      <c r="AN1648" s="14">
        <v>0.32831769222139001</v>
      </c>
      <c r="AO1648" s="14"/>
      <c r="AP1648" s="14">
        <v>0.43732631156396301</v>
      </c>
      <c r="AQ1648" s="14">
        <v>0.43670820804461502</v>
      </c>
      <c r="AR1648" s="14"/>
      <c r="AS1648" s="14" t="s">
        <v>88</v>
      </c>
      <c r="AT1648" s="14" t="s">
        <v>88</v>
      </c>
      <c r="AU1648" s="14">
        <v>0.43700248553092902</v>
      </c>
      <c r="AV1648" s="14"/>
      <c r="AW1648" s="14">
        <v>0.44416294129877598</v>
      </c>
      <c r="AX1648" s="14">
        <v>0.50908319100301502</v>
      </c>
      <c r="AY1648" s="14"/>
      <c r="AZ1648" s="14">
        <v>0.48558193079794698</v>
      </c>
      <c r="BA1648" s="14">
        <v>0.261494742674789</v>
      </c>
    </row>
    <row r="1649" spans="2:53" x14ac:dyDescent="0.35">
      <c r="B1649" t="s">
        <v>155</v>
      </c>
      <c r="C1649" s="14">
        <v>0.33485404015425602</v>
      </c>
      <c r="D1649" s="14">
        <v>0.31218195318249697</v>
      </c>
      <c r="E1649" s="14">
        <v>0.35780983792590498</v>
      </c>
      <c r="F1649" s="14"/>
      <c r="G1649" s="14">
        <v>0.182858017741347</v>
      </c>
      <c r="H1649" s="14">
        <v>0.400034621597954</v>
      </c>
      <c r="I1649" s="14">
        <v>0.34495536214290501</v>
      </c>
      <c r="J1649" s="14">
        <v>0.32989117595927703</v>
      </c>
      <c r="K1649" s="14">
        <v>0.27138855177590498</v>
      </c>
      <c r="L1649" s="14">
        <v>0.376426928487479</v>
      </c>
      <c r="M1649" s="14"/>
      <c r="N1649" s="14">
        <v>0.34734358003429899</v>
      </c>
      <c r="O1649" s="14">
        <v>0.33552212552549898</v>
      </c>
      <c r="P1649" s="14">
        <v>0.30672486509256802</v>
      </c>
      <c r="Q1649" s="14">
        <v>0.34537279893282702</v>
      </c>
      <c r="R1649" s="14"/>
      <c r="S1649" s="14">
        <v>0.26379722018709401</v>
      </c>
      <c r="T1649" s="14">
        <v>0.335682159006439</v>
      </c>
      <c r="U1649" s="14">
        <v>0.380733569259465</v>
      </c>
      <c r="V1649" s="14">
        <v>0.34107524207970502</v>
      </c>
      <c r="W1649" s="14">
        <v>0.41018228886240399</v>
      </c>
      <c r="X1649" s="14">
        <v>0.314552516607221</v>
      </c>
      <c r="Y1649" s="14">
        <v>0.36918687152875601</v>
      </c>
      <c r="Z1649" s="14">
        <v>0.32135562325171602</v>
      </c>
      <c r="AA1649" s="14">
        <v>0.31490076960468399</v>
      </c>
      <c r="AB1649" s="14"/>
      <c r="AC1649" s="14">
        <v>0.335092803851821</v>
      </c>
      <c r="AD1649" s="14">
        <v>0.30375351185001898</v>
      </c>
      <c r="AE1649" s="14">
        <v>0.38658955856059302</v>
      </c>
      <c r="AF1649" s="14">
        <v>0.32756553542234401</v>
      </c>
      <c r="AG1649" s="14">
        <v>0.19434441055965701</v>
      </c>
      <c r="AH1649" s="14"/>
      <c r="AI1649" s="14">
        <v>0.28998645205118301</v>
      </c>
      <c r="AJ1649" s="14">
        <v>0.39726253609096501</v>
      </c>
      <c r="AK1649" s="14">
        <v>0.31024382107387699</v>
      </c>
      <c r="AL1649" s="14">
        <v>0.32482329684371902</v>
      </c>
      <c r="AM1649" s="14">
        <v>0.49303248687601797</v>
      </c>
      <c r="AN1649" s="14">
        <v>0.322703504968258</v>
      </c>
      <c r="AO1649" s="14"/>
      <c r="AP1649" s="14">
        <v>0.34599361971776299</v>
      </c>
      <c r="AQ1649" s="14">
        <v>0.322760565275864</v>
      </c>
      <c r="AR1649" s="14"/>
      <c r="AS1649" s="14" t="s">
        <v>88</v>
      </c>
      <c r="AT1649" s="14" t="s">
        <v>88</v>
      </c>
      <c r="AU1649" s="14">
        <v>0.33485404015425602</v>
      </c>
      <c r="AV1649" s="14"/>
      <c r="AW1649" s="14">
        <v>0.31910190856438603</v>
      </c>
      <c r="AX1649" s="14">
        <v>0.36885761273177298</v>
      </c>
      <c r="AY1649" s="14"/>
      <c r="AZ1649" s="14">
        <v>0.32643867162877799</v>
      </c>
      <c r="BA1649" s="14">
        <v>0.36914095599389501</v>
      </c>
    </row>
    <row r="1650" spans="2:53" x14ac:dyDescent="0.35">
      <c r="B1650" t="s">
        <v>116</v>
      </c>
      <c r="C1650" s="14">
        <v>0.22814347431481499</v>
      </c>
      <c r="D1650" s="14">
        <v>0.19330107191267601</v>
      </c>
      <c r="E1650" s="14">
        <v>0.26298946789355199</v>
      </c>
      <c r="F1650" s="14"/>
      <c r="G1650" s="14">
        <v>0.43925619550893402</v>
      </c>
      <c r="H1650" s="14">
        <v>0.16116086270742</v>
      </c>
      <c r="I1650" s="14">
        <v>0.20616569175385499</v>
      </c>
      <c r="J1650" s="14">
        <v>0.25512961765808501</v>
      </c>
      <c r="K1650" s="14">
        <v>0.27376242399345002</v>
      </c>
      <c r="L1650" s="14">
        <v>0.11064420297327</v>
      </c>
      <c r="M1650" s="14"/>
      <c r="N1650" s="14">
        <v>0.14777178536817501</v>
      </c>
      <c r="O1650" s="14">
        <v>0.28688466552977798</v>
      </c>
      <c r="P1650" s="14">
        <v>0.19700550643074999</v>
      </c>
      <c r="Q1650" s="14">
        <v>0.28916939643629702</v>
      </c>
      <c r="R1650" s="14"/>
      <c r="S1650" s="14">
        <v>0.207790335848931</v>
      </c>
      <c r="T1650" s="14">
        <v>0.18858800382146901</v>
      </c>
      <c r="U1650" s="14">
        <v>0.209659280689485</v>
      </c>
      <c r="V1650" s="14">
        <v>0.28430595432497202</v>
      </c>
      <c r="W1650" s="14">
        <v>0.23401909461551601</v>
      </c>
      <c r="X1650" s="14">
        <v>0.21219511815504499</v>
      </c>
      <c r="Y1650" s="14">
        <v>0.26029672674480703</v>
      </c>
      <c r="Z1650" s="14">
        <v>0.17268081601325999</v>
      </c>
      <c r="AA1650" s="14">
        <v>0.269384697375952</v>
      </c>
      <c r="AB1650" s="14"/>
      <c r="AC1650" s="14">
        <v>0.326439671607341</v>
      </c>
      <c r="AD1650" s="14">
        <v>0.213807195817213</v>
      </c>
      <c r="AE1650" s="14">
        <v>0.179676368846553</v>
      </c>
      <c r="AF1650" s="14">
        <v>0.137781100092466</v>
      </c>
      <c r="AG1650" s="14">
        <v>0.15966042698015501</v>
      </c>
      <c r="AH1650" s="14"/>
      <c r="AI1650" s="14">
        <v>0.227938218348467</v>
      </c>
      <c r="AJ1650" s="14">
        <v>9.0322606535851002E-2</v>
      </c>
      <c r="AK1650" s="14">
        <v>0.27406741521971001</v>
      </c>
      <c r="AL1650" s="14">
        <v>0.290945738799128</v>
      </c>
      <c r="AM1650" s="14">
        <v>0.10582392127725</v>
      </c>
      <c r="AN1650" s="14">
        <v>0.34897880281035298</v>
      </c>
      <c r="AO1650" s="14"/>
      <c r="AP1650" s="14">
        <v>0.216680068718273</v>
      </c>
      <c r="AQ1650" s="14">
        <v>0.24053122667952001</v>
      </c>
      <c r="AR1650" s="14"/>
      <c r="AS1650" s="14" t="s">
        <v>88</v>
      </c>
      <c r="AT1650" s="14" t="s">
        <v>88</v>
      </c>
      <c r="AU1650" s="14">
        <v>0.22814347431481499</v>
      </c>
      <c r="AV1650" s="14"/>
      <c r="AW1650" s="14">
        <v>0.23673515013683799</v>
      </c>
      <c r="AX1650" s="14">
        <v>0.122059196265212</v>
      </c>
      <c r="AY1650" s="14"/>
      <c r="AZ1650" s="14">
        <v>0.187979397573275</v>
      </c>
      <c r="BA1650" s="14">
        <v>0.36936430133131598</v>
      </c>
    </row>
    <row r="1651" spans="2:53" x14ac:dyDescent="0.35"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/>
      <c r="AN1651" s="14"/>
      <c r="AO1651" s="14"/>
      <c r="AP1651" s="14"/>
      <c r="AQ1651" s="14"/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</row>
    <row r="1652" spans="2:53" x14ac:dyDescent="0.35">
      <c r="B1652" s="6" t="s">
        <v>384</v>
      </c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  <c r="AO1652" s="14"/>
      <c r="AP1652" s="14"/>
      <c r="AQ1652" s="14"/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</row>
    <row r="1653" spans="2:53" x14ac:dyDescent="0.35">
      <c r="B1653" s="30" t="s">
        <v>463</v>
      </c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4"/>
      <c r="AP1653" s="14"/>
      <c r="AQ1653" s="14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</row>
    <row r="1654" spans="2:53" x14ac:dyDescent="0.35">
      <c r="B1654" t="s">
        <v>214</v>
      </c>
      <c r="C1654" s="14">
        <v>0.19939245494063201</v>
      </c>
      <c r="D1654" s="14">
        <v>0.21499469158100301</v>
      </c>
      <c r="E1654" s="14">
        <v>0.18003827486622401</v>
      </c>
      <c r="F1654" s="14"/>
      <c r="G1654" s="14">
        <v>0</v>
      </c>
      <c r="H1654" s="14">
        <v>0.24050153557776399</v>
      </c>
      <c r="I1654" s="14">
        <v>0.25060056397217301</v>
      </c>
      <c r="J1654" s="14">
        <v>0.164837140610234</v>
      </c>
      <c r="K1654" s="14">
        <v>0.127756445529317</v>
      </c>
      <c r="L1654" s="14">
        <v>0.13546943671196399</v>
      </c>
      <c r="M1654" s="14"/>
      <c r="N1654" s="14">
        <v>0.156152467560325</v>
      </c>
      <c r="O1654" s="14">
        <v>0.177994101592647</v>
      </c>
      <c r="P1654" s="14">
        <v>0.19138289743367601</v>
      </c>
      <c r="Q1654" s="14">
        <v>0.30305170116491498</v>
      </c>
      <c r="R1654" s="14"/>
      <c r="S1654" s="14">
        <v>0.23998022540994801</v>
      </c>
      <c r="T1654" s="14">
        <v>0.159012281495715</v>
      </c>
      <c r="U1654" s="14">
        <v>0.114845180698741</v>
      </c>
      <c r="V1654" s="14">
        <v>0.153049181923016</v>
      </c>
      <c r="W1654" s="14">
        <v>0.226658398555103</v>
      </c>
      <c r="X1654" s="14">
        <v>0.24463755197894199</v>
      </c>
      <c r="Y1654" s="14">
        <v>0.21229813055664301</v>
      </c>
      <c r="Z1654" s="14">
        <v>0.24498934471726699</v>
      </c>
      <c r="AA1654" s="14">
        <v>0.202709626046188</v>
      </c>
      <c r="AB1654" s="14"/>
      <c r="AC1654" s="14">
        <v>0.218753152209295</v>
      </c>
      <c r="AD1654" s="14">
        <v>0.1500037221528</v>
      </c>
      <c r="AE1654" s="14">
        <v>0.18098022680805201</v>
      </c>
      <c r="AF1654" s="14">
        <v>0.24972200667454</v>
      </c>
      <c r="AG1654" s="14">
        <v>0.35342906213615599</v>
      </c>
      <c r="AH1654" s="14"/>
      <c r="AI1654" s="14">
        <v>0.29554227003633299</v>
      </c>
      <c r="AJ1654" s="14">
        <v>0.15805925785556299</v>
      </c>
      <c r="AK1654" s="14">
        <v>0.157414778731466</v>
      </c>
      <c r="AL1654" s="14">
        <v>9.7597177232171498E-2</v>
      </c>
      <c r="AM1654" s="14">
        <v>0.24799024648189499</v>
      </c>
      <c r="AN1654" s="14">
        <v>0.17237829288891801</v>
      </c>
      <c r="AO1654" s="14"/>
      <c r="AP1654" s="14">
        <v>0.22435826213950399</v>
      </c>
      <c r="AQ1654" s="14">
        <v>0.17176935491274001</v>
      </c>
      <c r="AR1654" s="14"/>
      <c r="AS1654" s="14" t="s">
        <v>88</v>
      </c>
      <c r="AT1654" s="14" t="s">
        <v>88</v>
      </c>
      <c r="AU1654" s="14">
        <v>0.19939245494063201</v>
      </c>
      <c r="AV1654" s="14"/>
      <c r="AW1654" s="14">
        <v>0.18062388063799001</v>
      </c>
      <c r="AX1654" s="14">
        <v>0.25747287744543002</v>
      </c>
      <c r="AY1654" s="14"/>
      <c r="AZ1654" s="14">
        <v>0.20828436942845699</v>
      </c>
      <c r="BA1654" s="14">
        <v>0.14220735154216699</v>
      </c>
    </row>
    <row r="1655" spans="2:53" x14ac:dyDescent="0.35">
      <c r="B1655" t="s">
        <v>215</v>
      </c>
      <c r="C1655" s="14">
        <v>0.46816936788123298</v>
      </c>
      <c r="D1655" s="14">
        <v>0.473332671925627</v>
      </c>
      <c r="E1655" s="14">
        <v>0.46336542579796802</v>
      </c>
      <c r="F1655" s="14"/>
      <c r="G1655" s="14">
        <v>0</v>
      </c>
      <c r="H1655" s="14">
        <v>0.43595380008192702</v>
      </c>
      <c r="I1655" s="14">
        <v>0.47031136194855699</v>
      </c>
      <c r="J1655" s="14">
        <v>0.46658323675925101</v>
      </c>
      <c r="K1655" s="14">
        <v>0.44639623134603401</v>
      </c>
      <c r="L1655" s="14">
        <v>0.71161341768831698</v>
      </c>
      <c r="M1655" s="14"/>
      <c r="N1655" s="14">
        <v>0.49909024833096099</v>
      </c>
      <c r="O1655" s="14">
        <v>0.47595550831764799</v>
      </c>
      <c r="P1655" s="14">
        <v>0.46202617848703798</v>
      </c>
      <c r="Q1655" s="14">
        <v>0.41306404101819599</v>
      </c>
      <c r="R1655" s="14"/>
      <c r="S1655" s="14">
        <v>0.52040044613314795</v>
      </c>
      <c r="T1655" s="14">
        <v>0.407933266489932</v>
      </c>
      <c r="U1655" s="14">
        <v>0.52845497258149499</v>
      </c>
      <c r="V1655" s="14">
        <v>0.399778646766006</v>
      </c>
      <c r="W1655" s="14">
        <v>0.42022119801632501</v>
      </c>
      <c r="X1655" s="14">
        <v>0.50606567195577601</v>
      </c>
      <c r="Y1655" s="14">
        <v>0.50482815876255005</v>
      </c>
      <c r="Z1655" s="14">
        <v>0.32942591087198297</v>
      </c>
      <c r="AA1655" s="14">
        <v>0.51900260004528997</v>
      </c>
      <c r="AB1655" s="14"/>
      <c r="AC1655" s="14">
        <v>0.43113613809453299</v>
      </c>
      <c r="AD1655" s="14">
        <v>0.57888379380479305</v>
      </c>
      <c r="AE1655" s="14">
        <v>0.452840880848076</v>
      </c>
      <c r="AF1655" s="14">
        <v>0.43996443721460199</v>
      </c>
      <c r="AG1655" s="14">
        <v>0.41622733825216801</v>
      </c>
      <c r="AH1655" s="14"/>
      <c r="AI1655" s="14">
        <v>0.42302801772523002</v>
      </c>
      <c r="AJ1655" s="14">
        <v>0.48905534984013299</v>
      </c>
      <c r="AK1655" s="14">
        <v>0.542265745583147</v>
      </c>
      <c r="AL1655" s="14">
        <v>0.47859789296706601</v>
      </c>
      <c r="AM1655" s="14">
        <v>0.36957932900449603</v>
      </c>
      <c r="AN1655" s="14">
        <v>0.61942187666781601</v>
      </c>
      <c r="AO1655" s="14"/>
      <c r="AP1655" s="14">
        <v>0.48300323504129899</v>
      </c>
      <c r="AQ1655" s="14">
        <v>0.45347761755573501</v>
      </c>
      <c r="AR1655" s="14"/>
      <c r="AS1655" s="14" t="s">
        <v>88</v>
      </c>
      <c r="AT1655" s="14" t="s">
        <v>88</v>
      </c>
      <c r="AU1655" s="14">
        <v>0.46816936788123298</v>
      </c>
      <c r="AV1655" s="14"/>
      <c r="AW1655" s="14">
        <v>0.48977683079760098</v>
      </c>
      <c r="AX1655" s="14">
        <v>0.43248272231104101</v>
      </c>
      <c r="AY1655" s="14"/>
      <c r="AZ1655" s="14">
        <v>0.47195974903698001</v>
      </c>
      <c r="BA1655" s="14">
        <v>0.43500415899267902</v>
      </c>
    </row>
    <row r="1656" spans="2:53" x14ac:dyDescent="0.35">
      <c r="B1656" t="s">
        <v>216</v>
      </c>
      <c r="C1656" s="14">
        <v>0.14861384250442</v>
      </c>
      <c r="D1656" s="14">
        <v>0.13380525455072201</v>
      </c>
      <c r="E1656" s="14">
        <v>0.16434770048595199</v>
      </c>
      <c r="F1656" s="14"/>
      <c r="G1656" s="14">
        <v>0</v>
      </c>
      <c r="H1656" s="14">
        <v>0.19746984011742899</v>
      </c>
      <c r="I1656" s="14">
        <v>0.10777105778231399</v>
      </c>
      <c r="J1656" s="14">
        <v>0.15568331461099699</v>
      </c>
      <c r="K1656" s="14">
        <v>0.24231806694048999</v>
      </c>
      <c r="L1656" s="14">
        <v>6.4986411088416393E-2</v>
      </c>
      <c r="M1656" s="14"/>
      <c r="N1656" s="14">
        <v>0.178165653669038</v>
      </c>
      <c r="O1656" s="14">
        <v>0.15846313202889101</v>
      </c>
      <c r="P1656" s="14">
        <v>0.158260843635746</v>
      </c>
      <c r="Q1656" s="14">
        <v>8.0547499198141095E-2</v>
      </c>
      <c r="R1656" s="14"/>
      <c r="S1656" s="14">
        <v>0.11369333769604401</v>
      </c>
      <c r="T1656" s="14">
        <v>0.143735943125474</v>
      </c>
      <c r="U1656" s="14">
        <v>0.16549559935052199</v>
      </c>
      <c r="V1656" s="14">
        <v>0.218883998014444</v>
      </c>
      <c r="W1656" s="14">
        <v>0.12716879046990501</v>
      </c>
      <c r="X1656" s="14">
        <v>0.12446297361305</v>
      </c>
      <c r="Y1656" s="14">
        <v>0.120515329670036</v>
      </c>
      <c r="Z1656" s="14">
        <v>0.27921210762053</v>
      </c>
      <c r="AA1656" s="14">
        <v>0.13201525897911401</v>
      </c>
      <c r="AB1656" s="14"/>
      <c r="AC1656" s="14">
        <v>8.4322951293972701E-2</v>
      </c>
      <c r="AD1656" s="14">
        <v>0.12505040816873</v>
      </c>
      <c r="AE1656" s="14">
        <v>0.20662856261124901</v>
      </c>
      <c r="AF1656" s="14">
        <v>0.14344189236869401</v>
      </c>
      <c r="AG1656" s="14">
        <v>0.15335038088612701</v>
      </c>
      <c r="AH1656" s="14"/>
      <c r="AI1656" s="14">
        <v>0.131245481349724</v>
      </c>
      <c r="AJ1656" s="14">
        <v>0.19032195504207799</v>
      </c>
      <c r="AK1656" s="14">
        <v>0.151334327034093</v>
      </c>
      <c r="AL1656" s="14">
        <v>0.17465229991166201</v>
      </c>
      <c r="AM1656" s="14">
        <v>0.185253694329608</v>
      </c>
      <c r="AN1656" s="14">
        <v>3.5917418390173303E-2</v>
      </c>
      <c r="AO1656" s="14"/>
      <c r="AP1656" s="14">
        <v>0.13980045244855199</v>
      </c>
      <c r="AQ1656" s="14">
        <v>0.15944310451992</v>
      </c>
      <c r="AR1656" s="14"/>
      <c r="AS1656" s="14" t="s">
        <v>88</v>
      </c>
      <c r="AT1656" s="14" t="s">
        <v>88</v>
      </c>
      <c r="AU1656" s="14">
        <v>0.14861384250442</v>
      </c>
      <c r="AV1656" s="14"/>
      <c r="AW1656" s="14">
        <v>0.13699619697749499</v>
      </c>
      <c r="AX1656" s="14">
        <v>0.18938312167510599</v>
      </c>
      <c r="AY1656" s="14"/>
      <c r="AZ1656" s="14">
        <v>0.148895947340941</v>
      </c>
      <c r="BA1656" s="14">
        <v>0.14882695621869499</v>
      </c>
    </row>
    <row r="1657" spans="2:53" x14ac:dyDescent="0.35">
      <c r="B1657" t="s">
        <v>217</v>
      </c>
      <c r="C1657" s="14">
        <v>8.1758472729960896E-2</v>
      </c>
      <c r="D1657" s="14">
        <v>6.0588734482396898E-2</v>
      </c>
      <c r="E1657" s="14">
        <v>0.109421436062758</v>
      </c>
      <c r="F1657" s="14"/>
      <c r="G1657" s="14">
        <v>0</v>
      </c>
      <c r="H1657" s="14">
        <v>5.6672300860016102E-2</v>
      </c>
      <c r="I1657" s="14">
        <v>9.9734036167299395E-2</v>
      </c>
      <c r="J1657" s="14">
        <v>7.4156950806942901E-2</v>
      </c>
      <c r="K1657" s="14">
        <v>8.0394806587745199E-2</v>
      </c>
      <c r="L1657" s="14">
        <v>0</v>
      </c>
      <c r="M1657" s="14"/>
      <c r="N1657" s="14">
        <v>4.8162569262244603E-2</v>
      </c>
      <c r="O1657" s="14">
        <v>9.4883124462852894E-2</v>
      </c>
      <c r="P1657" s="14">
        <v>7.0505177619213696E-2</v>
      </c>
      <c r="Q1657" s="14">
        <v>0.13676184898473301</v>
      </c>
      <c r="R1657" s="14"/>
      <c r="S1657" s="14">
        <v>2.51385097476346E-2</v>
      </c>
      <c r="T1657" s="14">
        <v>0.111633489499418</v>
      </c>
      <c r="U1657" s="14">
        <v>0.105846519986392</v>
      </c>
      <c r="V1657" s="14">
        <v>0.14230588106686901</v>
      </c>
      <c r="W1657" s="14">
        <v>0.104297623537931</v>
      </c>
      <c r="X1657" s="14">
        <v>3.1940270946136697E-2</v>
      </c>
      <c r="Y1657" s="14">
        <v>8.3032642334831805E-2</v>
      </c>
      <c r="Z1657" s="14">
        <v>7.9437678094289393E-2</v>
      </c>
      <c r="AA1657" s="14">
        <v>9.1324125599946696E-2</v>
      </c>
      <c r="AB1657" s="14"/>
      <c r="AC1657" s="14">
        <v>0.14835458427381501</v>
      </c>
      <c r="AD1657" s="14">
        <v>0.102437518404794</v>
      </c>
      <c r="AE1657" s="14">
        <v>2.8682318036134798E-2</v>
      </c>
      <c r="AF1657" s="14">
        <v>6.3145219542831602E-2</v>
      </c>
      <c r="AG1657" s="14">
        <v>0</v>
      </c>
      <c r="AH1657" s="14"/>
      <c r="AI1657" s="14">
        <v>6.0898447756440599E-2</v>
      </c>
      <c r="AJ1657" s="14">
        <v>8.7115894286855802E-2</v>
      </c>
      <c r="AK1657" s="14">
        <v>9.2942300953983606E-2</v>
      </c>
      <c r="AL1657" s="14">
        <v>5.9582318707728898E-2</v>
      </c>
      <c r="AM1657" s="14">
        <v>0</v>
      </c>
      <c r="AN1657" s="14">
        <v>7.1415177705836705E-2</v>
      </c>
      <c r="AO1657" s="14"/>
      <c r="AP1657" s="14">
        <v>4.9970538391049799E-2</v>
      </c>
      <c r="AQ1657" s="14">
        <v>0.11858162633385801</v>
      </c>
      <c r="AR1657" s="14"/>
      <c r="AS1657" s="14" t="s">
        <v>88</v>
      </c>
      <c r="AT1657" s="14" t="s">
        <v>88</v>
      </c>
      <c r="AU1657" s="14">
        <v>8.1758472729960896E-2</v>
      </c>
      <c r="AV1657" s="14"/>
      <c r="AW1657" s="14">
        <v>8.5630612405880005E-2</v>
      </c>
      <c r="AX1657" s="14">
        <v>1.5176570431208901E-2</v>
      </c>
      <c r="AY1657" s="14"/>
      <c r="AZ1657" s="14">
        <v>7.6245572971905998E-2</v>
      </c>
      <c r="BA1657" s="14">
        <v>0.120138999667063</v>
      </c>
    </row>
    <row r="1658" spans="2:53" x14ac:dyDescent="0.35">
      <c r="B1658" t="s">
        <v>116</v>
      </c>
      <c r="C1658" s="14">
        <v>3.7646306067782798E-2</v>
      </c>
      <c r="D1658" s="14">
        <v>3.7673812883884501E-2</v>
      </c>
      <c r="E1658" s="14">
        <v>3.7760646966073001E-2</v>
      </c>
      <c r="F1658" s="14"/>
      <c r="G1658" s="14">
        <v>0</v>
      </c>
      <c r="H1658" s="14">
        <v>0</v>
      </c>
      <c r="I1658" s="14">
        <v>2.8265541030482198E-2</v>
      </c>
      <c r="J1658" s="14">
        <v>5.0473379411776202E-2</v>
      </c>
      <c r="K1658" s="14">
        <v>5.6627752472906898E-2</v>
      </c>
      <c r="L1658" s="14">
        <v>2.8141496660872199E-2</v>
      </c>
      <c r="M1658" s="14"/>
      <c r="N1658" s="14">
        <v>2.9383590091261898E-2</v>
      </c>
      <c r="O1658" s="14">
        <v>3.75305226300576E-2</v>
      </c>
      <c r="P1658" s="14">
        <v>3.3396430119631101E-2</v>
      </c>
      <c r="Q1658" s="14">
        <v>5.6822390971599003E-2</v>
      </c>
      <c r="R1658" s="14"/>
      <c r="S1658" s="14">
        <v>3.8842614541471497E-2</v>
      </c>
      <c r="T1658" s="14">
        <v>5.0321783726596701E-2</v>
      </c>
      <c r="U1658" s="14">
        <v>2.2883193316774301E-2</v>
      </c>
      <c r="V1658" s="14">
        <v>2.3928450218635901E-2</v>
      </c>
      <c r="W1658" s="14">
        <v>3.1750615076809499E-2</v>
      </c>
      <c r="X1658" s="14">
        <v>6.4396632496643805E-2</v>
      </c>
      <c r="Y1658" s="14">
        <v>3.3525966096283298E-2</v>
      </c>
      <c r="Z1658" s="14">
        <v>6.6934958695930705E-2</v>
      </c>
      <c r="AA1658" s="14">
        <v>8.5998433829120608E-3</v>
      </c>
      <c r="AB1658" s="14"/>
      <c r="AC1658" s="14">
        <v>2.8882764833729299E-2</v>
      </c>
      <c r="AD1658" s="14">
        <v>2.9666438482046E-2</v>
      </c>
      <c r="AE1658" s="14">
        <v>7.4058131230451699E-2</v>
      </c>
      <c r="AF1658" s="14">
        <v>1.23380333351845E-2</v>
      </c>
      <c r="AG1658" s="14">
        <v>0</v>
      </c>
      <c r="AH1658" s="14"/>
      <c r="AI1658" s="14">
        <v>2.5625764029889302E-2</v>
      </c>
      <c r="AJ1658" s="14">
        <v>4.0690792170903801E-2</v>
      </c>
      <c r="AK1658" s="14">
        <v>3.9144801968060798E-2</v>
      </c>
      <c r="AL1658" s="14">
        <v>5.85680096213788E-2</v>
      </c>
      <c r="AM1658" s="14">
        <v>2.4521233900296799E-2</v>
      </c>
      <c r="AN1658" s="14">
        <v>1.7581109442043701E-2</v>
      </c>
      <c r="AO1658" s="14"/>
      <c r="AP1658" s="14">
        <v>3.3637096524468398E-2</v>
      </c>
      <c r="AQ1658" s="14">
        <v>3.7503713751550101E-2</v>
      </c>
      <c r="AR1658" s="14"/>
      <c r="AS1658" s="14" t="s">
        <v>88</v>
      </c>
      <c r="AT1658" s="14" t="s">
        <v>88</v>
      </c>
      <c r="AU1658" s="14">
        <v>3.7646306067782798E-2</v>
      </c>
      <c r="AV1658" s="14"/>
      <c r="AW1658" s="14">
        <v>4.2064424780656903E-2</v>
      </c>
      <c r="AX1658" s="14">
        <v>2.9373971664317499E-2</v>
      </c>
      <c r="AY1658" s="14"/>
      <c r="AZ1658" s="14">
        <v>3.4132175464508099E-2</v>
      </c>
      <c r="BA1658" s="14">
        <v>6.1905335693507299E-2</v>
      </c>
    </row>
    <row r="1659" spans="2:53" x14ac:dyDescent="0.35"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</row>
    <row r="1660" spans="2:53" x14ac:dyDescent="0.35">
      <c r="B1660" s="6" t="s">
        <v>385</v>
      </c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</row>
    <row r="1661" spans="2:53" x14ac:dyDescent="0.35">
      <c r="B1661" s="30" t="s">
        <v>463</v>
      </c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</row>
    <row r="1662" spans="2:53" x14ac:dyDescent="0.35">
      <c r="B1662" t="s">
        <v>220</v>
      </c>
      <c r="C1662" s="14">
        <v>0.24891130823507199</v>
      </c>
      <c r="D1662" s="14">
        <v>0.27887256104763303</v>
      </c>
      <c r="E1662" s="14">
        <v>0.20723098124494499</v>
      </c>
      <c r="F1662" s="14"/>
      <c r="G1662" s="14">
        <v>0</v>
      </c>
      <c r="H1662" s="14">
        <v>0.207878175001141</v>
      </c>
      <c r="I1662" s="14">
        <v>0.27627617962140499</v>
      </c>
      <c r="J1662" s="14">
        <v>0.23660634537974201</v>
      </c>
      <c r="K1662" s="14">
        <v>0.197592798793508</v>
      </c>
      <c r="L1662" s="14">
        <v>0.41010559360194798</v>
      </c>
      <c r="M1662" s="14"/>
      <c r="N1662" s="14">
        <v>0.24976895466677701</v>
      </c>
      <c r="O1662" s="14">
        <v>0.20169612824885999</v>
      </c>
      <c r="P1662" s="14">
        <v>0.24151072089557701</v>
      </c>
      <c r="Q1662" s="14">
        <v>0.30966097390650499</v>
      </c>
      <c r="R1662" s="14"/>
      <c r="S1662" s="14">
        <v>0.31009385337450301</v>
      </c>
      <c r="T1662" s="14">
        <v>0.233066134014766</v>
      </c>
      <c r="U1662" s="14">
        <v>0.17731972130437099</v>
      </c>
      <c r="V1662" s="14">
        <v>0.21033268233569</v>
      </c>
      <c r="W1662" s="14">
        <v>0.24238907948735</v>
      </c>
      <c r="X1662" s="14">
        <v>0.29915994411325503</v>
      </c>
      <c r="Y1662" s="14">
        <v>0.21161720649777399</v>
      </c>
      <c r="Z1662" s="14">
        <v>0.17689389791058999</v>
      </c>
      <c r="AA1662" s="14">
        <v>0.28305141935852801</v>
      </c>
      <c r="AB1662" s="14"/>
      <c r="AC1662" s="14">
        <v>0.25159119739458902</v>
      </c>
      <c r="AD1662" s="14">
        <v>0.252915965709826</v>
      </c>
      <c r="AE1662" s="14">
        <v>0.19728708674318199</v>
      </c>
      <c r="AF1662" s="14">
        <v>0.32249085246534498</v>
      </c>
      <c r="AG1662" s="14">
        <v>0.47436058226497402</v>
      </c>
      <c r="AH1662" s="14"/>
      <c r="AI1662" s="14">
        <v>0.29209361196872802</v>
      </c>
      <c r="AJ1662" s="14">
        <v>0.208170294424571</v>
      </c>
      <c r="AK1662" s="14">
        <v>0.31783562629517098</v>
      </c>
      <c r="AL1662" s="14">
        <v>0.25649330406167198</v>
      </c>
      <c r="AM1662" s="14">
        <v>0.27160835271733702</v>
      </c>
      <c r="AN1662" s="14">
        <v>0.144481287926013</v>
      </c>
      <c r="AO1662" s="14"/>
      <c r="AP1662" s="14">
        <v>0.28394141855217397</v>
      </c>
      <c r="AQ1662" s="14">
        <v>0.210000809408736</v>
      </c>
      <c r="AR1662" s="14"/>
      <c r="AS1662" s="14" t="s">
        <v>88</v>
      </c>
      <c r="AT1662" s="14" t="s">
        <v>88</v>
      </c>
      <c r="AU1662" s="14">
        <v>0.24891130823507199</v>
      </c>
      <c r="AV1662" s="14"/>
      <c r="AW1662" s="14">
        <v>0.24161412682228001</v>
      </c>
      <c r="AX1662" s="14">
        <v>0.328327734134643</v>
      </c>
      <c r="AY1662" s="14"/>
      <c r="AZ1662" s="14">
        <v>0.25895796140504201</v>
      </c>
      <c r="BA1662" s="14">
        <v>0.17038819144374401</v>
      </c>
    </row>
    <row r="1663" spans="2:53" x14ac:dyDescent="0.35">
      <c r="B1663" t="s">
        <v>221</v>
      </c>
      <c r="C1663" s="14">
        <v>0.470042337204161</v>
      </c>
      <c r="D1663" s="14">
        <v>0.483104371041014</v>
      </c>
      <c r="E1663" s="14">
        <v>0.45504584154242</v>
      </c>
      <c r="F1663" s="14"/>
      <c r="G1663" s="14">
        <v>0</v>
      </c>
      <c r="H1663" s="14">
        <v>0.52457080687771895</v>
      </c>
      <c r="I1663" s="14">
        <v>0.44459875192984299</v>
      </c>
      <c r="J1663" s="14">
        <v>0.48390261578938898</v>
      </c>
      <c r="K1663" s="14">
        <v>0.46431033309949998</v>
      </c>
      <c r="L1663" s="14">
        <v>0.56175290973717995</v>
      </c>
      <c r="M1663" s="14"/>
      <c r="N1663" s="14">
        <v>0.51442233468619403</v>
      </c>
      <c r="O1663" s="14">
        <v>0.46406208412543498</v>
      </c>
      <c r="P1663" s="14">
        <v>0.46112469648891102</v>
      </c>
      <c r="Q1663" s="14">
        <v>0.41174627016319099</v>
      </c>
      <c r="R1663" s="14"/>
      <c r="S1663" s="14">
        <v>0.497761084592723</v>
      </c>
      <c r="T1663" s="14">
        <v>0.37128825829404999</v>
      </c>
      <c r="U1663" s="14">
        <v>0.49547020033990402</v>
      </c>
      <c r="V1663" s="14">
        <v>0.47010169087745202</v>
      </c>
      <c r="W1663" s="14">
        <v>0.455084659906974</v>
      </c>
      <c r="X1663" s="14">
        <v>0.47339761755645798</v>
      </c>
      <c r="Y1663" s="14">
        <v>0.579173413228245</v>
      </c>
      <c r="Z1663" s="14">
        <v>0.51998204659005998</v>
      </c>
      <c r="AA1663" s="14">
        <v>0.44830853533791698</v>
      </c>
      <c r="AB1663" s="14"/>
      <c r="AC1663" s="14">
        <v>0.435410478662975</v>
      </c>
      <c r="AD1663" s="14">
        <v>0.48133924728980099</v>
      </c>
      <c r="AE1663" s="14">
        <v>0.53800269583725502</v>
      </c>
      <c r="AF1663" s="14">
        <v>0.40761256719375999</v>
      </c>
      <c r="AG1663" s="14">
        <v>0.35622859535166101</v>
      </c>
      <c r="AH1663" s="14"/>
      <c r="AI1663" s="14">
        <v>0.50557146521588403</v>
      </c>
      <c r="AJ1663" s="14">
        <v>0.47956617075649099</v>
      </c>
      <c r="AK1663" s="14">
        <v>0.39698022520222298</v>
      </c>
      <c r="AL1663" s="14">
        <v>0.38524209699942702</v>
      </c>
      <c r="AM1663" s="14">
        <v>0.37936449796592497</v>
      </c>
      <c r="AN1663" s="14">
        <v>0.61405454763365097</v>
      </c>
      <c r="AO1663" s="14"/>
      <c r="AP1663" s="14">
        <v>0.44494435576923902</v>
      </c>
      <c r="AQ1663" s="14">
        <v>0.50111142205705606</v>
      </c>
      <c r="AR1663" s="14"/>
      <c r="AS1663" s="14" t="s">
        <v>88</v>
      </c>
      <c r="AT1663" s="14" t="s">
        <v>88</v>
      </c>
      <c r="AU1663" s="14">
        <v>0.470042337204161</v>
      </c>
      <c r="AV1663" s="14"/>
      <c r="AW1663" s="14">
        <v>0.47148493869854602</v>
      </c>
      <c r="AX1663" s="14">
        <v>0.49653226820260898</v>
      </c>
      <c r="AY1663" s="14"/>
      <c r="AZ1663" s="14">
        <v>0.479739749725831</v>
      </c>
      <c r="BA1663" s="14">
        <v>0.41127592045695699</v>
      </c>
    </row>
    <row r="1664" spans="2:53" x14ac:dyDescent="0.35">
      <c r="B1664" t="s">
        <v>222</v>
      </c>
      <c r="C1664" s="14">
        <v>0.160345813331641</v>
      </c>
      <c r="D1664" s="14">
        <v>0.143744878526644</v>
      </c>
      <c r="E1664" s="14">
        <v>0.18242170030563601</v>
      </c>
      <c r="F1664" s="14"/>
      <c r="G1664" s="14">
        <v>1</v>
      </c>
      <c r="H1664" s="14">
        <v>0.13219909494561499</v>
      </c>
      <c r="I1664" s="14">
        <v>0.169692617807984</v>
      </c>
      <c r="J1664" s="14">
        <v>0.14996387122136201</v>
      </c>
      <c r="K1664" s="14">
        <v>0.191776115020664</v>
      </c>
      <c r="L1664" s="14">
        <v>2.8141496660872199E-2</v>
      </c>
      <c r="M1664" s="14"/>
      <c r="N1664" s="14">
        <v>0.12098050585011499</v>
      </c>
      <c r="O1664" s="14">
        <v>0.16242795702572399</v>
      </c>
      <c r="P1664" s="14">
        <v>0.18468863066101401</v>
      </c>
      <c r="Q1664" s="14">
        <v>0.190501272698957</v>
      </c>
      <c r="R1664" s="14"/>
      <c r="S1664" s="14">
        <v>0.106185579663758</v>
      </c>
      <c r="T1664" s="14">
        <v>0.23472818800782699</v>
      </c>
      <c r="U1664" s="14">
        <v>0.16471057438947601</v>
      </c>
      <c r="V1664" s="14">
        <v>0.20953319249765601</v>
      </c>
      <c r="W1664" s="14">
        <v>0.17892999013181399</v>
      </c>
      <c r="X1664" s="14">
        <v>0.117687294958415</v>
      </c>
      <c r="Y1664" s="14">
        <v>0.139957287642762</v>
      </c>
      <c r="Z1664" s="14">
        <v>0.19916941517704101</v>
      </c>
      <c r="AA1664" s="14">
        <v>0.12052315248077899</v>
      </c>
      <c r="AB1664" s="14"/>
      <c r="AC1664" s="14">
        <v>0.17758939434929799</v>
      </c>
      <c r="AD1664" s="14">
        <v>0.160802059927979</v>
      </c>
      <c r="AE1664" s="14">
        <v>0.14393676977220901</v>
      </c>
      <c r="AF1664" s="14">
        <v>0.15720114376484501</v>
      </c>
      <c r="AG1664" s="14">
        <v>0.169410822383364</v>
      </c>
      <c r="AH1664" s="14"/>
      <c r="AI1664" s="14">
        <v>0.110059522041734</v>
      </c>
      <c r="AJ1664" s="14">
        <v>0.20370262538928199</v>
      </c>
      <c r="AK1664" s="14">
        <v>0.183142082504818</v>
      </c>
      <c r="AL1664" s="14">
        <v>0.15306011284773599</v>
      </c>
      <c r="AM1664" s="14">
        <v>0.26082921749015497</v>
      </c>
      <c r="AN1664" s="14">
        <v>0.169474117198436</v>
      </c>
      <c r="AO1664" s="14"/>
      <c r="AP1664" s="14">
        <v>0.15493831544700401</v>
      </c>
      <c r="AQ1664" s="14">
        <v>0.16240915111677101</v>
      </c>
      <c r="AR1664" s="14"/>
      <c r="AS1664" s="14" t="s">
        <v>88</v>
      </c>
      <c r="AT1664" s="14" t="s">
        <v>88</v>
      </c>
      <c r="AU1664" s="14">
        <v>0.160345813331641</v>
      </c>
      <c r="AV1664" s="14"/>
      <c r="AW1664" s="14">
        <v>0.159523916755201</v>
      </c>
      <c r="AX1664" s="14">
        <v>0.123911473832955</v>
      </c>
      <c r="AY1664" s="14"/>
      <c r="AZ1664" s="14">
        <v>0.15167116732699901</v>
      </c>
      <c r="BA1664" s="14">
        <v>0.22118989201353401</v>
      </c>
    </row>
    <row r="1665" spans="2:53" x14ac:dyDescent="0.35">
      <c r="B1665" t="s">
        <v>223</v>
      </c>
      <c r="C1665" s="14">
        <v>4.0556673945360597E-2</v>
      </c>
      <c r="D1665" s="14">
        <v>1.43827122594708E-2</v>
      </c>
      <c r="E1665" s="14">
        <v>7.4517816133824299E-2</v>
      </c>
      <c r="F1665" s="14"/>
      <c r="G1665" s="14">
        <v>0</v>
      </c>
      <c r="H1665" s="14">
        <v>4.3850072277172997E-2</v>
      </c>
      <c r="I1665" s="14">
        <v>4.7812984060015898E-2</v>
      </c>
      <c r="J1665" s="14">
        <v>3.8937426276277901E-2</v>
      </c>
      <c r="K1665" s="14">
        <v>2.89870697189697E-2</v>
      </c>
      <c r="L1665" s="14">
        <v>0</v>
      </c>
      <c r="M1665" s="14"/>
      <c r="N1665" s="14">
        <v>2.2824507552450399E-2</v>
      </c>
      <c r="O1665" s="14">
        <v>6.1893395071387802E-2</v>
      </c>
      <c r="P1665" s="14">
        <v>3.8184218171383497E-2</v>
      </c>
      <c r="Q1665" s="14">
        <v>4.9750611495758899E-2</v>
      </c>
      <c r="R1665" s="14"/>
      <c r="S1665" s="14">
        <v>1.9405260180200501E-2</v>
      </c>
      <c r="T1665" s="14">
        <v>5.1741072745823999E-2</v>
      </c>
      <c r="U1665" s="14">
        <v>4.36169287745682E-2</v>
      </c>
      <c r="V1665" s="14">
        <v>0</v>
      </c>
      <c r="W1665" s="14">
        <v>4.6893968225090198E-2</v>
      </c>
      <c r="X1665" s="14">
        <v>1.55330837190678E-2</v>
      </c>
      <c r="Y1665" s="14">
        <v>3.42775302122338E-2</v>
      </c>
      <c r="Z1665" s="14">
        <v>9.5775127393736198E-2</v>
      </c>
      <c r="AA1665" s="14">
        <v>8.2039732720623607E-2</v>
      </c>
      <c r="AB1665" s="14"/>
      <c r="AC1665" s="14">
        <v>6.1937466819463299E-2</v>
      </c>
      <c r="AD1665" s="14">
        <v>4.3839109181233502E-2</v>
      </c>
      <c r="AE1665" s="14">
        <v>2.1059812771399001E-2</v>
      </c>
      <c r="AF1665" s="14">
        <v>4.6856292206443599E-2</v>
      </c>
      <c r="AG1665" s="14">
        <v>0</v>
      </c>
      <c r="AH1665" s="14"/>
      <c r="AI1665" s="14">
        <v>2.2185634944400401E-2</v>
      </c>
      <c r="AJ1665" s="14">
        <v>3.5667897806245102E-2</v>
      </c>
      <c r="AK1665" s="14">
        <v>4.90787966662753E-2</v>
      </c>
      <c r="AL1665" s="14">
        <v>5.9582318707728898E-2</v>
      </c>
      <c r="AM1665" s="14">
        <v>3.3463396339856399E-2</v>
      </c>
      <c r="AN1665" s="14">
        <v>1.7581109442043701E-2</v>
      </c>
      <c r="AO1665" s="14"/>
      <c r="AP1665" s="14">
        <v>3.4271699862931597E-2</v>
      </c>
      <c r="AQ1665" s="14">
        <v>4.7957231161887298E-2</v>
      </c>
      <c r="AR1665" s="14"/>
      <c r="AS1665" s="14" t="s">
        <v>88</v>
      </c>
      <c r="AT1665" s="14" t="s">
        <v>88</v>
      </c>
      <c r="AU1665" s="14">
        <v>4.0556673945360597E-2</v>
      </c>
      <c r="AV1665" s="14"/>
      <c r="AW1665" s="14">
        <v>4.0018114258645598E-2</v>
      </c>
      <c r="AX1665" s="14">
        <v>1.90524847279448E-3</v>
      </c>
      <c r="AY1665" s="14"/>
      <c r="AZ1665" s="14">
        <v>2.88290273010702E-2</v>
      </c>
      <c r="BA1665" s="14">
        <v>0.12030366441370299</v>
      </c>
    </row>
    <row r="1666" spans="2:53" x14ac:dyDescent="0.35">
      <c r="B1666" t="s">
        <v>116</v>
      </c>
      <c r="C1666" s="14">
        <v>1.77390313481103E-2</v>
      </c>
      <c r="D1666" s="14">
        <v>1.34114972504953E-2</v>
      </c>
      <c r="E1666" s="14">
        <v>2.3397999380328102E-2</v>
      </c>
      <c r="F1666" s="14"/>
      <c r="G1666" s="14">
        <v>0</v>
      </c>
      <c r="H1666" s="14">
        <v>0</v>
      </c>
      <c r="I1666" s="14">
        <v>2.7741568490372501E-2</v>
      </c>
      <c r="J1666" s="14">
        <v>1.3900941390181601E-2</v>
      </c>
      <c r="K1666" s="14">
        <v>1.2525536985324499E-2</v>
      </c>
      <c r="L1666" s="14">
        <v>0</v>
      </c>
      <c r="M1666" s="14"/>
      <c r="N1666" s="14">
        <v>1.7088850411104101E-2</v>
      </c>
      <c r="O1666" s="14">
        <v>2.4758181056005499E-2</v>
      </c>
      <c r="P1666" s="14">
        <v>1.94739575919281E-2</v>
      </c>
      <c r="Q1666" s="14">
        <v>9.3226345642723005E-3</v>
      </c>
      <c r="R1666" s="14"/>
      <c r="S1666" s="14">
        <v>6.0878956202447803E-3</v>
      </c>
      <c r="T1666" s="14">
        <v>9.1292470998996893E-3</v>
      </c>
      <c r="U1666" s="14">
        <v>0</v>
      </c>
      <c r="V1666" s="14">
        <v>2.43540342687147E-2</v>
      </c>
      <c r="W1666" s="14">
        <v>3.1750615076809499E-2</v>
      </c>
      <c r="X1666" s="14">
        <v>5.3425187387862297E-2</v>
      </c>
      <c r="Y1666" s="14">
        <v>0</v>
      </c>
      <c r="Z1666" s="14">
        <v>8.1795129285729493E-3</v>
      </c>
      <c r="AA1666" s="14">
        <v>3.1266054613018901E-2</v>
      </c>
      <c r="AB1666" s="14"/>
      <c r="AC1666" s="14">
        <v>0</v>
      </c>
      <c r="AD1666" s="14">
        <v>3.9299303367379197E-2</v>
      </c>
      <c r="AE1666" s="14">
        <v>1.7149415323264399E-2</v>
      </c>
      <c r="AF1666" s="14">
        <v>6.3921099199378698E-3</v>
      </c>
      <c r="AG1666" s="14">
        <v>0</v>
      </c>
      <c r="AH1666" s="14"/>
      <c r="AI1666" s="14">
        <v>1.2057121244001099E-2</v>
      </c>
      <c r="AJ1666" s="14">
        <v>1.4070387366392399E-2</v>
      </c>
      <c r="AK1666" s="14">
        <v>2.65561737776672E-2</v>
      </c>
      <c r="AL1666" s="14">
        <v>1.7295886754180999E-2</v>
      </c>
      <c r="AM1666" s="14">
        <v>0</v>
      </c>
      <c r="AN1666" s="14">
        <v>0</v>
      </c>
      <c r="AO1666" s="14"/>
      <c r="AP1666" s="14">
        <v>1.7271730267632401E-2</v>
      </c>
      <c r="AQ1666" s="14">
        <v>1.8361738699199302E-2</v>
      </c>
      <c r="AR1666" s="14"/>
      <c r="AS1666" s="14" t="s">
        <v>88</v>
      </c>
      <c r="AT1666" s="14" t="s">
        <v>88</v>
      </c>
      <c r="AU1666" s="14">
        <v>1.77390313481103E-2</v>
      </c>
      <c r="AV1666" s="14"/>
      <c r="AW1666" s="14">
        <v>1.9136134618003502E-2</v>
      </c>
      <c r="AX1666" s="14">
        <v>5.7566408844264604E-3</v>
      </c>
      <c r="AY1666" s="14"/>
      <c r="AZ1666" s="14">
        <v>1.65075262830662E-2</v>
      </c>
      <c r="BA1666" s="14">
        <v>2.6305231070008601E-2</v>
      </c>
    </row>
    <row r="1667" spans="2:53" x14ac:dyDescent="0.35">
      <c r="B1667" t="s">
        <v>224</v>
      </c>
      <c r="C1667" s="14">
        <v>0.71895364543923201</v>
      </c>
      <c r="D1667" s="14">
        <v>0.76197693208864703</v>
      </c>
      <c r="E1667" s="14">
        <v>0.66227682278736499</v>
      </c>
      <c r="F1667" s="14"/>
      <c r="G1667" s="14">
        <v>0</v>
      </c>
      <c r="H1667" s="14">
        <v>0.73244898187885998</v>
      </c>
      <c r="I1667" s="14">
        <v>0.72087493155124804</v>
      </c>
      <c r="J1667" s="14">
        <v>0.72050896116913099</v>
      </c>
      <c r="K1667" s="14">
        <v>0.66190313189300798</v>
      </c>
      <c r="L1667" s="14">
        <v>0.97185850333912804</v>
      </c>
      <c r="M1667" s="14"/>
      <c r="N1667" s="14">
        <v>0.76419128935297098</v>
      </c>
      <c r="O1667" s="14">
        <v>0.665758212374294</v>
      </c>
      <c r="P1667" s="14">
        <v>0.70263541738448898</v>
      </c>
      <c r="Q1667" s="14">
        <v>0.72140724406969603</v>
      </c>
      <c r="R1667" s="14"/>
      <c r="S1667" s="14">
        <v>0.80785493796722596</v>
      </c>
      <c r="T1667" s="14">
        <v>0.60435439230881605</v>
      </c>
      <c r="U1667" s="14">
        <v>0.67278992164427498</v>
      </c>
      <c r="V1667" s="14">
        <v>0.68043437321314204</v>
      </c>
      <c r="W1667" s="14">
        <v>0.697473739394323</v>
      </c>
      <c r="X1667" s="14">
        <v>0.77255756166971401</v>
      </c>
      <c r="Y1667" s="14">
        <v>0.79079061972601805</v>
      </c>
      <c r="Z1667" s="14">
        <v>0.69687594450064905</v>
      </c>
      <c r="AA1667" s="14">
        <v>0.73135995469644599</v>
      </c>
      <c r="AB1667" s="14"/>
      <c r="AC1667" s="14">
        <v>0.68700167605756302</v>
      </c>
      <c r="AD1667" s="14">
        <v>0.73425521299962704</v>
      </c>
      <c r="AE1667" s="14">
        <v>0.73528978258043698</v>
      </c>
      <c r="AF1667" s="14">
        <v>0.73010341965910497</v>
      </c>
      <c r="AG1667" s="14">
        <v>0.83058917761663598</v>
      </c>
      <c r="AH1667" s="14"/>
      <c r="AI1667" s="14">
        <v>0.79766507718461299</v>
      </c>
      <c r="AJ1667" s="14">
        <v>0.68773646518106202</v>
      </c>
      <c r="AK1667" s="14">
        <v>0.71481585149739402</v>
      </c>
      <c r="AL1667" s="14">
        <v>0.64173540106110005</v>
      </c>
      <c r="AM1667" s="14">
        <v>0.65097285068326105</v>
      </c>
      <c r="AN1667" s="14">
        <v>0.75853583555966397</v>
      </c>
      <c r="AO1667" s="14"/>
      <c r="AP1667" s="14">
        <v>0.72888577432141299</v>
      </c>
      <c r="AQ1667" s="14">
        <v>0.71111223146579206</v>
      </c>
      <c r="AR1667" s="14"/>
      <c r="AS1667" s="14" t="s">
        <v>88</v>
      </c>
      <c r="AT1667" s="14" t="s">
        <v>88</v>
      </c>
      <c r="AU1667" s="14">
        <v>0.71895364543923201</v>
      </c>
      <c r="AV1667" s="14"/>
      <c r="AW1667" s="14">
        <v>0.71309906552082603</v>
      </c>
      <c r="AX1667" s="14">
        <v>0.82486000233725199</v>
      </c>
      <c r="AY1667" s="14"/>
      <c r="AZ1667" s="14">
        <v>0.73869771113087301</v>
      </c>
      <c r="BA1667" s="14">
        <v>0.581664111900702</v>
      </c>
    </row>
    <row r="1668" spans="2:53" x14ac:dyDescent="0.35"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</row>
    <row r="1669" spans="2:53" x14ac:dyDescent="0.35">
      <c r="B1669" s="6" t="s">
        <v>386</v>
      </c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/>
      <c r="AN1669" s="14"/>
      <c r="AO1669" s="14"/>
      <c r="AP1669" s="14"/>
      <c r="AQ1669" s="14"/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</row>
    <row r="1670" spans="2:53" x14ac:dyDescent="0.35">
      <c r="B1670" s="30" t="s">
        <v>463</v>
      </c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/>
      <c r="AN1670" s="14"/>
      <c r="AO1670" s="14"/>
      <c r="AP1670" s="14"/>
      <c r="AQ1670" s="14"/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</row>
    <row r="1671" spans="2:53" x14ac:dyDescent="0.35">
      <c r="B1671" t="s">
        <v>226</v>
      </c>
      <c r="C1671" s="14">
        <v>0.24034966198458599</v>
      </c>
      <c r="D1671" s="14">
        <v>0.26292072519305698</v>
      </c>
      <c r="E1671" s="14">
        <v>0.208178560011962</v>
      </c>
      <c r="F1671" s="14"/>
      <c r="G1671" s="14">
        <v>0</v>
      </c>
      <c r="H1671" s="14">
        <v>0.23152939417499999</v>
      </c>
      <c r="I1671" s="14">
        <v>0.255224637480233</v>
      </c>
      <c r="J1671" s="14">
        <v>0.246024122568513</v>
      </c>
      <c r="K1671" s="14">
        <v>0.177991481788911</v>
      </c>
      <c r="L1671" s="14">
        <v>0.28921221723889701</v>
      </c>
      <c r="M1671" s="14"/>
      <c r="N1671" s="14">
        <v>0.24395563982474799</v>
      </c>
      <c r="O1671" s="14">
        <v>0.22394451897097101</v>
      </c>
      <c r="P1671" s="14">
        <v>0.226901918497635</v>
      </c>
      <c r="Q1671" s="14">
        <v>0.27215273781014399</v>
      </c>
      <c r="R1671" s="14"/>
      <c r="S1671" s="14">
        <v>0.33664027692370702</v>
      </c>
      <c r="T1671" s="14">
        <v>0.176538666583408</v>
      </c>
      <c r="U1671" s="14">
        <v>0.130093930023573</v>
      </c>
      <c r="V1671" s="14">
        <v>0.27178931411337398</v>
      </c>
      <c r="W1671" s="14">
        <v>0.21679689526467</v>
      </c>
      <c r="X1671" s="14">
        <v>0.26202369642566598</v>
      </c>
      <c r="Y1671" s="14">
        <v>0.27778378841278001</v>
      </c>
      <c r="Z1671" s="14">
        <v>0.25934255074352902</v>
      </c>
      <c r="AA1671" s="14">
        <v>0.20019355545162501</v>
      </c>
      <c r="AB1671" s="14"/>
      <c r="AC1671" s="14">
        <v>0.19086287484815301</v>
      </c>
      <c r="AD1671" s="14">
        <v>0.244676728573233</v>
      </c>
      <c r="AE1671" s="14">
        <v>0.227287217620703</v>
      </c>
      <c r="AF1671" s="14">
        <v>0.26824133717427001</v>
      </c>
      <c r="AG1671" s="14">
        <v>0.63086585003293905</v>
      </c>
      <c r="AH1671" s="14"/>
      <c r="AI1671" s="14">
        <v>0.30412510079264798</v>
      </c>
      <c r="AJ1671" s="14">
        <v>0.26497518248832402</v>
      </c>
      <c r="AK1671" s="14">
        <v>0.27451273090799799</v>
      </c>
      <c r="AL1671" s="14">
        <v>0.108401175779482</v>
      </c>
      <c r="AM1671" s="14">
        <v>0.245210035914561</v>
      </c>
      <c r="AN1671" s="14">
        <v>0.144481287926013</v>
      </c>
      <c r="AO1671" s="14"/>
      <c r="AP1671" s="14">
        <v>0.24129612334855</v>
      </c>
      <c r="AQ1671" s="14">
        <v>0.24044811446022901</v>
      </c>
      <c r="AR1671" s="14"/>
      <c r="AS1671" s="14" t="s">
        <v>88</v>
      </c>
      <c r="AT1671" s="14" t="s">
        <v>88</v>
      </c>
      <c r="AU1671" s="14">
        <v>0.24034966198458599</v>
      </c>
      <c r="AV1671" s="14"/>
      <c r="AW1671" s="14">
        <v>0.21191645182681201</v>
      </c>
      <c r="AX1671" s="14">
        <v>0.38252539293993598</v>
      </c>
      <c r="AY1671" s="14"/>
      <c r="AZ1671" s="14">
        <v>0.25638112574591598</v>
      </c>
      <c r="BA1671" s="14">
        <v>0.121303251923876</v>
      </c>
    </row>
    <row r="1672" spans="2:53" x14ac:dyDescent="0.35">
      <c r="B1672" t="s">
        <v>227</v>
      </c>
      <c r="C1672" s="14">
        <v>0.357596501739323</v>
      </c>
      <c r="D1672" s="14">
        <v>0.35099391291300802</v>
      </c>
      <c r="E1672" s="14">
        <v>0.36754625611452002</v>
      </c>
      <c r="F1672" s="14"/>
      <c r="G1672" s="14">
        <v>0</v>
      </c>
      <c r="H1672" s="14">
        <v>0.36337325739359599</v>
      </c>
      <c r="I1672" s="14">
        <v>0.38578919027962899</v>
      </c>
      <c r="J1672" s="14">
        <v>0.349909201890239</v>
      </c>
      <c r="K1672" s="14">
        <v>0.26518277907309501</v>
      </c>
      <c r="L1672" s="14">
        <v>0.50561112179742396</v>
      </c>
      <c r="M1672" s="14"/>
      <c r="N1672" s="14">
        <v>0.36476532437446302</v>
      </c>
      <c r="O1672" s="14">
        <v>0.35615424967695303</v>
      </c>
      <c r="P1672" s="14">
        <v>0.389818173767636</v>
      </c>
      <c r="Q1672" s="14">
        <v>0.29846251950688502</v>
      </c>
      <c r="R1672" s="14"/>
      <c r="S1672" s="14">
        <v>0.37529596240889401</v>
      </c>
      <c r="T1672" s="14">
        <v>0.39411791566644</v>
      </c>
      <c r="U1672" s="14">
        <v>0.39588941082616802</v>
      </c>
      <c r="V1672" s="14">
        <v>0.240220844228626</v>
      </c>
      <c r="W1672" s="14">
        <v>0.21159915479029501</v>
      </c>
      <c r="X1672" s="14">
        <v>0.42544587709821502</v>
      </c>
      <c r="Y1672" s="14">
        <v>0.39785099949972003</v>
      </c>
      <c r="Z1672" s="14">
        <v>0.27899284108280198</v>
      </c>
      <c r="AA1672" s="14">
        <v>0.38687478792785401</v>
      </c>
      <c r="AB1672" s="14"/>
      <c r="AC1672" s="14">
        <v>0.288756675901855</v>
      </c>
      <c r="AD1672" s="14">
        <v>0.368994793557404</v>
      </c>
      <c r="AE1672" s="14">
        <v>0.40223377748539402</v>
      </c>
      <c r="AF1672" s="14">
        <v>0.35856154152242897</v>
      </c>
      <c r="AG1672" s="14">
        <v>0.26972972494335801</v>
      </c>
      <c r="AH1672" s="14"/>
      <c r="AI1672" s="14">
        <v>0.36289897363312501</v>
      </c>
      <c r="AJ1672" s="14">
        <v>0.30263880387201297</v>
      </c>
      <c r="AK1672" s="14">
        <v>0.37327745266076701</v>
      </c>
      <c r="AL1672" s="14">
        <v>0.427988778104815</v>
      </c>
      <c r="AM1672" s="14">
        <v>0.291606924989954</v>
      </c>
      <c r="AN1672" s="14">
        <v>0.53098750481742996</v>
      </c>
      <c r="AO1672" s="14"/>
      <c r="AP1672" s="14">
        <v>0.38720185238974503</v>
      </c>
      <c r="AQ1672" s="14">
        <v>0.32543626264051301</v>
      </c>
      <c r="AR1672" s="14"/>
      <c r="AS1672" s="14" t="s">
        <v>88</v>
      </c>
      <c r="AT1672" s="14" t="s">
        <v>88</v>
      </c>
      <c r="AU1672" s="14">
        <v>0.357596501739323</v>
      </c>
      <c r="AV1672" s="14"/>
      <c r="AW1672" s="14">
        <v>0.36423244058443799</v>
      </c>
      <c r="AX1672" s="14">
        <v>0.36461737406720102</v>
      </c>
      <c r="AY1672" s="14"/>
      <c r="AZ1672" s="14">
        <v>0.376866009596524</v>
      </c>
      <c r="BA1672" s="14">
        <v>0.23261014427306301</v>
      </c>
    </row>
    <row r="1673" spans="2:53" x14ac:dyDescent="0.35">
      <c r="B1673" t="s">
        <v>228</v>
      </c>
      <c r="C1673" s="14">
        <v>0.21852888518279101</v>
      </c>
      <c r="D1673" s="14">
        <v>0.23754088237169199</v>
      </c>
      <c r="E1673" s="14">
        <v>0.19484769538390101</v>
      </c>
      <c r="F1673" s="14"/>
      <c r="G1673" s="14">
        <v>0</v>
      </c>
      <c r="H1673" s="14">
        <v>0.24245135981492499</v>
      </c>
      <c r="I1673" s="14">
        <v>0.16349182231099599</v>
      </c>
      <c r="J1673" s="14">
        <v>0.226098488860174</v>
      </c>
      <c r="K1673" s="14">
        <v>0.36949603250782398</v>
      </c>
      <c r="L1673" s="14">
        <v>0.14538742311324801</v>
      </c>
      <c r="M1673" s="14"/>
      <c r="N1673" s="14">
        <v>0.207775036458306</v>
      </c>
      <c r="O1673" s="14">
        <v>0.27309420543768698</v>
      </c>
      <c r="P1673" s="14">
        <v>0.18022089488649801</v>
      </c>
      <c r="Q1673" s="14">
        <v>0.23066004655595601</v>
      </c>
      <c r="R1673" s="14"/>
      <c r="S1673" s="14">
        <v>0.13853020070996999</v>
      </c>
      <c r="T1673" s="14">
        <v>0.23980339794533501</v>
      </c>
      <c r="U1673" s="14">
        <v>0.25352677566459397</v>
      </c>
      <c r="V1673" s="14">
        <v>0.32059503005947498</v>
      </c>
      <c r="W1673" s="14">
        <v>0.28463313638571802</v>
      </c>
      <c r="X1673" s="14">
        <v>0.14749461921867199</v>
      </c>
      <c r="Y1673" s="14">
        <v>0.19878328951521401</v>
      </c>
      <c r="Z1673" s="14">
        <v>0.272189713488875</v>
      </c>
      <c r="AA1673" s="14">
        <v>0.213078483201535</v>
      </c>
      <c r="AB1673" s="14"/>
      <c r="AC1673" s="14">
        <v>0.30399720307237899</v>
      </c>
      <c r="AD1673" s="14">
        <v>0.248393283254949</v>
      </c>
      <c r="AE1673" s="14">
        <v>0.18685200115645001</v>
      </c>
      <c r="AF1673" s="14">
        <v>0.19237560431571099</v>
      </c>
      <c r="AG1673" s="14">
        <v>5.3295322849228201E-2</v>
      </c>
      <c r="AH1673" s="14"/>
      <c r="AI1673" s="14">
        <v>0.17407118945957001</v>
      </c>
      <c r="AJ1673" s="14">
        <v>0.260887315711539</v>
      </c>
      <c r="AK1673" s="14">
        <v>0.17012856890653599</v>
      </c>
      <c r="AL1673" s="14">
        <v>0.24621033859349301</v>
      </c>
      <c r="AM1673" s="14">
        <v>0.22177711512578899</v>
      </c>
      <c r="AN1673" s="14">
        <v>0.21291311234907701</v>
      </c>
      <c r="AO1673" s="14"/>
      <c r="AP1673" s="14">
        <v>0.19878275579920901</v>
      </c>
      <c r="AQ1673" s="14">
        <v>0.24222833063707799</v>
      </c>
      <c r="AR1673" s="14"/>
      <c r="AS1673" s="14" t="s">
        <v>88</v>
      </c>
      <c r="AT1673" s="14" t="s">
        <v>88</v>
      </c>
      <c r="AU1673" s="14">
        <v>0.21852888518279101</v>
      </c>
      <c r="AV1673" s="14"/>
      <c r="AW1673" s="14">
        <v>0.22693993003628701</v>
      </c>
      <c r="AX1673" s="14">
        <v>0.17284343799722099</v>
      </c>
      <c r="AY1673" s="14"/>
      <c r="AZ1673" s="14">
        <v>0.21229005801944201</v>
      </c>
      <c r="BA1673" s="14">
        <v>0.26375863963832802</v>
      </c>
    </row>
    <row r="1674" spans="2:53" x14ac:dyDescent="0.35">
      <c r="B1674" t="s">
        <v>229</v>
      </c>
      <c r="C1674" s="14">
        <v>9.0405262382389703E-2</v>
      </c>
      <c r="D1674" s="14">
        <v>5.8348093322091399E-2</v>
      </c>
      <c r="E1674" s="14">
        <v>0.132162109460984</v>
      </c>
      <c r="F1674" s="14"/>
      <c r="G1674" s="14">
        <v>0</v>
      </c>
      <c r="H1674" s="14">
        <v>6.5581585483353702E-2</v>
      </c>
      <c r="I1674" s="14">
        <v>0.11101346317517199</v>
      </c>
      <c r="J1674" s="14">
        <v>7.7900452581294799E-2</v>
      </c>
      <c r="K1674" s="14">
        <v>9.6365974766690204E-2</v>
      </c>
      <c r="L1674" s="14">
        <v>0</v>
      </c>
      <c r="M1674" s="14"/>
      <c r="N1674" s="14">
        <v>7.3808185143431002E-2</v>
      </c>
      <c r="O1674" s="14">
        <v>8.1410469207974095E-2</v>
      </c>
      <c r="P1674" s="14">
        <v>8.4295528384626395E-2</v>
      </c>
      <c r="Q1674" s="14">
        <v>0.135134280559422</v>
      </c>
      <c r="R1674" s="14"/>
      <c r="S1674" s="14">
        <v>7.5445714544892101E-2</v>
      </c>
      <c r="T1674" s="14">
        <v>9.4106294976602306E-2</v>
      </c>
      <c r="U1674" s="14">
        <v>5.88656780993995E-2</v>
      </c>
      <c r="V1674" s="14">
        <v>8.2182944163562199E-2</v>
      </c>
      <c r="W1674" s="14">
        <v>0.123319965551794</v>
      </c>
      <c r="X1674" s="14">
        <v>3.6687282975565103E-2</v>
      </c>
      <c r="Y1674" s="14">
        <v>0.10027913043183</v>
      </c>
      <c r="Z1674" s="14">
        <v>0.154572968624933</v>
      </c>
      <c r="AA1674" s="14">
        <v>0.12609249416142501</v>
      </c>
      <c r="AB1674" s="14"/>
      <c r="AC1674" s="14">
        <v>0.137703326327515</v>
      </c>
      <c r="AD1674" s="14">
        <v>8.0359634830251395E-2</v>
      </c>
      <c r="AE1674" s="14">
        <v>5.7555441577065998E-2</v>
      </c>
      <c r="AF1674" s="14">
        <v>8.9862090894218705E-2</v>
      </c>
      <c r="AG1674" s="14">
        <v>0</v>
      </c>
      <c r="AH1674" s="14"/>
      <c r="AI1674" s="14">
        <v>7.5318819727377098E-2</v>
      </c>
      <c r="AJ1674" s="14">
        <v>9.3362012066862204E-2</v>
      </c>
      <c r="AK1674" s="14">
        <v>8.1063406651870007E-2</v>
      </c>
      <c r="AL1674" s="14">
        <v>0.10558986096650801</v>
      </c>
      <c r="AM1674" s="14">
        <v>0.123484963172719</v>
      </c>
      <c r="AN1674" s="14">
        <v>3.4587349348023398E-2</v>
      </c>
      <c r="AO1674" s="14"/>
      <c r="AP1674" s="14">
        <v>6.3652582906543395E-2</v>
      </c>
      <c r="AQ1674" s="14">
        <v>0.11658047824116501</v>
      </c>
      <c r="AR1674" s="14"/>
      <c r="AS1674" s="14" t="s">
        <v>88</v>
      </c>
      <c r="AT1674" s="14" t="s">
        <v>88</v>
      </c>
      <c r="AU1674" s="14">
        <v>9.0405262382389703E-2</v>
      </c>
      <c r="AV1674" s="14"/>
      <c r="AW1674" s="14">
        <v>9.0390933789396402E-2</v>
      </c>
      <c r="AX1674" s="14">
        <v>2.8294930402674699E-2</v>
      </c>
      <c r="AY1674" s="14"/>
      <c r="AZ1674" s="14">
        <v>7.1537602474841894E-2</v>
      </c>
      <c r="BA1674" s="14">
        <v>0.21906217469730899</v>
      </c>
    </row>
    <row r="1675" spans="2:53" x14ac:dyDescent="0.35">
      <c r="B1675" t="s">
        <v>116</v>
      </c>
      <c r="C1675" s="14">
        <v>3.3112623390812397E-2</v>
      </c>
      <c r="D1675" s="14">
        <v>2.2342400389067499E-2</v>
      </c>
      <c r="E1675" s="14">
        <v>4.7152544229283999E-2</v>
      </c>
      <c r="F1675" s="14"/>
      <c r="G1675" s="14">
        <v>0</v>
      </c>
      <c r="H1675" s="14">
        <v>0</v>
      </c>
      <c r="I1675" s="14">
        <v>4.4040702492744499E-2</v>
      </c>
      <c r="J1675" s="14">
        <v>3.8198611748240498E-2</v>
      </c>
      <c r="K1675" s="14">
        <v>1.27397729298957E-2</v>
      </c>
      <c r="L1675" s="14">
        <v>0</v>
      </c>
      <c r="M1675" s="14"/>
      <c r="N1675" s="14">
        <v>2.1735627953141899E-2</v>
      </c>
      <c r="O1675" s="14">
        <v>3.2505303808655801E-2</v>
      </c>
      <c r="P1675" s="14">
        <v>4.6564619401583997E-2</v>
      </c>
      <c r="Q1675" s="14">
        <v>3.4572178396275903E-2</v>
      </c>
      <c r="R1675" s="14"/>
      <c r="S1675" s="14">
        <v>1.8524901843177601E-2</v>
      </c>
      <c r="T1675" s="14">
        <v>9.1292470998996893E-3</v>
      </c>
      <c r="U1675" s="14">
        <v>2.8872718241845698E-2</v>
      </c>
      <c r="V1675" s="14">
        <v>6.5909984598582994E-2</v>
      </c>
      <c r="W1675" s="14">
        <v>7.3747473663596699E-2</v>
      </c>
      <c r="X1675" s="14">
        <v>7.6890429253473003E-2</v>
      </c>
      <c r="Y1675" s="14">
        <v>0</v>
      </c>
      <c r="Z1675" s="14">
        <v>3.4901926059860901E-2</v>
      </c>
      <c r="AA1675" s="14">
        <v>2.2666211230106901E-2</v>
      </c>
      <c r="AB1675" s="14"/>
      <c r="AC1675" s="14">
        <v>4.1850685751755698E-2</v>
      </c>
      <c r="AD1675" s="14">
        <v>4.9729364247219202E-2</v>
      </c>
      <c r="AE1675" s="14">
        <v>2.9501260811593301E-2</v>
      </c>
      <c r="AF1675" s="14">
        <v>6.3921099199378698E-3</v>
      </c>
      <c r="AG1675" s="14">
        <v>2.8463948008548599E-2</v>
      </c>
      <c r="AH1675" s="14"/>
      <c r="AI1675" s="14">
        <v>2.7739813102426101E-2</v>
      </c>
      <c r="AJ1675" s="14">
        <v>2.76227605547937E-2</v>
      </c>
      <c r="AK1675" s="14">
        <v>2.65561737776672E-2</v>
      </c>
      <c r="AL1675" s="14">
        <v>2.86112323168317E-2</v>
      </c>
      <c r="AM1675" s="14">
        <v>0</v>
      </c>
      <c r="AN1675" s="14">
        <v>0</v>
      </c>
      <c r="AO1675" s="14"/>
      <c r="AP1675" s="14">
        <v>3.6641295049098903E-2</v>
      </c>
      <c r="AQ1675" s="14">
        <v>2.9232634177210198E-2</v>
      </c>
      <c r="AR1675" s="14"/>
      <c r="AS1675" s="14" t="s">
        <v>88</v>
      </c>
      <c r="AT1675" s="14" t="s">
        <v>88</v>
      </c>
      <c r="AU1675" s="14">
        <v>3.3112623390812397E-2</v>
      </c>
      <c r="AV1675" s="14"/>
      <c r="AW1675" s="14">
        <v>3.8427249270270102E-2</v>
      </c>
      <c r="AX1675" s="14">
        <v>1.06832111147089E-2</v>
      </c>
      <c r="AY1675" s="14"/>
      <c r="AZ1675" s="14">
        <v>2.25633947579587E-2</v>
      </c>
      <c r="BA1675" s="14">
        <v>0.104798472231377</v>
      </c>
    </row>
    <row r="1676" spans="2:53" x14ac:dyDescent="0.35"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/>
      <c r="AN1676" s="14"/>
      <c r="AO1676" s="14"/>
      <c r="AP1676" s="14"/>
      <c r="AQ1676" s="14"/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</row>
    <row r="1677" spans="2:53" x14ac:dyDescent="0.35">
      <c r="B1677" s="6" t="s">
        <v>387</v>
      </c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  <c r="AO1677" s="14"/>
      <c r="AP1677" s="14"/>
      <c r="AQ1677" s="14"/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</row>
    <row r="1678" spans="2:53" x14ac:dyDescent="0.35">
      <c r="B1678" s="30" t="s">
        <v>463</v>
      </c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/>
      <c r="AO1678" s="14"/>
      <c r="AP1678" s="14"/>
      <c r="AQ1678" s="14"/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</row>
    <row r="1679" spans="2:53" x14ac:dyDescent="0.35">
      <c r="B1679" t="s">
        <v>231</v>
      </c>
      <c r="C1679" s="14">
        <v>0.10685305878207001</v>
      </c>
      <c r="D1679" s="14">
        <v>9.6680805747503498E-2</v>
      </c>
      <c r="E1679" s="14">
        <v>0.120414336923888</v>
      </c>
      <c r="F1679" s="14"/>
      <c r="G1679" s="14">
        <v>0</v>
      </c>
      <c r="H1679" s="14">
        <v>0.123686480325325</v>
      </c>
      <c r="I1679" s="14">
        <v>0.150730494364851</v>
      </c>
      <c r="J1679" s="14">
        <v>8.7092239590652903E-2</v>
      </c>
      <c r="K1679" s="14">
        <v>3.8380057417709099E-2</v>
      </c>
      <c r="L1679" s="14">
        <v>0</v>
      </c>
      <c r="M1679" s="14"/>
      <c r="N1679" s="14">
        <v>7.6943036612680496E-2</v>
      </c>
      <c r="O1679" s="14">
        <v>0.15116282565851999</v>
      </c>
      <c r="P1679" s="14">
        <v>9.2870553142489903E-2</v>
      </c>
      <c r="Q1679" s="14">
        <v>0.12707772207377599</v>
      </c>
      <c r="R1679" s="14"/>
      <c r="S1679" s="14">
        <v>0.15126406553925101</v>
      </c>
      <c r="T1679" s="14">
        <v>5.91503290156144E-2</v>
      </c>
      <c r="U1679" s="14">
        <v>0.19507333188387099</v>
      </c>
      <c r="V1679" s="14">
        <v>6.9746276420513398E-2</v>
      </c>
      <c r="W1679" s="14">
        <v>7.8164329473452296E-2</v>
      </c>
      <c r="X1679" s="14">
        <v>8.1630157982520601E-2</v>
      </c>
      <c r="Y1679" s="14">
        <v>0.10716899406607</v>
      </c>
      <c r="Z1679" s="14">
        <v>0.116365086778073</v>
      </c>
      <c r="AA1679" s="14">
        <v>0.10490783034609499</v>
      </c>
      <c r="AB1679" s="14"/>
      <c r="AC1679" s="14">
        <v>0.123922155964308</v>
      </c>
      <c r="AD1679" s="14">
        <v>8.6391271639289197E-2</v>
      </c>
      <c r="AE1679" s="14">
        <v>9.3896376450309793E-2</v>
      </c>
      <c r="AF1679" s="14">
        <v>0.18810719409382301</v>
      </c>
      <c r="AG1679" s="14">
        <v>2.7825707672343401E-2</v>
      </c>
      <c r="AH1679" s="14"/>
      <c r="AI1679" s="14">
        <v>0.116665620474259</v>
      </c>
      <c r="AJ1679" s="14">
        <v>7.1357613946856802E-2</v>
      </c>
      <c r="AK1679" s="14">
        <v>0.216171921125557</v>
      </c>
      <c r="AL1679" s="14">
        <v>8.8106924759685998E-2</v>
      </c>
      <c r="AM1679" s="14">
        <v>0.13663338011092199</v>
      </c>
      <c r="AN1679" s="14">
        <v>0.12902140746041799</v>
      </c>
      <c r="AO1679" s="14"/>
      <c r="AP1679" s="14">
        <v>7.8320070925657695E-2</v>
      </c>
      <c r="AQ1679" s="14">
        <v>0.140070381891403</v>
      </c>
      <c r="AR1679" s="14"/>
      <c r="AS1679" s="14" t="s">
        <v>88</v>
      </c>
      <c r="AT1679" s="14" t="s">
        <v>88</v>
      </c>
      <c r="AU1679" s="14">
        <v>0.10685305878207001</v>
      </c>
      <c r="AV1679" s="14"/>
      <c r="AW1679" s="14">
        <v>0.10136487261766799</v>
      </c>
      <c r="AX1679" s="14">
        <v>0.124328122079967</v>
      </c>
      <c r="AY1679" s="14"/>
      <c r="AZ1679" s="14">
        <v>0.102911579143297</v>
      </c>
      <c r="BA1679" s="14">
        <v>0.134983050075421</v>
      </c>
    </row>
    <row r="1680" spans="2:53" x14ac:dyDescent="0.35">
      <c r="B1680" t="s">
        <v>232</v>
      </c>
      <c r="C1680" s="14">
        <v>0.70036983134610797</v>
      </c>
      <c r="D1680" s="14">
        <v>0.74694202950878996</v>
      </c>
      <c r="E1680" s="14">
        <v>0.64301693345436395</v>
      </c>
      <c r="F1680" s="14"/>
      <c r="G1680" s="14">
        <v>0</v>
      </c>
      <c r="H1680" s="14">
        <v>0.74020225861331701</v>
      </c>
      <c r="I1680" s="14">
        <v>0.603623235432592</v>
      </c>
      <c r="J1680" s="14">
        <v>0.76983427440851304</v>
      </c>
      <c r="K1680" s="14">
        <v>0.75779283520859197</v>
      </c>
      <c r="L1680" s="14">
        <v>0.859827213849095</v>
      </c>
      <c r="M1680" s="14"/>
      <c r="N1680" s="14">
        <v>0.76548747376461901</v>
      </c>
      <c r="O1680" s="14">
        <v>0.66259935965248196</v>
      </c>
      <c r="P1680" s="14">
        <v>0.662433662779365</v>
      </c>
      <c r="Q1680" s="14">
        <v>0.68314757875394905</v>
      </c>
      <c r="R1680" s="14"/>
      <c r="S1680" s="14">
        <v>0.67434187528449896</v>
      </c>
      <c r="T1680" s="14">
        <v>0.72791361745295502</v>
      </c>
      <c r="U1680" s="14">
        <v>0.67793705903117796</v>
      </c>
      <c r="V1680" s="14">
        <v>0.66449597012416095</v>
      </c>
      <c r="W1680" s="14">
        <v>0.58292902231788601</v>
      </c>
      <c r="X1680" s="14">
        <v>0.72541623844641001</v>
      </c>
      <c r="Y1680" s="14">
        <v>0.82317703336596404</v>
      </c>
      <c r="Z1680" s="14">
        <v>0.72027664399114</v>
      </c>
      <c r="AA1680" s="14">
        <v>0.70187462577185</v>
      </c>
      <c r="AB1680" s="14"/>
      <c r="AC1680" s="14">
        <v>0.70086428905119702</v>
      </c>
      <c r="AD1680" s="14">
        <v>0.70376535294434595</v>
      </c>
      <c r="AE1680" s="14">
        <v>0.71638175424690897</v>
      </c>
      <c r="AF1680" s="14">
        <v>0.64660985167698504</v>
      </c>
      <c r="AG1680" s="14">
        <v>0.82757519474358199</v>
      </c>
      <c r="AH1680" s="14"/>
      <c r="AI1680" s="14">
        <v>0.69305436026380396</v>
      </c>
      <c r="AJ1680" s="14">
        <v>0.72854111462986204</v>
      </c>
      <c r="AK1680" s="14">
        <v>0.56911261475767405</v>
      </c>
      <c r="AL1680" s="14">
        <v>0.71664859965254302</v>
      </c>
      <c r="AM1680" s="14">
        <v>0.79322703089671598</v>
      </c>
      <c r="AN1680" s="14">
        <v>0.836391243191559</v>
      </c>
      <c r="AO1680" s="14"/>
      <c r="AP1680" s="14">
        <v>0.74311676555642103</v>
      </c>
      <c r="AQ1680" s="14">
        <v>0.65483964089121804</v>
      </c>
      <c r="AR1680" s="14"/>
      <c r="AS1680" s="14" t="s">
        <v>88</v>
      </c>
      <c r="AT1680" s="14" t="s">
        <v>88</v>
      </c>
      <c r="AU1680" s="14">
        <v>0.70036983134610797</v>
      </c>
      <c r="AV1680" s="14"/>
      <c r="AW1680" s="14">
        <v>0.70700862967204503</v>
      </c>
      <c r="AX1680" s="14">
        <v>0.67906278893273597</v>
      </c>
      <c r="AY1680" s="14"/>
      <c r="AZ1680" s="14">
        <v>0.71487478675260396</v>
      </c>
      <c r="BA1680" s="14">
        <v>0.59818285847772901</v>
      </c>
    </row>
    <row r="1681" spans="2:53" x14ac:dyDescent="0.35">
      <c r="B1681" t="s">
        <v>233</v>
      </c>
      <c r="C1681" s="14">
        <v>0.143176198623614</v>
      </c>
      <c r="D1681" s="14">
        <v>0.127021347730807</v>
      </c>
      <c r="E1681" s="14">
        <v>0.16062690457166301</v>
      </c>
      <c r="F1681" s="14"/>
      <c r="G1681" s="14">
        <v>0</v>
      </c>
      <c r="H1681" s="14">
        <v>0.13611126106135699</v>
      </c>
      <c r="I1681" s="14">
        <v>0.184060046806133</v>
      </c>
      <c r="J1681" s="14">
        <v>9.0478181576237604E-2</v>
      </c>
      <c r="K1681" s="14">
        <v>0.17264737811422701</v>
      </c>
      <c r="L1681" s="14">
        <v>0.140172786150905</v>
      </c>
      <c r="M1681" s="14"/>
      <c r="N1681" s="14">
        <v>0.109851982054759</v>
      </c>
      <c r="O1681" s="14">
        <v>0.124761509374522</v>
      </c>
      <c r="P1681" s="14">
        <v>0.20813543002152801</v>
      </c>
      <c r="Q1681" s="14">
        <v>0.13209315530503901</v>
      </c>
      <c r="R1681" s="14"/>
      <c r="S1681" s="14">
        <v>0.133497419071201</v>
      </c>
      <c r="T1681" s="14">
        <v>0.15474491458083101</v>
      </c>
      <c r="U1681" s="14">
        <v>0.11174085976012001</v>
      </c>
      <c r="V1681" s="14">
        <v>0.175919318638107</v>
      </c>
      <c r="W1681" s="14">
        <v>0.27967364040891701</v>
      </c>
      <c r="X1681" s="14">
        <v>0.12703461984363501</v>
      </c>
      <c r="Y1681" s="14">
        <v>5.8828762407296002E-2</v>
      </c>
      <c r="Z1681" s="14">
        <v>0.147020819931341</v>
      </c>
      <c r="AA1681" s="14">
        <v>0.124882346716402</v>
      </c>
      <c r="AB1681" s="14"/>
      <c r="AC1681" s="14">
        <v>0.13391614800278601</v>
      </c>
      <c r="AD1681" s="14">
        <v>0.158469873724945</v>
      </c>
      <c r="AE1681" s="14">
        <v>0.142959121774346</v>
      </c>
      <c r="AF1681" s="14">
        <v>0.131184751761035</v>
      </c>
      <c r="AG1681" s="14">
        <v>9.8130135485583095E-2</v>
      </c>
      <c r="AH1681" s="14"/>
      <c r="AI1681" s="14">
        <v>0.142544853133768</v>
      </c>
      <c r="AJ1681" s="14">
        <v>0.17076072559995201</v>
      </c>
      <c r="AK1681" s="14">
        <v>0.12881480042954899</v>
      </c>
      <c r="AL1681" s="14">
        <v>0.15689399360376</v>
      </c>
      <c r="AM1681" s="14">
        <v>4.5618355092065403E-2</v>
      </c>
      <c r="AN1681" s="14">
        <v>0</v>
      </c>
      <c r="AO1681" s="14"/>
      <c r="AP1681" s="14">
        <v>0.13515900869523001</v>
      </c>
      <c r="AQ1681" s="14">
        <v>0.15306645953814199</v>
      </c>
      <c r="AR1681" s="14"/>
      <c r="AS1681" s="14" t="s">
        <v>88</v>
      </c>
      <c r="AT1681" s="14" t="s">
        <v>88</v>
      </c>
      <c r="AU1681" s="14">
        <v>0.143176198623614</v>
      </c>
      <c r="AV1681" s="14"/>
      <c r="AW1681" s="14">
        <v>0.14077433006940199</v>
      </c>
      <c r="AX1681" s="14">
        <v>0.15987321224854001</v>
      </c>
      <c r="AY1681" s="14"/>
      <c r="AZ1681" s="14">
        <v>0.14362324723280401</v>
      </c>
      <c r="BA1681" s="14">
        <v>0.14219835879659801</v>
      </c>
    </row>
    <row r="1682" spans="2:53" x14ac:dyDescent="0.35">
      <c r="B1682" t="s">
        <v>116</v>
      </c>
      <c r="C1682" s="14">
        <v>4.9600911248208097E-2</v>
      </c>
      <c r="D1682" s="14">
        <v>2.9355817012899601E-2</v>
      </c>
      <c r="E1682" s="14">
        <v>7.5941825050085898E-2</v>
      </c>
      <c r="F1682" s="14"/>
      <c r="G1682" s="14">
        <v>1</v>
      </c>
      <c r="H1682" s="14">
        <v>0</v>
      </c>
      <c r="I1682" s="14">
        <v>6.1586223396423299E-2</v>
      </c>
      <c r="J1682" s="14">
        <v>5.2595304424596298E-2</v>
      </c>
      <c r="K1682" s="14">
        <v>3.11797292594722E-2</v>
      </c>
      <c r="L1682" s="14">
        <v>0</v>
      </c>
      <c r="M1682" s="14"/>
      <c r="N1682" s="14">
        <v>4.7717507567940902E-2</v>
      </c>
      <c r="O1682" s="14">
        <v>6.1476305314476898E-2</v>
      </c>
      <c r="P1682" s="14">
        <v>3.6560354056617603E-2</v>
      </c>
      <c r="Q1682" s="14">
        <v>5.7681543867236201E-2</v>
      </c>
      <c r="R1682" s="14"/>
      <c r="S1682" s="14">
        <v>4.0896640105049203E-2</v>
      </c>
      <c r="T1682" s="14">
        <v>5.8191138950599401E-2</v>
      </c>
      <c r="U1682" s="14">
        <v>1.52487493248313E-2</v>
      </c>
      <c r="V1682" s="14">
        <v>8.9838434817218898E-2</v>
      </c>
      <c r="W1682" s="14">
        <v>5.9233007799743803E-2</v>
      </c>
      <c r="X1682" s="14">
        <v>6.5918983727434502E-2</v>
      </c>
      <c r="Y1682" s="14">
        <v>1.08252101606694E-2</v>
      </c>
      <c r="Z1682" s="14">
        <v>1.6337449299446801E-2</v>
      </c>
      <c r="AA1682" s="14">
        <v>6.8335197165653602E-2</v>
      </c>
      <c r="AB1682" s="14"/>
      <c r="AC1682" s="14">
        <v>4.1297406981708099E-2</v>
      </c>
      <c r="AD1682" s="14">
        <v>5.1373501691420097E-2</v>
      </c>
      <c r="AE1682" s="14">
        <v>4.67627475284359E-2</v>
      </c>
      <c r="AF1682" s="14">
        <v>3.4098202468156799E-2</v>
      </c>
      <c r="AG1682" s="14">
        <v>4.6468962098491301E-2</v>
      </c>
      <c r="AH1682" s="14"/>
      <c r="AI1682" s="14">
        <v>4.7735166128169297E-2</v>
      </c>
      <c r="AJ1682" s="14">
        <v>2.9340545823328401E-2</v>
      </c>
      <c r="AK1682" s="14">
        <v>8.5900663687220699E-2</v>
      </c>
      <c r="AL1682" s="14">
        <v>3.8350481984011302E-2</v>
      </c>
      <c r="AM1682" s="14">
        <v>2.4521233900296799E-2</v>
      </c>
      <c r="AN1682" s="14">
        <v>3.4587349348023398E-2</v>
      </c>
      <c r="AO1682" s="14"/>
      <c r="AP1682" s="14">
        <v>4.3404154822690999E-2</v>
      </c>
      <c r="AQ1682" s="14">
        <v>5.2023517679237803E-2</v>
      </c>
      <c r="AR1682" s="14"/>
      <c r="AS1682" s="14" t="s">
        <v>88</v>
      </c>
      <c r="AT1682" s="14" t="s">
        <v>88</v>
      </c>
      <c r="AU1682" s="14">
        <v>4.9600911248208097E-2</v>
      </c>
      <c r="AV1682" s="14"/>
      <c r="AW1682" s="14">
        <v>5.0852167640886001E-2</v>
      </c>
      <c r="AX1682" s="14">
        <v>3.6735876738757597E-2</v>
      </c>
      <c r="AY1682" s="14"/>
      <c r="AZ1682" s="14">
        <v>3.8590386871294798E-2</v>
      </c>
      <c r="BA1682" s="14">
        <v>0.124635732650252</v>
      </c>
    </row>
    <row r="1683" spans="2:53" x14ac:dyDescent="0.35"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  <c r="AO1683" s="14"/>
      <c r="AP1683" s="14"/>
      <c r="AQ1683" s="14"/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</row>
    <row r="1684" spans="2:53" x14ac:dyDescent="0.35">
      <c r="B1684" s="6" t="s">
        <v>388</v>
      </c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  <c r="AO1684" s="14"/>
      <c r="AP1684" s="14"/>
      <c r="AQ1684" s="14"/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</row>
    <row r="1685" spans="2:53" x14ac:dyDescent="0.35">
      <c r="B1685" s="30" t="s">
        <v>463</v>
      </c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  <c r="AO1685" s="14"/>
      <c r="AP1685" s="14"/>
      <c r="AQ1685" s="14"/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</row>
    <row r="1686" spans="2:53" x14ac:dyDescent="0.35">
      <c r="B1686" t="s">
        <v>235</v>
      </c>
      <c r="C1686" s="14">
        <v>0.47025700908727702</v>
      </c>
      <c r="D1686" s="14">
        <v>0.47625253084990399</v>
      </c>
      <c r="E1686" s="14">
        <v>0.46040591178876999</v>
      </c>
      <c r="F1686" s="14"/>
      <c r="G1686" s="14">
        <v>0</v>
      </c>
      <c r="H1686" s="14">
        <v>0.37550421811747797</v>
      </c>
      <c r="I1686" s="14">
        <v>0.43631161637523802</v>
      </c>
      <c r="J1686" s="14">
        <v>0.48734805601515901</v>
      </c>
      <c r="K1686" s="14">
        <v>0.53061588773505097</v>
      </c>
      <c r="L1686" s="14">
        <v>0.798683422536975</v>
      </c>
      <c r="M1686" s="14"/>
      <c r="N1686" s="14">
        <v>0.52033618568578399</v>
      </c>
      <c r="O1686" s="14">
        <v>0.42860901759386399</v>
      </c>
      <c r="P1686" s="14">
        <v>0.42878507474835698</v>
      </c>
      <c r="Q1686" s="14">
        <v>0.49420166691761402</v>
      </c>
      <c r="R1686" s="14"/>
      <c r="S1686" s="14">
        <v>0.545258790803549</v>
      </c>
      <c r="T1686" s="14">
        <v>0.47734280415182601</v>
      </c>
      <c r="U1686" s="14">
        <v>0.49352235707427899</v>
      </c>
      <c r="V1686" s="14">
        <v>0.53138981944502295</v>
      </c>
      <c r="W1686" s="14">
        <v>0.38179365585133901</v>
      </c>
      <c r="X1686" s="14">
        <v>0.29044844801761699</v>
      </c>
      <c r="Y1686" s="14">
        <v>0.48095422583189401</v>
      </c>
      <c r="Z1686" s="14">
        <v>0.42736194562080698</v>
      </c>
      <c r="AA1686" s="14">
        <v>0.51516034693497803</v>
      </c>
      <c r="AB1686" s="14"/>
      <c r="AC1686" s="14">
        <v>0.47110272576739998</v>
      </c>
      <c r="AD1686" s="14">
        <v>0.46037365238417799</v>
      </c>
      <c r="AE1686" s="14">
        <v>0.449932855772461</v>
      </c>
      <c r="AF1686" s="14">
        <v>0.45463656584596202</v>
      </c>
      <c r="AG1686" s="14">
        <v>0.61299285905484902</v>
      </c>
      <c r="AH1686" s="14"/>
      <c r="AI1686" s="14">
        <v>0.48119895891481601</v>
      </c>
      <c r="AJ1686" s="14">
        <v>0.41875015024154999</v>
      </c>
      <c r="AK1686" s="14">
        <v>0.42481381401982299</v>
      </c>
      <c r="AL1686" s="14">
        <v>0.55055079728617495</v>
      </c>
      <c r="AM1686" s="14">
        <v>0.453931821406859</v>
      </c>
      <c r="AN1686" s="14">
        <v>0.50942291338054502</v>
      </c>
      <c r="AO1686" s="14"/>
      <c r="AP1686" s="14">
        <v>0.49571045095938998</v>
      </c>
      <c r="AQ1686" s="14">
        <v>0.43848684811458499</v>
      </c>
      <c r="AR1686" s="14"/>
      <c r="AS1686" s="14" t="s">
        <v>88</v>
      </c>
      <c r="AT1686" s="14" t="s">
        <v>88</v>
      </c>
      <c r="AU1686" s="14">
        <v>0.47025700908727702</v>
      </c>
      <c r="AV1686" s="14"/>
      <c r="AW1686" s="14">
        <v>0.45914159895251999</v>
      </c>
      <c r="AX1686" s="14">
        <v>0.53806079914239002</v>
      </c>
      <c r="AY1686" s="14"/>
      <c r="AZ1686" s="14">
        <v>0.47711011402731202</v>
      </c>
      <c r="BA1686" s="14">
        <v>0.416446198843967</v>
      </c>
    </row>
    <row r="1687" spans="2:53" x14ac:dyDescent="0.35">
      <c r="B1687" t="s">
        <v>236</v>
      </c>
      <c r="C1687" s="14">
        <v>0.45333266270658201</v>
      </c>
      <c r="D1687" s="14">
        <v>0.45777211973110998</v>
      </c>
      <c r="E1687" s="14">
        <v>0.44940439737193599</v>
      </c>
      <c r="F1687" s="14"/>
      <c r="G1687" s="14">
        <v>1</v>
      </c>
      <c r="H1687" s="14">
        <v>0.47215133028330603</v>
      </c>
      <c r="I1687" s="14">
        <v>0.47057076635015699</v>
      </c>
      <c r="J1687" s="14">
        <v>0.48282461896238499</v>
      </c>
      <c r="K1687" s="14">
        <v>0.34904215349850598</v>
      </c>
      <c r="L1687" s="14">
        <v>0.18207518942784101</v>
      </c>
      <c r="M1687" s="14"/>
      <c r="N1687" s="14">
        <v>0.43953788792503001</v>
      </c>
      <c r="O1687" s="14">
        <v>0.475673101800343</v>
      </c>
      <c r="P1687" s="14">
        <v>0.48844522523834499</v>
      </c>
      <c r="Q1687" s="14">
        <v>0.39968567211294997</v>
      </c>
      <c r="R1687" s="14"/>
      <c r="S1687" s="14">
        <v>0.39506778837747297</v>
      </c>
      <c r="T1687" s="14">
        <v>0.41832671589180698</v>
      </c>
      <c r="U1687" s="14">
        <v>0.47083529268824498</v>
      </c>
      <c r="V1687" s="14">
        <v>0.38166198244319</v>
      </c>
      <c r="W1687" s="14">
        <v>0.54187136678278103</v>
      </c>
      <c r="X1687" s="14">
        <v>0.59002012393741599</v>
      </c>
      <c r="Y1687" s="14">
        <v>0.51362602020148396</v>
      </c>
      <c r="Z1687" s="14">
        <v>0.46445248978894799</v>
      </c>
      <c r="AA1687" s="14">
        <v>0.40278969941453702</v>
      </c>
      <c r="AB1687" s="14"/>
      <c r="AC1687" s="14">
        <v>0.449881554059258</v>
      </c>
      <c r="AD1687" s="14">
        <v>0.47108287283147399</v>
      </c>
      <c r="AE1687" s="14">
        <v>0.47222027167661301</v>
      </c>
      <c r="AF1687" s="14">
        <v>0.47139960811196302</v>
      </c>
      <c r="AG1687" s="14">
        <v>0.29226572048111799</v>
      </c>
      <c r="AH1687" s="14"/>
      <c r="AI1687" s="14">
        <v>0.46211872512205698</v>
      </c>
      <c r="AJ1687" s="14">
        <v>0.489910113196528</v>
      </c>
      <c r="AK1687" s="14">
        <v>0.48267593939966102</v>
      </c>
      <c r="AL1687" s="14">
        <v>0.359600819704958</v>
      </c>
      <c r="AM1687" s="14">
        <v>0.500449817737744</v>
      </c>
      <c r="AN1687" s="14">
        <v>0.42139533423221198</v>
      </c>
      <c r="AO1687" s="14"/>
      <c r="AP1687" s="14">
        <v>0.42651018637543903</v>
      </c>
      <c r="AQ1687" s="14">
        <v>0.48629533995707303</v>
      </c>
      <c r="AR1687" s="14"/>
      <c r="AS1687" s="14" t="s">
        <v>88</v>
      </c>
      <c r="AT1687" s="14" t="s">
        <v>88</v>
      </c>
      <c r="AU1687" s="14">
        <v>0.45333266270658201</v>
      </c>
      <c r="AV1687" s="14"/>
      <c r="AW1687" s="14">
        <v>0.45855034611117101</v>
      </c>
      <c r="AX1687" s="14">
        <v>0.41904962010836599</v>
      </c>
      <c r="AY1687" s="14"/>
      <c r="AZ1687" s="14">
        <v>0.44706399084012</v>
      </c>
      <c r="BA1687" s="14">
        <v>0.50210945437129195</v>
      </c>
    </row>
    <row r="1688" spans="2:53" x14ac:dyDescent="0.35">
      <c r="B1688" t="s">
        <v>237</v>
      </c>
      <c r="C1688" s="14">
        <v>5.24008317353203E-2</v>
      </c>
      <c r="D1688" s="14">
        <v>4.2162835487731198E-2</v>
      </c>
      <c r="E1688" s="14">
        <v>6.5830244753002795E-2</v>
      </c>
      <c r="F1688" s="14"/>
      <c r="G1688" s="14">
        <v>0</v>
      </c>
      <c r="H1688" s="14">
        <v>0.11271141774604999</v>
      </c>
      <c r="I1688" s="14">
        <v>5.8489714458345402E-2</v>
      </c>
      <c r="J1688" s="14">
        <v>1.06880878417708E-2</v>
      </c>
      <c r="K1688" s="14">
        <v>0.12034195876644301</v>
      </c>
      <c r="L1688" s="14">
        <v>1.9241388035183601E-2</v>
      </c>
      <c r="M1688" s="14"/>
      <c r="N1688" s="14">
        <v>3.4710047563202E-2</v>
      </c>
      <c r="O1688" s="14">
        <v>6.5636162859399605E-2</v>
      </c>
      <c r="P1688" s="14">
        <v>5.5075816956161601E-2</v>
      </c>
      <c r="Q1688" s="14">
        <v>6.3590275739939306E-2</v>
      </c>
      <c r="R1688" s="14"/>
      <c r="S1688" s="14">
        <v>5.1531499635155797E-2</v>
      </c>
      <c r="T1688" s="14">
        <v>7.0634221470882705E-2</v>
      </c>
      <c r="U1688" s="14">
        <v>3.5642350237475903E-2</v>
      </c>
      <c r="V1688" s="14">
        <v>6.2594163843072106E-2</v>
      </c>
      <c r="W1688" s="14">
        <v>7.6334977365880699E-2</v>
      </c>
      <c r="X1688" s="14">
        <v>7.7077686183142993E-2</v>
      </c>
      <c r="Y1688" s="14">
        <v>5.41975396662239E-3</v>
      </c>
      <c r="Z1688" s="14">
        <v>5.05975093964839E-2</v>
      </c>
      <c r="AA1688" s="14">
        <v>3.0313672808103698E-2</v>
      </c>
      <c r="AB1688" s="14"/>
      <c r="AC1688" s="14">
        <v>5.1975641967298702E-2</v>
      </c>
      <c r="AD1688" s="14">
        <v>5.0690732930611097E-2</v>
      </c>
      <c r="AE1688" s="14">
        <v>5.7392921402919399E-2</v>
      </c>
      <c r="AF1688" s="14">
        <v>4.7870378874539897E-2</v>
      </c>
      <c r="AG1688" s="14">
        <v>9.4741420464032305E-2</v>
      </c>
      <c r="AH1688" s="14"/>
      <c r="AI1688" s="14">
        <v>4.3175266184550698E-2</v>
      </c>
      <c r="AJ1688" s="14">
        <v>8.3061828229065701E-2</v>
      </c>
      <c r="AK1688" s="14">
        <v>6.5954072802848998E-2</v>
      </c>
      <c r="AL1688" s="14">
        <v>3.1010934904462498E-2</v>
      </c>
      <c r="AM1688" s="14">
        <v>4.5618360855396299E-2</v>
      </c>
      <c r="AN1688" s="14">
        <v>6.9181752387243306E-2</v>
      </c>
      <c r="AO1688" s="14"/>
      <c r="AP1688" s="14">
        <v>4.5602636821140602E-2</v>
      </c>
      <c r="AQ1688" s="14">
        <v>6.04476975656573E-2</v>
      </c>
      <c r="AR1688" s="14"/>
      <c r="AS1688" s="14" t="s">
        <v>88</v>
      </c>
      <c r="AT1688" s="14" t="s">
        <v>88</v>
      </c>
      <c r="AU1688" s="14">
        <v>5.24008317353203E-2</v>
      </c>
      <c r="AV1688" s="14"/>
      <c r="AW1688" s="14">
        <v>5.7694784184061099E-2</v>
      </c>
      <c r="AX1688" s="14">
        <v>2.5372656411841499E-2</v>
      </c>
      <c r="AY1688" s="14"/>
      <c r="AZ1688" s="14">
        <v>5.0888028463910197E-2</v>
      </c>
      <c r="BA1688" s="14">
        <v>6.3359847938872602E-2</v>
      </c>
    </row>
    <row r="1689" spans="2:53" x14ac:dyDescent="0.35">
      <c r="B1689" t="s">
        <v>238</v>
      </c>
      <c r="C1689" s="14">
        <v>1.55757692084909E-2</v>
      </c>
      <c r="D1689" s="14">
        <v>1.88248478518507E-2</v>
      </c>
      <c r="E1689" s="14">
        <v>1.14420815333058E-2</v>
      </c>
      <c r="F1689" s="14"/>
      <c r="G1689" s="14">
        <v>0</v>
      </c>
      <c r="H1689" s="14">
        <v>3.9633033853166202E-2</v>
      </c>
      <c r="I1689" s="14">
        <v>1.3480049806063901E-2</v>
      </c>
      <c r="J1689" s="14">
        <v>1.9139237180685002E-2</v>
      </c>
      <c r="K1689" s="14">
        <v>0</v>
      </c>
      <c r="L1689" s="14">
        <v>0</v>
      </c>
      <c r="M1689" s="14"/>
      <c r="N1689" s="14">
        <v>5.4158788259838601E-3</v>
      </c>
      <c r="O1689" s="14">
        <v>2.3413678995601601E-2</v>
      </c>
      <c r="P1689" s="14">
        <v>8.2199254652083591E-3</v>
      </c>
      <c r="Q1689" s="14">
        <v>3.3199750665224403E-2</v>
      </c>
      <c r="R1689" s="14"/>
      <c r="S1689" s="14">
        <v>8.1419211838224294E-3</v>
      </c>
      <c r="T1689" s="14">
        <v>3.3696258485484201E-2</v>
      </c>
      <c r="U1689" s="14">
        <v>0</v>
      </c>
      <c r="V1689" s="14">
        <v>0</v>
      </c>
      <c r="W1689" s="14">
        <v>0</v>
      </c>
      <c r="X1689" s="14">
        <v>0</v>
      </c>
      <c r="Y1689" s="14">
        <v>0</v>
      </c>
      <c r="Z1689" s="14">
        <v>5.7588055193760798E-2</v>
      </c>
      <c r="AA1689" s="14">
        <v>4.0234893271930097E-2</v>
      </c>
      <c r="AB1689" s="14"/>
      <c r="AC1689" s="14">
        <v>1.9225341280049799E-2</v>
      </c>
      <c r="AD1689" s="14">
        <v>5.7028028847869996E-3</v>
      </c>
      <c r="AE1689" s="14">
        <v>1.1887687815122601E-2</v>
      </c>
      <c r="AF1689" s="14">
        <v>2.60934471675353E-2</v>
      </c>
      <c r="AG1689" s="14">
        <v>0</v>
      </c>
      <c r="AH1689" s="14"/>
      <c r="AI1689" s="14">
        <v>8.5248784994851196E-3</v>
      </c>
      <c r="AJ1689" s="14">
        <v>8.2779083328567808E-3</v>
      </c>
      <c r="AK1689" s="14">
        <v>0</v>
      </c>
      <c r="AL1689" s="14">
        <v>4.90981984372241E-2</v>
      </c>
      <c r="AM1689" s="14">
        <v>0</v>
      </c>
      <c r="AN1689" s="14">
        <v>0</v>
      </c>
      <c r="AO1689" s="14"/>
      <c r="AP1689" s="14">
        <v>1.98799546409145E-2</v>
      </c>
      <c r="AQ1689" s="14">
        <v>1.0720935241717701E-2</v>
      </c>
      <c r="AR1689" s="14"/>
      <c r="AS1689" s="14" t="s">
        <v>88</v>
      </c>
      <c r="AT1689" s="14" t="s">
        <v>88</v>
      </c>
      <c r="AU1689" s="14">
        <v>1.55757692084909E-2</v>
      </c>
      <c r="AV1689" s="14"/>
      <c r="AW1689" s="14">
        <v>1.6473201853127201E-2</v>
      </c>
      <c r="AX1689" s="14">
        <v>1.7516924337402699E-2</v>
      </c>
      <c r="AY1689" s="14"/>
      <c r="AZ1689" s="14">
        <v>1.7915946935098799E-2</v>
      </c>
      <c r="BA1689" s="14">
        <v>0</v>
      </c>
    </row>
    <row r="1690" spans="2:53" x14ac:dyDescent="0.35">
      <c r="B1690" t="s">
        <v>116</v>
      </c>
      <c r="C1690" s="14">
        <v>8.4337272623298092E-3</v>
      </c>
      <c r="D1690" s="14">
        <v>4.98766607940464E-3</v>
      </c>
      <c r="E1690" s="14">
        <v>1.29173645529855E-2</v>
      </c>
      <c r="F1690" s="14"/>
      <c r="G1690" s="14">
        <v>0</v>
      </c>
      <c r="H1690" s="14">
        <v>0</v>
      </c>
      <c r="I1690" s="14">
        <v>2.1147853010195498E-2</v>
      </c>
      <c r="J1690" s="14">
        <v>0</v>
      </c>
      <c r="K1690" s="14">
        <v>0</v>
      </c>
      <c r="L1690" s="14">
        <v>0</v>
      </c>
      <c r="M1690" s="14"/>
      <c r="N1690" s="14">
        <v>0</v>
      </c>
      <c r="O1690" s="14">
        <v>6.6680387507912896E-3</v>
      </c>
      <c r="P1690" s="14">
        <v>1.94739575919281E-2</v>
      </c>
      <c r="Q1690" s="14">
        <v>9.3226345642723005E-3</v>
      </c>
      <c r="R1690" s="14"/>
      <c r="S1690" s="14">
        <v>0</v>
      </c>
      <c r="T1690" s="14">
        <v>0</v>
      </c>
      <c r="U1690" s="14">
        <v>0</v>
      </c>
      <c r="V1690" s="14">
        <v>2.43540342687147E-2</v>
      </c>
      <c r="W1690" s="14">
        <v>0</v>
      </c>
      <c r="X1690" s="14">
        <v>4.24537418618239E-2</v>
      </c>
      <c r="Y1690" s="14">
        <v>0</v>
      </c>
      <c r="Z1690" s="14">
        <v>0</v>
      </c>
      <c r="AA1690" s="14">
        <v>1.15013875704511E-2</v>
      </c>
      <c r="AB1690" s="14"/>
      <c r="AC1690" s="14">
        <v>7.8147369259927799E-3</v>
      </c>
      <c r="AD1690" s="14">
        <v>1.2149938968949401E-2</v>
      </c>
      <c r="AE1690" s="14">
        <v>8.5662633328837893E-3</v>
      </c>
      <c r="AF1690" s="14">
        <v>0</v>
      </c>
      <c r="AG1690" s="14">
        <v>0</v>
      </c>
      <c r="AH1690" s="14"/>
      <c r="AI1690" s="14">
        <v>4.9821712790909601E-3</v>
      </c>
      <c r="AJ1690" s="14">
        <v>0</v>
      </c>
      <c r="AK1690" s="14">
        <v>2.65561737776672E-2</v>
      </c>
      <c r="AL1690" s="14">
        <v>9.7392496671796207E-3</v>
      </c>
      <c r="AM1690" s="14">
        <v>0</v>
      </c>
      <c r="AN1690" s="14">
        <v>0</v>
      </c>
      <c r="AO1690" s="14"/>
      <c r="AP1690" s="14">
        <v>1.22967712031163E-2</v>
      </c>
      <c r="AQ1690" s="14">
        <v>4.0491791209666802E-3</v>
      </c>
      <c r="AR1690" s="14"/>
      <c r="AS1690" s="14" t="s">
        <v>88</v>
      </c>
      <c r="AT1690" s="14" t="s">
        <v>88</v>
      </c>
      <c r="AU1690" s="14">
        <v>8.4337272623298092E-3</v>
      </c>
      <c r="AV1690" s="14"/>
      <c r="AW1690" s="14">
        <v>8.1400688991205093E-3</v>
      </c>
      <c r="AX1690" s="14">
        <v>0</v>
      </c>
      <c r="AY1690" s="14"/>
      <c r="AZ1690" s="14">
        <v>7.0219197335590804E-3</v>
      </c>
      <c r="BA1690" s="14">
        <v>1.8084498845868199E-2</v>
      </c>
    </row>
    <row r="1691" spans="2:53" x14ac:dyDescent="0.35"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/>
      <c r="AN1691" s="14"/>
      <c r="AO1691" s="14"/>
      <c r="AP1691" s="14"/>
      <c r="AQ1691" s="14"/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</row>
    <row r="1692" spans="2:53" x14ac:dyDescent="0.35">
      <c r="B1692" s="6" t="s">
        <v>389</v>
      </c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  <c r="AO1692" s="14"/>
      <c r="AP1692" s="14"/>
      <c r="AQ1692" s="14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</row>
    <row r="1693" spans="2:53" x14ac:dyDescent="0.35">
      <c r="B1693" s="30" t="s">
        <v>463</v>
      </c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/>
      <c r="AN1693" s="14"/>
      <c r="AO1693" s="14"/>
      <c r="AP1693" s="14"/>
      <c r="AQ1693" s="14"/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</row>
    <row r="1694" spans="2:53" x14ac:dyDescent="0.35">
      <c r="B1694" t="s">
        <v>220</v>
      </c>
      <c r="C1694" s="14">
        <v>0.32764784312635498</v>
      </c>
      <c r="D1694" s="14">
        <v>0.372778924617991</v>
      </c>
      <c r="E1694" s="14">
        <v>0.266691420221984</v>
      </c>
      <c r="F1694" s="14"/>
      <c r="G1694" s="14">
        <v>1</v>
      </c>
      <c r="H1694" s="14">
        <v>0.45000086259831201</v>
      </c>
      <c r="I1694" s="14">
        <v>0.364679962481683</v>
      </c>
      <c r="J1694" s="14">
        <v>0.26237577212586699</v>
      </c>
      <c r="K1694" s="14">
        <v>0.32594930725211901</v>
      </c>
      <c r="L1694" s="14">
        <v>0.24603747639648199</v>
      </c>
      <c r="M1694" s="14"/>
      <c r="N1694" s="14">
        <v>0.41924467625866002</v>
      </c>
      <c r="O1694" s="14">
        <v>0.25208909475666103</v>
      </c>
      <c r="P1694" s="14">
        <v>0.30178627673784603</v>
      </c>
      <c r="Q1694" s="14">
        <v>0.29952866630404901</v>
      </c>
      <c r="R1694" s="14"/>
      <c r="S1694" s="14">
        <v>0.38339924057255398</v>
      </c>
      <c r="T1694" s="14">
        <v>0.35365302692742001</v>
      </c>
      <c r="U1694" s="14">
        <v>0.285394707390975</v>
      </c>
      <c r="V1694" s="14">
        <v>0.34844717840656197</v>
      </c>
      <c r="W1694" s="14">
        <v>0.37299295111324798</v>
      </c>
      <c r="X1694" s="14">
        <v>0.29607015671563303</v>
      </c>
      <c r="Y1694" s="14">
        <v>0.28372540214977499</v>
      </c>
      <c r="Z1694" s="14">
        <v>0.22066248417711501</v>
      </c>
      <c r="AA1694" s="14">
        <v>0.30691229839279499</v>
      </c>
      <c r="AB1694" s="14"/>
      <c r="AC1694" s="14">
        <v>0.23156700493794999</v>
      </c>
      <c r="AD1694" s="14">
        <v>0.280508677177986</v>
      </c>
      <c r="AE1694" s="14">
        <v>0.355572525405905</v>
      </c>
      <c r="AF1694" s="14">
        <v>0.448143573081008</v>
      </c>
      <c r="AG1694" s="14">
        <v>0.66038731451983601</v>
      </c>
      <c r="AH1694" s="14"/>
      <c r="AI1694" s="14">
        <v>0.37332879347005399</v>
      </c>
      <c r="AJ1694" s="14">
        <v>0.28909521992973303</v>
      </c>
      <c r="AK1694" s="14">
        <v>0.38153974328378198</v>
      </c>
      <c r="AL1694" s="14">
        <v>0.33577373041922798</v>
      </c>
      <c r="AM1694" s="14">
        <v>0.323634932549004</v>
      </c>
      <c r="AN1694" s="14">
        <v>0.38107634863464102</v>
      </c>
      <c r="AO1694" s="14"/>
      <c r="AP1694" s="14">
        <v>0.336668380354395</v>
      </c>
      <c r="AQ1694" s="14">
        <v>0.31892511149429797</v>
      </c>
      <c r="AR1694" s="14"/>
      <c r="AS1694" s="14" t="s">
        <v>88</v>
      </c>
      <c r="AT1694" s="14" t="s">
        <v>88</v>
      </c>
      <c r="AU1694" s="14">
        <v>0.32764784312635498</v>
      </c>
      <c r="AV1694" s="14"/>
      <c r="AW1694" s="14">
        <v>0.30566895254129001</v>
      </c>
      <c r="AX1694" s="14">
        <v>0.47666346321131398</v>
      </c>
      <c r="AY1694" s="14"/>
      <c r="AZ1694" s="14">
        <v>0.359712343344048</v>
      </c>
      <c r="BA1694" s="14">
        <v>0.101612025052672</v>
      </c>
    </row>
    <row r="1695" spans="2:53" x14ac:dyDescent="0.35">
      <c r="B1695" t="s">
        <v>221</v>
      </c>
      <c r="C1695" s="14">
        <v>0.45808668544195402</v>
      </c>
      <c r="D1695" s="14">
        <v>0.43470784961296199</v>
      </c>
      <c r="E1695" s="14">
        <v>0.49010044359103899</v>
      </c>
      <c r="F1695" s="14"/>
      <c r="G1695" s="14">
        <v>0</v>
      </c>
      <c r="H1695" s="14">
        <v>0.30759043073803499</v>
      </c>
      <c r="I1695" s="14">
        <v>0.44203027341628698</v>
      </c>
      <c r="J1695" s="14">
        <v>0.51135301446537895</v>
      </c>
      <c r="K1695" s="14">
        <v>0.40771215723790899</v>
      </c>
      <c r="L1695" s="14">
        <v>0.72582102694264605</v>
      </c>
      <c r="M1695" s="14"/>
      <c r="N1695" s="14">
        <v>0.43223126361185799</v>
      </c>
      <c r="O1695" s="14">
        <v>0.49900587490665999</v>
      </c>
      <c r="P1695" s="14">
        <v>0.44536136023308398</v>
      </c>
      <c r="Q1695" s="14">
        <v>0.46651441507687202</v>
      </c>
      <c r="R1695" s="14"/>
      <c r="S1695" s="14">
        <v>0.44016119214712501</v>
      </c>
      <c r="T1695" s="14">
        <v>0.43953541625669801</v>
      </c>
      <c r="U1695" s="14">
        <v>0.30718462645476402</v>
      </c>
      <c r="V1695" s="14">
        <v>0.488377778477882</v>
      </c>
      <c r="W1695" s="14">
        <v>0.367842794046914</v>
      </c>
      <c r="X1695" s="14">
        <v>0.53357809766909003</v>
      </c>
      <c r="Y1695" s="14">
        <v>0.55890600404760105</v>
      </c>
      <c r="Z1695" s="14">
        <v>0.57022554023382699</v>
      </c>
      <c r="AA1695" s="14">
        <v>0.46200701418663198</v>
      </c>
      <c r="AB1695" s="14"/>
      <c r="AC1695" s="14">
        <v>0.457443300169113</v>
      </c>
      <c r="AD1695" s="14">
        <v>0.52270408393668599</v>
      </c>
      <c r="AE1695" s="14">
        <v>0.44515965779439798</v>
      </c>
      <c r="AF1695" s="14">
        <v>0.38571057161004801</v>
      </c>
      <c r="AG1695" s="14">
        <v>0.28497575629239502</v>
      </c>
      <c r="AH1695" s="14"/>
      <c r="AI1695" s="14">
        <v>0.459440445617676</v>
      </c>
      <c r="AJ1695" s="14">
        <v>0.57258687167415501</v>
      </c>
      <c r="AK1695" s="14">
        <v>0.37327804615408799</v>
      </c>
      <c r="AL1695" s="14">
        <v>0.34140582340348302</v>
      </c>
      <c r="AM1695" s="14">
        <v>0.41241895595147399</v>
      </c>
      <c r="AN1695" s="14">
        <v>0.38560001185718701</v>
      </c>
      <c r="AO1695" s="14"/>
      <c r="AP1695" s="14">
        <v>0.45314893632814701</v>
      </c>
      <c r="AQ1695" s="14">
        <v>0.465998496159997</v>
      </c>
      <c r="AR1695" s="14"/>
      <c r="AS1695" s="14" t="s">
        <v>88</v>
      </c>
      <c r="AT1695" s="14" t="s">
        <v>88</v>
      </c>
      <c r="AU1695" s="14">
        <v>0.45808668544195402</v>
      </c>
      <c r="AV1695" s="14"/>
      <c r="AW1695" s="14">
        <v>0.46033552217923202</v>
      </c>
      <c r="AX1695" s="14">
        <v>0.43150968948792001</v>
      </c>
      <c r="AY1695" s="14"/>
      <c r="AZ1695" s="14">
        <v>0.47015169844114402</v>
      </c>
      <c r="BA1695" s="14">
        <v>0.383167101041191</v>
      </c>
    </row>
    <row r="1696" spans="2:53" x14ac:dyDescent="0.35">
      <c r="B1696" t="s">
        <v>222</v>
      </c>
      <c r="C1696" s="14">
        <v>9.3956756842396502E-2</v>
      </c>
      <c r="D1696" s="14">
        <v>8.4337237947232302E-2</v>
      </c>
      <c r="E1696" s="14">
        <v>0.106752925442313</v>
      </c>
      <c r="F1696" s="14"/>
      <c r="G1696" s="14">
        <v>0</v>
      </c>
      <c r="H1696" s="14">
        <v>0.116865098851199</v>
      </c>
      <c r="I1696" s="14">
        <v>9.6699694738342404E-2</v>
      </c>
      <c r="J1696" s="14">
        <v>6.1892610525828597E-2</v>
      </c>
      <c r="K1696" s="14">
        <v>0.17554112038105901</v>
      </c>
      <c r="L1696" s="14">
        <v>2.8141496660872199E-2</v>
      </c>
      <c r="M1696" s="14"/>
      <c r="N1696" s="14">
        <v>5.7787600247033798E-2</v>
      </c>
      <c r="O1696" s="14">
        <v>0.106842428753417</v>
      </c>
      <c r="P1696" s="14">
        <v>9.6314925634498505E-2</v>
      </c>
      <c r="Q1696" s="14">
        <v>0.13565054137452301</v>
      </c>
      <c r="R1696" s="14"/>
      <c r="S1696" s="14">
        <v>4.8272512236856399E-2</v>
      </c>
      <c r="T1696" s="14">
        <v>6.94020778527836E-2</v>
      </c>
      <c r="U1696" s="14">
        <v>0.23788579909039401</v>
      </c>
      <c r="V1696" s="14">
        <v>6.6004868403636105E-2</v>
      </c>
      <c r="W1696" s="14">
        <v>0.127497164580055</v>
      </c>
      <c r="X1696" s="14">
        <v>3.0340307205255199E-2</v>
      </c>
      <c r="Y1696" s="14">
        <v>6.7217640795460401E-2</v>
      </c>
      <c r="Z1696" s="14">
        <v>0.166983405821442</v>
      </c>
      <c r="AA1696" s="14">
        <v>0.12953525848969799</v>
      </c>
      <c r="AB1696" s="14"/>
      <c r="AC1696" s="14">
        <v>0.118059868429853</v>
      </c>
      <c r="AD1696" s="14">
        <v>0.111303064546561</v>
      </c>
      <c r="AE1696" s="14">
        <v>9.8377543053466104E-2</v>
      </c>
      <c r="AF1696" s="14">
        <v>6.8180583077798396E-2</v>
      </c>
      <c r="AG1696" s="14">
        <v>1.7645154165926401E-2</v>
      </c>
      <c r="AH1696" s="14"/>
      <c r="AI1696" s="14">
        <v>4.94539377431326E-2</v>
      </c>
      <c r="AJ1696" s="14">
        <v>5.7687166839702E-2</v>
      </c>
      <c r="AK1696" s="14">
        <v>0.15792024407368299</v>
      </c>
      <c r="AL1696" s="14">
        <v>0.1519703647</v>
      </c>
      <c r="AM1696" s="14">
        <v>0.144582090127819</v>
      </c>
      <c r="AN1696" s="14">
        <v>9.5628576803102494E-2</v>
      </c>
      <c r="AO1696" s="14"/>
      <c r="AP1696" s="14">
        <v>8.7613781287640705E-2</v>
      </c>
      <c r="AQ1696" s="14">
        <v>9.6765184998269901E-2</v>
      </c>
      <c r="AR1696" s="14"/>
      <c r="AS1696" s="14" t="s">
        <v>88</v>
      </c>
      <c r="AT1696" s="14" t="s">
        <v>88</v>
      </c>
      <c r="AU1696" s="14">
        <v>9.3956756842396502E-2</v>
      </c>
      <c r="AV1696" s="14"/>
      <c r="AW1696" s="14">
        <v>9.8805608579382101E-2</v>
      </c>
      <c r="AX1696" s="14">
        <v>4.6056195387726401E-2</v>
      </c>
      <c r="AY1696" s="14"/>
      <c r="AZ1696" s="14">
        <v>6.7857634620467594E-2</v>
      </c>
      <c r="BA1696" s="14">
        <v>0.27148127347074003</v>
      </c>
    </row>
    <row r="1697" spans="2:53" x14ac:dyDescent="0.35">
      <c r="B1697" t="s">
        <v>223</v>
      </c>
      <c r="C1697" s="14">
        <v>3.71711136643589E-2</v>
      </c>
      <c r="D1697" s="14">
        <v>2.20991357370433E-2</v>
      </c>
      <c r="E1697" s="14">
        <v>5.6782253386790403E-2</v>
      </c>
      <c r="F1697" s="14"/>
      <c r="G1697" s="14">
        <v>0</v>
      </c>
      <c r="H1697" s="14">
        <v>3.0093251899461101E-2</v>
      </c>
      <c r="I1697" s="14">
        <v>3.6293315231786E-2</v>
      </c>
      <c r="J1697" s="14">
        <v>4.9769121427695101E-2</v>
      </c>
      <c r="K1697" s="14">
        <v>1.6475524764461E-2</v>
      </c>
      <c r="L1697" s="14">
        <v>0</v>
      </c>
      <c r="M1697" s="14"/>
      <c r="N1697" s="14">
        <v>1.2704344361156901E-2</v>
      </c>
      <c r="O1697" s="14">
        <v>1.7263738321188001E-2</v>
      </c>
      <c r="P1697" s="14">
        <v>6.3922809860372201E-2</v>
      </c>
      <c r="Q1697" s="14">
        <v>6.2327948274692603E-2</v>
      </c>
      <c r="R1697" s="14"/>
      <c r="S1697" s="14">
        <v>3.6170168493230903E-2</v>
      </c>
      <c r="T1697" s="14">
        <v>7.5847804113739703E-2</v>
      </c>
      <c r="U1697" s="14">
        <v>2.8368179449736901E-2</v>
      </c>
      <c r="V1697" s="14">
        <v>0</v>
      </c>
      <c r="W1697" s="14">
        <v>5.49647880110102E-2</v>
      </c>
      <c r="X1697" s="14">
        <v>3.4708122858640701E-2</v>
      </c>
      <c r="Y1697" s="14">
        <v>4.4351180427508297E-2</v>
      </c>
      <c r="Z1697" s="14">
        <v>3.3949056839043902E-2</v>
      </c>
      <c r="AA1697" s="14">
        <v>8.5998433829120608E-3</v>
      </c>
      <c r="AB1697" s="14"/>
      <c r="AC1697" s="14">
        <v>5.15132994230212E-2</v>
      </c>
      <c r="AD1697" s="14">
        <v>3.8997567893434497E-2</v>
      </c>
      <c r="AE1697" s="14">
        <v>2.4974014443770301E-2</v>
      </c>
      <c r="AF1697" s="14">
        <v>3.4295675904791399E-2</v>
      </c>
      <c r="AG1697" s="14">
        <v>0</v>
      </c>
      <c r="AH1697" s="14"/>
      <c r="AI1697" s="14">
        <v>3.5544602095912398E-2</v>
      </c>
      <c r="AJ1697" s="14">
        <v>2.6466578224484099E-2</v>
      </c>
      <c r="AK1697" s="14">
        <v>1.30526943843636E-2</v>
      </c>
      <c r="AL1697" s="14">
        <v>5.6680875938310997E-2</v>
      </c>
      <c r="AM1697" s="14">
        <v>0</v>
      </c>
      <c r="AN1697" s="14">
        <v>0</v>
      </c>
      <c r="AO1697" s="14"/>
      <c r="AP1697" s="14">
        <v>3.6215428559795301E-2</v>
      </c>
      <c r="AQ1697" s="14">
        <v>3.8449016149615697E-2</v>
      </c>
      <c r="AR1697" s="14"/>
      <c r="AS1697" s="14" t="s">
        <v>88</v>
      </c>
      <c r="AT1697" s="14" t="s">
        <v>88</v>
      </c>
      <c r="AU1697" s="14">
        <v>3.71711136643589E-2</v>
      </c>
      <c r="AV1697" s="14"/>
      <c r="AW1697" s="14">
        <v>4.4696436973437503E-2</v>
      </c>
      <c r="AX1697" s="14">
        <v>5.7566408844264604E-3</v>
      </c>
      <c r="AY1697" s="14"/>
      <c r="AZ1697" s="14">
        <v>2.7418396661271102E-2</v>
      </c>
      <c r="BA1697" s="14">
        <v>0.10353782573695799</v>
      </c>
    </row>
    <row r="1698" spans="2:53" x14ac:dyDescent="0.35">
      <c r="B1698" t="s">
        <v>116</v>
      </c>
      <c r="C1698" s="14">
        <v>1.7780376748390898E-2</v>
      </c>
      <c r="D1698" s="14">
        <v>1.5524872151513099E-2</v>
      </c>
      <c r="E1698" s="14">
        <v>2.0763798073582501E-2</v>
      </c>
      <c r="F1698" s="14"/>
      <c r="G1698" s="14">
        <v>0</v>
      </c>
      <c r="H1698" s="14">
        <v>0</v>
      </c>
      <c r="I1698" s="14">
        <v>3.2986410423025803E-2</v>
      </c>
      <c r="J1698" s="14">
        <v>1.2705059328746399E-2</v>
      </c>
      <c r="K1698" s="14">
        <v>0</v>
      </c>
      <c r="L1698" s="14">
        <v>0</v>
      </c>
      <c r="M1698" s="14"/>
      <c r="N1698" s="14">
        <v>1.0739695532320499E-3</v>
      </c>
      <c r="O1698" s="14">
        <v>3.2991307194865697E-2</v>
      </c>
      <c r="P1698" s="14">
        <v>1.94739575919281E-2</v>
      </c>
      <c r="Q1698" s="14">
        <v>2.62259103074476E-2</v>
      </c>
      <c r="R1698" s="14"/>
      <c r="S1698" s="14">
        <v>2.03883571160841E-2</v>
      </c>
      <c r="T1698" s="14">
        <v>0</v>
      </c>
      <c r="U1698" s="14">
        <v>2.03936044952262E-2</v>
      </c>
      <c r="V1698" s="14">
        <v>2.43540342687147E-2</v>
      </c>
      <c r="W1698" s="14">
        <v>3.1750615076809499E-2</v>
      </c>
      <c r="X1698" s="14">
        <v>5.3425187387862297E-2</v>
      </c>
      <c r="Y1698" s="14">
        <v>0</v>
      </c>
      <c r="Z1698" s="14">
        <v>0</v>
      </c>
      <c r="AA1698" s="14">
        <v>1.15013875704511E-2</v>
      </c>
      <c r="AB1698" s="14"/>
      <c r="AC1698" s="14">
        <v>2.6655828216607901E-2</v>
      </c>
      <c r="AD1698" s="14">
        <v>2.30375004682353E-2</v>
      </c>
      <c r="AE1698" s="14">
        <v>1.9876494640123799E-2</v>
      </c>
      <c r="AF1698" s="14">
        <v>2.0732834448379399E-3</v>
      </c>
      <c r="AG1698" s="14">
        <v>0</v>
      </c>
      <c r="AH1698" s="14"/>
      <c r="AI1698" s="14">
        <v>1.4924249728811999E-2</v>
      </c>
      <c r="AJ1698" s="14">
        <v>5.7924787772706404E-3</v>
      </c>
      <c r="AK1698" s="14">
        <v>4.7802176550238697E-2</v>
      </c>
      <c r="AL1698" s="14">
        <v>2.70351364213606E-2</v>
      </c>
      <c r="AM1698" s="14">
        <v>0</v>
      </c>
      <c r="AN1698" s="14">
        <v>0</v>
      </c>
      <c r="AO1698" s="14"/>
      <c r="AP1698" s="14">
        <v>1.7661303294431701E-2</v>
      </c>
      <c r="AQ1698" s="14">
        <v>1.80043083714095E-2</v>
      </c>
      <c r="AR1698" s="14"/>
      <c r="AS1698" s="14" t="s">
        <v>88</v>
      </c>
      <c r="AT1698" s="14" t="s">
        <v>88</v>
      </c>
      <c r="AU1698" s="14">
        <v>1.7780376748390898E-2</v>
      </c>
      <c r="AV1698" s="14"/>
      <c r="AW1698" s="14">
        <v>2.0602949671193201E-2</v>
      </c>
      <c r="AX1698" s="14">
        <v>0</v>
      </c>
      <c r="AY1698" s="14"/>
      <c r="AZ1698" s="14">
        <v>1.3451267599685899E-2</v>
      </c>
      <c r="BA1698" s="14">
        <v>4.7257976727688097E-2</v>
      </c>
    </row>
    <row r="1699" spans="2:53" x14ac:dyDescent="0.35">
      <c r="B1699" t="s">
        <v>224</v>
      </c>
      <c r="C1699" s="14">
        <v>0.78573452856830905</v>
      </c>
      <c r="D1699" s="14">
        <v>0.80748677423095305</v>
      </c>
      <c r="E1699" s="14">
        <v>0.75679186381302399</v>
      </c>
      <c r="F1699" s="14"/>
      <c r="G1699" s="14">
        <v>1</v>
      </c>
      <c r="H1699" s="14">
        <v>0.757591293336347</v>
      </c>
      <c r="I1699" s="14">
        <v>0.80671023589797097</v>
      </c>
      <c r="J1699" s="14">
        <v>0.773728786591246</v>
      </c>
      <c r="K1699" s="14">
        <v>0.733661464490029</v>
      </c>
      <c r="L1699" s="14">
        <v>0.97185850333912804</v>
      </c>
      <c r="M1699" s="14"/>
      <c r="N1699" s="14">
        <v>0.85147593987051795</v>
      </c>
      <c r="O1699" s="14">
        <v>0.75109496966332101</v>
      </c>
      <c r="P1699" s="14">
        <v>0.74714763697093001</v>
      </c>
      <c r="Q1699" s="14">
        <v>0.76604308138092103</v>
      </c>
      <c r="R1699" s="14"/>
      <c r="S1699" s="14">
        <v>0.82356043271967805</v>
      </c>
      <c r="T1699" s="14">
        <v>0.79318844318411796</v>
      </c>
      <c r="U1699" s="14">
        <v>0.59257933384573902</v>
      </c>
      <c r="V1699" s="14">
        <v>0.83682495688444403</v>
      </c>
      <c r="W1699" s="14">
        <v>0.74083574516016204</v>
      </c>
      <c r="X1699" s="14">
        <v>0.82964825438472301</v>
      </c>
      <c r="Y1699" s="14">
        <v>0.84263140619737598</v>
      </c>
      <c r="Z1699" s="14">
        <v>0.79088802441094097</v>
      </c>
      <c r="AA1699" s="14">
        <v>0.76891931257942803</v>
      </c>
      <c r="AB1699" s="14"/>
      <c r="AC1699" s="14">
        <v>0.68901030510706296</v>
      </c>
      <c r="AD1699" s="14">
        <v>0.80321276111467199</v>
      </c>
      <c r="AE1699" s="14">
        <v>0.80073218320030304</v>
      </c>
      <c r="AF1699" s="14">
        <v>0.83385414469105701</v>
      </c>
      <c r="AG1699" s="14">
        <v>0.94536307081223103</v>
      </c>
      <c r="AH1699" s="14"/>
      <c r="AI1699" s="14">
        <v>0.83276923908773004</v>
      </c>
      <c r="AJ1699" s="14">
        <v>0.86168209160388698</v>
      </c>
      <c r="AK1699" s="14">
        <v>0.75481778943786904</v>
      </c>
      <c r="AL1699" s="14">
        <v>0.677179553822711</v>
      </c>
      <c r="AM1699" s="14">
        <v>0.73605388850047804</v>
      </c>
      <c r="AN1699" s="14">
        <v>0.76667636049182797</v>
      </c>
      <c r="AO1699" s="14"/>
      <c r="AP1699" s="14">
        <v>0.78981731668254096</v>
      </c>
      <c r="AQ1699" s="14">
        <v>0.78492360765429503</v>
      </c>
      <c r="AR1699" s="14"/>
      <c r="AS1699" s="14" t="s">
        <v>88</v>
      </c>
      <c r="AT1699" s="14" t="s">
        <v>88</v>
      </c>
      <c r="AU1699" s="14">
        <v>0.78573452856830905</v>
      </c>
      <c r="AV1699" s="14"/>
      <c r="AW1699" s="14">
        <v>0.76600447472052202</v>
      </c>
      <c r="AX1699" s="14">
        <v>0.90817315269923404</v>
      </c>
      <c r="AY1699" s="14"/>
      <c r="AZ1699" s="14">
        <v>0.82986404178519102</v>
      </c>
      <c r="BA1699" s="14">
        <v>0.48477912609386298</v>
      </c>
    </row>
    <row r="1700" spans="2:53" x14ac:dyDescent="0.35"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</row>
    <row r="1701" spans="2:53" x14ac:dyDescent="0.35">
      <c r="B1701" s="6" t="s">
        <v>390</v>
      </c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  <c r="AO1701" s="14"/>
      <c r="AP1701" s="14"/>
      <c r="AQ1701" s="14"/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</row>
    <row r="1702" spans="2:53" x14ac:dyDescent="0.35">
      <c r="B1702" s="24" t="s">
        <v>101</v>
      </c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/>
      <c r="AO1702" s="14"/>
      <c r="AP1702" s="14"/>
      <c r="AQ1702" s="14"/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</row>
    <row r="1703" spans="2:53" x14ac:dyDescent="0.35">
      <c r="B1703" t="s">
        <v>154</v>
      </c>
      <c r="C1703" s="14">
        <v>0.40193733395293302</v>
      </c>
      <c r="D1703" s="14">
        <v>0.41789944172335097</v>
      </c>
      <c r="E1703" s="14">
        <v>0.38673808290786599</v>
      </c>
      <c r="F1703" s="14"/>
      <c r="G1703" s="14">
        <v>0</v>
      </c>
      <c r="H1703" s="14">
        <v>0.45311273312377198</v>
      </c>
      <c r="I1703" s="14">
        <v>0.415800002799111</v>
      </c>
      <c r="J1703" s="14">
        <v>0.382117172883437</v>
      </c>
      <c r="K1703" s="14">
        <v>0.37219883176223401</v>
      </c>
      <c r="L1703" s="14">
        <v>0.52574320809868802</v>
      </c>
      <c r="M1703" s="14"/>
      <c r="N1703" s="14">
        <v>0.414785575610017</v>
      </c>
      <c r="O1703" s="14">
        <v>0.39374114558664403</v>
      </c>
      <c r="P1703" s="14">
        <v>0.40253754611389803</v>
      </c>
      <c r="Q1703" s="14">
        <v>0.38787244806480098</v>
      </c>
      <c r="R1703" s="14"/>
      <c r="S1703" s="14">
        <v>0.50038238318085904</v>
      </c>
      <c r="T1703" s="14">
        <v>0.39486389276650802</v>
      </c>
      <c r="U1703" s="14">
        <v>0.32370622890477602</v>
      </c>
      <c r="V1703" s="14">
        <v>0.36488260806415601</v>
      </c>
      <c r="W1703" s="14">
        <v>0.442304805511605</v>
      </c>
      <c r="X1703" s="14">
        <v>0.437931308296931</v>
      </c>
      <c r="Y1703" s="14">
        <v>0.322274573943164</v>
      </c>
      <c r="Z1703" s="14">
        <v>0.45606593649813398</v>
      </c>
      <c r="AA1703" s="14">
        <v>0.36870108233170501</v>
      </c>
      <c r="AB1703" s="14"/>
      <c r="AC1703" s="14">
        <v>0.33926086346342499</v>
      </c>
      <c r="AD1703" s="14">
        <v>0.42031749348448499</v>
      </c>
      <c r="AE1703" s="14">
        <v>0.41898269194607102</v>
      </c>
      <c r="AF1703" s="14">
        <v>0.53174254163615398</v>
      </c>
      <c r="AG1703" s="14">
        <v>0.485167225877976</v>
      </c>
      <c r="AH1703" s="14"/>
      <c r="AI1703" s="14">
        <v>0.42867111844164801</v>
      </c>
      <c r="AJ1703" s="14">
        <v>0.43730524589548903</v>
      </c>
      <c r="AK1703" s="14">
        <v>0.38492116387361303</v>
      </c>
      <c r="AL1703" s="14">
        <v>0.36782533037445397</v>
      </c>
      <c r="AM1703" s="14">
        <v>0.45783074592594197</v>
      </c>
      <c r="AN1703" s="14">
        <v>0.234547940757354</v>
      </c>
      <c r="AO1703" s="14"/>
      <c r="AP1703" s="14">
        <v>0.433248880255583</v>
      </c>
      <c r="AQ1703" s="14">
        <v>0.36710626506893801</v>
      </c>
      <c r="AR1703" s="14"/>
      <c r="AS1703" s="14" t="s">
        <v>88</v>
      </c>
      <c r="AT1703" s="14" t="s">
        <v>88</v>
      </c>
      <c r="AU1703" s="14">
        <v>0.40193733395293302</v>
      </c>
      <c r="AV1703" s="14"/>
      <c r="AW1703" s="14">
        <v>0.39665464151854701</v>
      </c>
      <c r="AX1703" s="14">
        <v>0.49345906751762098</v>
      </c>
      <c r="AY1703" s="14"/>
      <c r="AZ1703" s="14">
        <v>0.420194744974138</v>
      </c>
      <c r="BA1703" s="14">
        <v>0.33627374739794702</v>
      </c>
    </row>
    <row r="1704" spans="2:53" x14ac:dyDescent="0.35">
      <c r="B1704" t="s">
        <v>155</v>
      </c>
      <c r="C1704" s="14">
        <v>0.32881763929082097</v>
      </c>
      <c r="D1704" s="14">
        <v>0.36402550216642598</v>
      </c>
      <c r="E1704" s="14">
        <v>0.29445050133774903</v>
      </c>
      <c r="F1704" s="14"/>
      <c r="G1704" s="14">
        <v>1</v>
      </c>
      <c r="H1704" s="14">
        <v>0.36651857645068397</v>
      </c>
      <c r="I1704" s="14">
        <v>0.33345777572921897</v>
      </c>
      <c r="J1704" s="14">
        <v>0.31214488328850198</v>
      </c>
      <c r="K1704" s="14">
        <v>0.336253299973231</v>
      </c>
      <c r="L1704" s="14">
        <v>0.28877198637488799</v>
      </c>
      <c r="M1704" s="14"/>
      <c r="N1704" s="14">
        <v>0.368800021338409</v>
      </c>
      <c r="O1704" s="14">
        <v>0.33456956093726897</v>
      </c>
      <c r="P1704" s="14">
        <v>0.33201147917524299</v>
      </c>
      <c r="Q1704" s="14">
        <v>0.27925785214849302</v>
      </c>
      <c r="R1704" s="14"/>
      <c r="S1704" s="14">
        <v>0.29141679945744497</v>
      </c>
      <c r="T1704" s="14">
        <v>0.32284007156078098</v>
      </c>
      <c r="U1704" s="14">
        <v>0.38386640265079602</v>
      </c>
      <c r="V1704" s="14">
        <v>0.34461571230882099</v>
      </c>
      <c r="W1704" s="14">
        <v>0.33377869349667599</v>
      </c>
      <c r="X1704" s="14">
        <v>0.28475604768450602</v>
      </c>
      <c r="Y1704" s="14">
        <v>0.37562529176753401</v>
      </c>
      <c r="Z1704" s="14">
        <v>0.322319131892843</v>
      </c>
      <c r="AA1704" s="14">
        <v>0.32096318511493499</v>
      </c>
      <c r="AB1704" s="14"/>
      <c r="AC1704" s="14">
        <v>0.31214795619935298</v>
      </c>
      <c r="AD1704" s="14">
        <v>0.33466510676748901</v>
      </c>
      <c r="AE1704" s="14">
        <v>0.33613584568819099</v>
      </c>
      <c r="AF1704" s="14">
        <v>0.33724658238223698</v>
      </c>
      <c r="AG1704" s="14">
        <v>0.39188628775950501</v>
      </c>
      <c r="AH1704" s="14"/>
      <c r="AI1704" s="14">
        <v>0.29860603229768101</v>
      </c>
      <c r="AJ1704" s="14">
        <v>0.33376855972082398</v>
      </c>
      <c r="AK1704" s="14">
        <v>0.36645111989093099</v>
      </c>
      <c r="AL1704" s="14">
        <v>0.34346247741439401</v>
      </c>
      <c r="AM1704" s="14">
        <v>0.36698961353905202</v>
      </c>
      <c r="AN1704" s="14">
        <v>0.41947811398422502</v>
      </c>
      <c r="AO1704" s="14"/>
      <c r="AP1704" s="14">
        <v>0.30939165991809697</v>
      </c>
      <c r="AQ1704" s="14">
        <v>0.35271785192080901</v>
      </c>
      <c r="AR1704" s="14"/>
      <c r="AS1704" s="14" t="s">
        <v>88</v>
      </c>
      <c r="AT1704" s="14" t="s">
        <v>88</v>
      </c>
      <c r="AU1704" s="14">
        <v>0.32881763929082097</v>
      </c>
      <c r="AV1704" s="14"/>
      <c r="AW1704" s="14">
        <v>0.32206133937846598</v>
      </c>
      <c r="AX1704" s="14">
        <v>0.36004923276991502</v>
      </c>
      <c r="AY1704" s="14"/>
      <c r="AZ1704" s="14">
        <v>0.33948952617848499</v>
      </c>
      <c r="BA1704" s="14">
        <v>0.29364923664556702</v>
      </c>
    </row>
    <row r="1705" spans="2:53" x14ac:dyDescent="0.35">
      <c r="B1705" t="s">
        <v>116</v>
      </c>
      <c r="C1705" s="14">
        <v>0.26924502675624601</v>
      </c>
      <c r="D1705" s="14">
        <v>0.21807505611022199</v>
      </c>
      <c r="E1705" s="14">
        <v>0.31881141575438399</v>
      </c>
      <c r="F1705" s="14"/>
      <c r="G1705" s="14">
        <v>0</v>
      </c>
      <c r="H1705" s="14">
        <v>0.18036869042554399</v>
      </c>
      <c r="I1705" s="14">
        <v>0.25074222147167002</v>
      </c>
      <c r="J1705" s="14">
        <v>0.30573794382806102</v>
      </c>
      <c r="K1705" s="14">
        <v>0.29154786826453499</v>
      </c>
      <c r="L1705" s="14">
        <v>0.18548480552642399</v>
      </c>
      <c r="M1705" s="14"/>
      <c r="N1705" s="14">
        <v>0.216414403051573</v>
      </c>
      <c r="O1705" s="14">
        <v>0.271689293476087</v>
      </c>
      <c r="P1705" s="14">
        <v>0.26545097471085899</v>
      </c>
      <c r="Q1705" s="14">
        <v>0.332869699786707</v>
      </c>
      <c r="R1705" s="14"/>
      <c r="S1705" s="14">
        <v>0.20820081736169599</v>
      </c>
      <c r="T1705" s="14">
        <v>0.28229603567271</v>
      </c>
      <c r="U1705" s="14">
        <v>0.29242736844442802</v>
      </c>
      <c r="V1705" s="14">
        <v>0.290501679627023</v>
      </c>
      <c r="W1705" s="14">
        <v>0.223916500991718</v>
      </c>
      <c r="X1705" s="14">
        <v>0.27731264401856298</v>
      </c>
      <c r="Y1705" s="14">
        <v>0.30210013428930199</v>
      </c>
      <c r="Z1705" s="14">
        <v>0.22161493160902301</v>
      </c>
      <c r="AA1705" s="14">
        <v>0.31033573255336</v>
      </c>
      <c r="AB1705" s="14"/>
      <c r="AC1705" s="14">
        <v>0.34859118033722197</v>
      </c>
      <c r="AD1705" s="14">
        <v>0.245017399748026</v>
      </c>
      <c r="AE1705" s="14">
        <v>0.24488146236573899</v>
      </c>
      <c r="AF1705" s="14">
        <v>0.13101087598160899</v>
      </c>
      <c r="AG1705" s="14">
        <v>0.12294648636251899</v>
      </c>
      <c r="AH1705" s="14"/>
      <c r="AI1705" s="14">
        <v>0.27272284926067097</v>
      </c>
      <c r="AJ1705" s="14">
        <v>0.228926194383688</v>
      </c>
      <c r="AK1705" s="14">
        <v>0.24862771623545599</v>
      </c>
      <c r="AL1705" s="14">
        <v>0.28871219221115202</v>
      </c>
      <c r="AM1705" s="14">
        <v>0.17517964053500601</v>
      </c>
      <c r="AN1705" s="14">
        <v>0.34597394525842101</v>
      </c>
      <c r="AO1705" s="14"/>
      <c r="AP1705" s="14">
        <v>0.25735945982632003</v>
      </c>
      <c r="AQ1705" s="14">
        <v>0.28017588301025298</v>
      </c>
      <c r="AR1705" s="14"/>
      <c r="AS1705" s="14" t="s">
        <v>88</v>
      </c>
      <c r="AT1705" s="14" t="s">
        <v>88</v>
      </c>
      <c r="AU1705" s="14">
        <v>0.26924502675624601</v>
      </c>
      <c r="AV1705" s="14"/>
      <c r="AW1705" s="14">
        <v>0.281284019102987</v>
      </c>
      <c r="AX1705" s="14">
        <v>0.14649169971246401</v>
      </c>
      <c r="AY1705" s="14"/>
      <c r="AZ1705" s="14">
        <v>0.24031572884737701</v>
      </c>
      <c r="BA1705" s="14">
        <v>0.37007701595648601</v>
      </c>
    </row>
    <row r="1706" spans="2:53" x14ac:dyDescent="0.35"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  <c r="AL1706" s="14"/>
      <c r="AM1706" s="14"/>
      <c r="AN1706" s="14"/>
      <c r="AO1706" s="14"/>
      <c r="AP1706" s="14"/>
      <c r="AQ1706" s="14"/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</row>
    <row r="1707" spans="2:53" x14ac:dyDescent="0.35">
      <c r="B1707" s="6" t="s">
        <v>391</v>
      </c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  <c r="AL1707" s="14"/>
      <c r="AM1707" s="14"/>
      <c r="AN1707" s="14"/>
      <c r="AO1707" s="14"/>
      <c r="AP1707" s="14"/>
      <c r="AQ1707" s="14"/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</row>
    <row r="1708" spans="2:53" x14ac:dyDescent="0.35">
      <c r="B1708" s="30" t="s">
        <v>463</v>
      </c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  <c r="AL1708" s="14"/>
      <c r="AM1708" s="14"/>
      <c r="AN1708" s="14"/>
      <c r="AO1708" s="14"/>
      <c r="AP1708" s="14"/>
      <c r="AQ1708" s="14"/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</row>
    <row r="1709" spans="2:53" x14ac:dyDescent="0.35">
      <c r="B1709" t="s">
        <v>214</v>
      </c>
      <c r="C1709" s="14">
        <v>0.224954306957729</v>
      </c>
      <c r="D1709" s="14">
        <v>0.27700728062983698</v>
      </c>
      <c r="E1709" s="14">
        <v>0.169257328827779</v>
      </c>
      <c r="F1709" s="14"/>
      <c r="G1709" s="14" t="s">
        <v>88</v>
      </c>
      <c r="H1709" s="14">
        <v>0.36563042542129298</v>
      </c>
      <c r="I1709" s="14">
        <v>0.26364130704793298</v>
      </c>
      <c r="J1709" s="14">
        <v>0.16325438057619199</v>
      </c>
      <c r="K1709" s="14">
        <v>0.18726448036840601</v>
      </c>
      <c r="L1709" s="14">
        <v>0.16680990241246399</v>
      </c>
      <c r="M1709" s="14"/>
      <c r="N1709" s="14">
        <v>0.27302125253077802</v>
      </c>
      <c r="O1709" s="14">
        <v>0.14771579809949201</v>
      </c>
      <c r="P1709" s="14">
        <v>0.22039316272945</v>
      </c>
      <c r="Q1709" s="14">
        <v>0.25818467002451001</v>
      </c>
      <c r="R1709" s="14"/>
      <c r="S1709" s="14">
        <v>0.293302087292035</v>
      </c>
      <c r="T1709" s="14">
        <v>0.23044523748762499</v>
      </c>
      <c r="U1709" s="14">
        <v>0.25214979576248397</v>
      </c>
      <c r="V1709" s="14">
        <v>0.22596853862661301</v>
      </c>
      <c r="W1709" s="14">
        <v>0.175446282197491</v>
      </c>
      <c r="X1709" s="14">
        <v>0.24042782668273199</v>
      </c>
      <c r="Y1709" s="14">
        <v>0.14189575910900301</v>
      </c>
      <c r="Z1709" s="14">
        <v>0.30509423063396302</v>
      </c>
      <c r="AA1709" s="14">
        <v>0.13837163050165799</v>
      </c>
      <c r="AB1709" s="14"/>
      <c r="AC1709" s="14">
        <v>0.188461316674712</v>
      </c>
      <c r="AD1709" s="14">
        <v>0.20703114678210799</v>
      </c>
      <c r="AE1709" s="14">
        <v>0.19439641568531901</v>
      </c>
      <c r="AF1709" s="14">
        <v>0.28162091291256203</v>
      </c>
      <c r="AG1709" s="14">
        <v>0.43179682484366799</v>
      </c>
      <c r="AH1709" s="14"/>
      <c r="AI1709" s="14">
        <v>0.32891816435942201</v>
      </c>
      <c r="AJ1709" s="14">
        <v>0.225107188063987</v>
      </c>
      <c r="AK1709" s="14">
        <v>0.26985176932080401</v>
      </c>
      <c r="AL1709" s="14">
        <v>0.12908603425664</v>
      </c>
      <c r="AM1709" s="14">
        <v>0.123605345398108</v>
      </c>
      <c r="AN1709" s="14">
        <v>0.10020477283967</v>
      </c>
      <c r="AO1709" s="14"/>
      <c r="AP1709" s="14">
        <v>0.23782790092473899</v>
      </c>
      <c r="AQ1709" s="14">
        <v>0.20534704121577199</v>
      </c>
      <c r="AR1709" s="14"/>
      <c r="AS1709" s="14" t="s">
        <v>88</v>
      </c>
      <c r="AT1709" s="14" t="s">
        <v>88</v>
      </c>
      <c r="AU1709" s="14">
        <v>0.224954306957729</v>
      </c>
      <c r="AV1709" s="14"/>
      <c r="AW1709" s="14">
        <v>0.21722687138817401</v>
      </c>
      <c r="AX1709" s="14">
        <v>0.29735653306965099</v>
      </c>
      <c r="AY1709" s="14"/>
      <c r="AZ1709" s="14">
        <v>0.25629455994468803</v>
      </c>
      <c r="BA1709" s="14">
        <v>8.5081005607085994E-2</v>
      </c>
    </row>
    <row r="1710" spans="2:53" x14ac:dyDescent="0.35">
      <c r="B1710" t="s">
        <v>215</v>
      </c>
      <c r="C1710" s="14">
        <v>0.48814113726020197</v>
      </c>
      <c r="D1710" s="14">
        <v>0.50558432630981498</v>
      </c>
      <c r="E1710" s="14">
        <v>0.46947682568536703</v>
      </c>
      <c r="F1710" s="14"/>
      <c r="G1710" s="14" t="s">
        <v>88</v>
      </c>
      <c r="H1710" s="14">
        <v>0.31773295683847302</v>
      </c>
      <c r="I1710" s="14">
        <v>0.48060908215400899</v>
      </c>
      <c r="J1710" s="14">
        <v>0.49006097915076802</v>
      </c>
      <c r="K1710" s="14">
        <v>0.58963193512316803</v>
      </c>
      <c r="L1710" s="14">
        <v>0.71569176906547505</v>
      </c>
      <c r="M1710" s="14"/>
      <c r="N1710" s="14">
        <v>0.45065557054845901</v>
      </c>
      <c r="O1710" s="14">
        <v>0.49763724422591399</v>
      </c>
      <c r="P1710" s="14">
        <v>0.552089412006605</v>
      </c>
      <c r="Q1710" s="14">
        <v>0.44272022663996402</v>
      </c>
      <c r="R1710" s="14"/>
      <c r="S1710" s="14">
        <v>0.52991483511823501</v>
      </c>
      <c r="T1710" s="14">
        <v>0.54190384178219198</v>
      </c>
      <c r="U1710" s="14">
        <v>0.38508919273200298</v>
      </c>
      <c r="V1710" s="14">
        <v>0.42454699654307398</v>
      </c>
      <c r="W1710" s="14">
        <v>0.38259095906575802</v>
      </c>
      <c r="X1710" s="14">
        <v>0.47242141681286498</v>
      </c>
      <c r="Y1710" s="14">
        <v>0.55696977880360699</v>
      </c>
      <c r="Z1710" s="14">
        <v>0.42885084124113498</v>
      </c>
      <c r="AA1710" s="14">
        <v>0.56638284801194205</v>
      </c>
      <c r="AB1710" s="14"/>
      <c r="AC1710" s="14">
        <v>0.52204294249504402</v>
      </c>
      <c r="AD1710" s="14">
        <v>0.52067492173891405</v>
      </c>
      <c r="AE1710" s="14">
        <v>0.48515381462694501</v>
      </c>
      <c r="AF1710" s="14">
        <v>0.53597968527045603</v>
      </c>
      <c r="AG1710" s="14">
        <v>0.30078147169465802</v>
      </c>
      <c r="AH1710" s="14"/>
      <c r="AI1710" s="14">
        <v>0.411489174574035</v>
      </c>
      <c r="AJ1710" s="14">
        <v>0.54683938822084499</v>
      </c>
      <c r="AK1710" s="14">
        <v>0.41535277712262803</v>
      </c>
      <c r="AL1710" s="14">
        <v>0.58213646627511895</v>
      </c>
      <c r="AM1710" s="14">
        <v>0.47445099445943301</v>
      </c>
      <c r="AN1710" s="14">
        <v>0.64652507931889303</v>
      </c>
      <c r="AO1710" s="14"/>
      <c r="AP1710" s="14">
        <v>0.50061636117140595</v>
      </c>
      <c r="AQ1710" s="14">
        <v>0.47269735713330702</v>
      </c>
      <c r="AR1710" s="14"/>
      <c r="AS1710" s="14" t="s">
        <v>88</v>
      </c>
      <c r="AT1710" s="14" t="s">
        <v>88</v>
      </c>
      <c r="AU1710" s="14">
        <v>0.48814113726020197</v>
      </c>
      <c r="AV1710" s="14"/>
      <c r="AW1710" s="14">
        <v>0.47022245221991099</v>
      </c>
      <c r="AX1710" s="14">
        <v>0.54717251287734303</v>
      </c>
      <c r="AY1710" s="14"/>
      <c r="AZ1710" s="14">
        <v>0.48526303976003199</v>
      </c>
      <c r="BA1710" s="14">
        <v>0.49554381162101002</v>
      </c>
    </row>
    <row r="1711" spans="2:53" x14ac:dyDescent="0.35">
      <c r="B1711" t="s">
        <v>216</v>
      </c>
      <c r="C1711" s="14">
        <v>0.139892160982063</v>
      </c>
      <c r="D1711" s="14">
        <v>9.7286299586949496E-2</v>
      </c>
      <c r="E1711" s="14">
        <v>0.185480675199894</v>
      </c>
      <c r="F1711" s="14"/>
      <c r="G1711" s="14" t="s">
        <v>88</v>
      </c>
      <c r="H1711" s="14">
        <v>0.162184783479632</v>
      </c>
      <c r="I1711" s="14">
        <v>0.120072288423538</v>
      </c>
      <c r="J1711" s="14">
        <v>0.179164772638084</v>
      </c>
      <c r="K1711" s="14">
        <v>8.9761868815575893E-2</v>
      </c>
      <c r="L1711" s="14">
        <v>4.4157271386964E-2</v>
      </c>
      <c r="M1711" s="14"/>
      <c r="N1711" s="14">
        <v>0.117186786687421</v>
      </c>
      <c r="O1711" s="14">
        <v>0.20229639042559799</v>
      </c>
      <c r="P1711" s="14">
        <v>0.13836400834388499</v>
      </c>
      <c r="Q1711" s="14">
        <v>0.109625149077136</v>
      </c>
      <c r="R1711" s="14"/>
      <c r="S1711" s="14">
        <v>7.4557304957192899E-2</v>
      </c>
      <c r="T1711" s="14">
        <v>0.111537469320191</v>
      </c>
      <c r="U1711" s="14">
        <v>0.18768228492841399</v>
      </c>
      <c r="V1711" s="14">
        <v>0.18223447546625199</v>
      </c>
      <c r="W1711" s="14">
        <v>0.19953092488212701</v>
      </c>
      <c r="X1711" s="14">
        <v>0.141921480908963</v>
      </c>
      <c r="Y1711" s="14">
        <v>0.13077782740410299</v>
      </c>
      <c r="Z1711" s="14">
        <v>0.12540660768832501</v>
      </c>
      <c r="AA1711" s="14">
        <v>0.170655498049993</v>
      </c>
      <c r="AB1711" s="14"/>
      <c r="AC1711" s="14">
        <v>0.108112100192333</v>
      </c>
      <c r="AD1711" s="14">
        <v>0.125069896320637</v>
      </c>
      <c r="AE1711" s="14">
        <v>0.20356551009125901</v>
      </c>
      <c r="AF1711" s="14">
        <v>6.8306027326156704E-2</v>
      </c>
      <c r="AG1711" s="14">
        <v>0.19066585234522401</v>
      </c>
      <c r="AH1711" s="14"/>
      <c r="AI1711" s="14">
        <v>0.13136467792317599</v>
      </c>
      <c r="AJ1711" s="14">
        <v>0.15158810225061201</v>
      </c>
      <c r="AK1711" s="14">
        <v>0.18960842015092599</v>
      </c>
      <c r="AL1711" s="14">
        <v>0.12994464232238501</v>
      </c>
      <c r="AM1711" s="14">
        <v>9.1878036814736802E-2</v>
      </c>
      <c r="AN1711" s="14">
        <v>0.120065596986664</v>
      </c>
      <c r="AO1711" s="14"/>
      <c r="AP1711" s="14">
        <v>0.14176972434167201</v>
      </c>
      <c r="AQ1711" s="14">
        <v>0.13775847276119799</v>
      </c>
      <c r="AR1711" s="14"/>
      <c r="AS1711" s="14" t="s">
        <v>88</v>
      </c>
      <c r="AT1711" s="14" t="s">
        <v>88</v>
      </c>
      <c r="AU1711" s="14">
        <v>0.139892160982063</v>
      </c>
      <c r="AV1711" s="14"/>
      <c r="AW1711" s="14">
        <v>0.148874892051028</v>
      </c>
      <c r="AX1711" s="14">
        <v>7.8045701342130805E-2</v>
      </c>
      <c r="AY1711" s="14"/>
      <c r="AZ1711" s="14">
        <v>0.134438551071354</v>
      </c>
      <c r="BA1711" s="14">
        <v>0.16621563453744501</v>
      </c>
    </row>
    <row r="1712" spans="2:53" x14ac:dyDescent="0.35">
      <c r="B1712" t="s">
        <v>217</v>
      </c>
      <c r="C1712" s="14">
        <v>4.33663087072238E-2</v>
      </c>
      <c r="D1712" s="14">
        <v>1.4694094994145399E-2</v>
      </c>
      <c r="E1712" s="14">
        <v>7.4045740590867506E-2</v>
      </c>
      <c r="F1712" s="14"/>
      <c r="G1712" s="14" t="s">
        <v>88</v>
      </c>
      <c r="H1712" s="14">
        <v>2.8365454309450401E-2</v>
      </c>
      <c r="I1712" s="14">
        <v>5.7195908155346697E-2</v>
      </c>
      <c r="J1712" s="14">
        <v>4.8829343548746199E-2</v>
      </c>
      <c r="K1712" s="14">
        <v>0</v>
      </c>
      <c r="L1712" s="14">
        <v>0</v>
      </c>
      <c r="M1712" s="14"/>
      <c r="N1712" s="14">
        <v>4.4415396341412998E-2</v>
      </c>
      <c r="O1712" s="14">
        <v>2.6998991378985399E-2</v>
      </c>
      <c r="P1712" s="14">
        <v>3.9113524363052501E-2</v>
      </c>
      <c r="Q1712" s="14">
        <v>6.4735264960514502E-2</v>
      </c>
      <c r="R1712" s="14"/>
      <c r="S1712" s="14">
        <v>8.5980097635174006E-3</v>
      </c>
      <c r="T1712" s="14">
        <v>4.5793730582884697E-2</v>
      </c>
      <c r="U1712" s="14">
        <v>1.92952625582378E-2</v>
      </c>
      <c r="V1712" s="14">
        <v>9.0217098193984699E-2</v>
      </c>
      <c r="W1712" s="14">
        <v>3.5937755855527297E-2</v>
      </c>
      <c r="X1712" s="14">
        <v>4.3468696746881003E-2</v>
      </c>
      <c r="Y1712" s="14">
        <v>4.04214640129157E-2</v>
      </c>
      <c r="Z1712" s="14">
        <v>8.2089568937105006E-2</v>
      </c>
      <c r="AA1712" s="14">
        <v>6.1185896601113801E-2</v>
      </c>
      <c r="AB1712" s="14"/>
      <c r="AC1712" s="14">
        <v>4.5762203184112102E-2</v>
      </c>
      <c r="AD1712" s="14">
        <v>6.4080620436085894E-2</v>
      </c>
      <c r="AE1712" s="14">
        <v>4.3827177369465398E-2</v>
      </c>
      <c r="AF1712" s="14">
        <v>3.2215296814615602E-2</v>
      </c>
      <c r="AG1712" s="14">
        <v>0</v>
      </c>
      <c r="AH1712" s="14"/>
      <c r="AI1712" s="14">
        <v>5.0866310553206999E-2</v>
      </c>
      <c r="AJ1712" s="14">
        <v>4.6001723149680901E-2</v>
      </c>
      <c r="AK1712" s="14">
        <v>2.7282704489478199E-2</v>
      </c>
      <c r="AL1712" s="14">
        <v>1.4589050682352601E-2</v>
      </c>
      <c r="AM1712" s="14">
        <v>4.46036539600983E-2</v>
      </c>
      <c r="AN1712" s="14">
        <v>0</v>
      </c>
      <c r="AO1712" s="14"/>
      <c r="AP1712" s="14">
        <v>2.4583708715807302E-2</v>
      </c>
      <c r="AQ1712" s="14">
        <v>6.8852232004073102E-2</v>
      </c>
      <c r="AR1712" s="14"/>
      <c r="AS1712" s="14" t="s">
        <v>88</v>
      </c>
      <c r="AT1712" s="14" t="s">
        <v>88</v>
      </c>
      <c r="AU1712" s="14">
        <v>4.33663087072238E-2</v>
      </c>
      <c r="AV1712" s="14"/>
      <c r="AW1712" s="14">
        <v>4.9278182832468702E-2</v>
      </c>
      <c r="AX1712" s="14">
        <v>2.9733768245702999E-3</v>
      </c>
      <c r="AY1712" s="14"/>
      <c r="AZ1712" s="14">
        <v>2.9275345281102701E-2</v>
      </c>
      <c r="BA1712" s="14">
        <v>0.107856201721151</v>
      </c>
    </row>
    <row r="1713" spans="2:53" x14ac:dyDescent="0.35">
      <c r="B1713" t="s">
        <v>116</v>
      </c>
      <c r="C1713" s="14">
        <v>2.9375513800395301E-2</v>
      </c>
      <c r="D1713" s="14">
        <v>7.3570026574079003E-3</v>
      </c>
      <c r="E1713" s="14">
        <v>5.2935446059214998E-2</v>
      </c>
      <c r="F1713" s="14"/>
      <c r="G1713" s="14" t="s">
        <v>88</v>
      </c>
      <c r="H1713" s="14">
        <v>3.6748152978079998E-2</v>
      </c>
      <c r="I1713" s="14">
        <v>1.37231153150673E-2</v>
      </c>
      <c r="J1713" s="14">
        <v>4.0250721371750897E-2</v>
      </c>
      <c r="K1713" s="14">
        <v>3.3153540494780399E-2</v>
      </c>
      <c r="L1713" s="14">
        <v>7.3341057135097004E-2</v>
      </c>
      <c r="M1713" s="14"/>
      <c r="N1713" s="14">
        <v>1.5000753758145099E-2</v>
      </c>
      <c r="O1713" s="14">
        <v>4.0984089606434501E-2</v>
      </c>
      <c r="P1713" s="14">
        <v>8.7181380771315098E-3</v>
      </c>
      <c r="Q1713" s="14">
        <v>5.6631366932019499E-2</v>
      </c>
      <c r="R1713" s="14"/>
      <c r="S1713" s="14">
        <v>2.1957256888239299E-2</v>
      </c>
      <c r="T1713" s="14">
        <v>2.5173292034355301E-3</v>
      </c>
      <c r="U1713" s="14">
        <v>4.5100650293189798E-2</v>
      </c>
      <c r="V1713" s="14">
        <v>4.2227857332163499E-2</v>
      </c>
      <c r="W1713" s="14">
        <v>7.2864232933355005E-2</v>
      </c>
      <c r="X1713" s="14">
        <v>3.0278246415060502E-2</v>
      </c>
      <c r="Y1713" s="14">
        <v>2.8700821276886699E-2</v>
      </c>
      <c r="Z1713" s="14">
        <v>5.8558751499471998E-2</v>
      </c>
      <c r="AA1713" s="14">
        <v>0</v>
      </c>
      <c r="AB1713" s="14"/>
      <c r="AC1713" s="14">
        <v>5.2132798656658597E-2</v>
      </c>
      <c r="AD1713" s="14">
        <v>1.4001477612476099E-2</v>
      </c>
      <c r="AE1713" s="14">
        <v>3.1582697937945103E-2</v>
      </c>
      <c r="AF1713" s="14">
        <v>3.8972726792667199E-3</v>
      </c>
      <c r="AG1713" s="14">
        <v>0</v>
      </c>
      <c r="AH1713" s="14"/>
      <c r="AI1713" s="14">
        <v>9.0485548062298297E-3</v>
      </c>
      <c r="AJ1713" s="14">
        <v>5.33584646822533E-3</v>
      </c>
      <c r="AK1713" s="14">
        <v>3.7412587668058703E-2</v>
      </c>
      <c r="AL1713" s="14">
        <v>1.3398159901951E-2</v>
      </c>
      <c r="AM1713" s="14">
        <v>3.5444587945671603E-2</v>
      </c>
      <c r="AN1713" s="14">
        <v>7.0368209092870504E-2</v>
      </c>
      <c r="AO1713" s="14"/>
      <c r="AP1713" s="14">
        <v>2.47424525399472E-2</v>
      </c>
      <c r="AQ1713" s="14">
        <v>3.5715679200366002E-2</v>
      </c>
      <c r="AR1713" s="14"/>
      <c r="AS1713" s="14" t="s">
        <v>88</v>
      </c>
      <c r="AT1713" s="14" t="s">
        <v>88</v>
      </c>
      <c r="AU1713" s="14">
        <v>2.9375513800395301E-2</v>
      </c>
      <c r="AV1713" s="14"/>
      <c r="AW1713" s="14">
        <v>3.4958272085797902E-2</v>
      </c>
      <c r="AX1713" s="14">
        <v>0</v>
      </c>
      <c r="AY1713" s="14"/>
      <c r="AZ1713" s="14">
        <v>1.6577568768547601E-2</v>
      </c>
      <c r="BA1713" s="14">
        <v>8.7836744609655695E-2</v>
      </c>
    </row>
    <row r="1714" spans="2:53" x14ac:dyDescent="0.35"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  <c r="AL1714" s="14"/>
      <c r="AM1714" s="14"/>
      <c r="AN1714" s="14"/>
      <c r="AO1714" s="14"/>
      <c r="AP1714" s="14"/>
      <c r="AQ1714" s="14"/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</row>
    <row r="1715" spans="2:53" x14ac:dyDescent="0.35">
      <c r="B1715" s="6" t="s">
        <v>392</v>
      </c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  <c r="AO1715" s="14"/>
      <c r="AP1715" s="14"/>
      <c r="AQ1715" s="14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</row>
    <row r="1716" spans="2:53" x14ac:dyDescent="0.35">
      <c r="B1716" s="30" t="s">
        <v>463</v>
      </c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F1716" s="14"/>
      <c r="AG1716" s="14"/>
      <c r="AH1716" s="14"/>
      <c r="AI1716" s="14"/>
      <c r="AJ1716" s="14"/>
      <c r="AK1716" s="14"/>
      <c r="AL1716" s="14"/>
      <c r="AM1716" s="14"/>
      <c r="AN1716" s="14"/>
      <c r="AO1716" s="14"/>
      <c r="AP1716" s="14"/>
      <c r="AQ1716" s="14"/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</row>
    <row r="1717" spans="2:53" x14ac:dyDescent="0.35">
      <c r="B1717" t="s">
        <v>220</v>
      </c>
      <c r="C1717" s="14">
        <v>0.23881711286174601</v>
      </c>
      <c r="D1717" s="14">
        <v>0.27217978652255698</v>
      </c>
      <c r="E1717" s="14">
        <v>0.20311886213455499</v>
      </c>
      <c r="F1717" s="14"/>
      <c r="G1717" s="14" t="s">
        <v>88</v>
      </c>
      <c r="H1717" s="14">
        <v>0.34134051736995003</v>
      </c>
      <c r="I1717" s="14">
        <v>0.24202595744854599</v>
      </c>
      <c r="J1717" s="14">
        <v>0.20084243393333101</v>
      </c>
      <c r="K1717" s="14">
        <v>0.23623100759690399</v>
      </c>
      <c r="L1717" s="14">
        <v>0.364162912406432</v>
      </c>
      <c r="M1717" s="14"/>
      <c r="N1717" s="14">
        <v>0.32660426019609601</v>
      </c>
      <c r="O1717" s="14">
        <v>0.20854350892186599</v>
      </c>
      <c r="P1717" s="14">
        <v>0.16953803998366601</v>
      </c>
      <c r="Q1717" s="14">
        <v>0.23991323186480301</v>
      </c>
      <c r="R1717" s="14"/>
      <c r="S1717" s="14">
        <v>0.34406961573099498</v>
      </c>
      <c r="T1717" s="14">
        <v>0.228043016437978</v>
      </c>
      <c r="U1717" s="14">
        <v>0.117533128269927</v>
      </c>
      <c r="V1717" s="14">
        <v>0.161315280707715</v>
      </c>
      <c r="W1717" s="14">
        <v>0.24133662425278801</v>
      </c>
      <c r="X1717" s="14">
        <v>0.24809497774637901</v>
      </c>
      <c r="Y1717" s="14">
        <v>0.17595819302837801</v>
      </c>
      <c r="Z1717" s="14">
        <v>0.28787422443973298</v>
      </c>
      <c r="AA1717" s="14">
        <v>0.239356316678389</v>
      </c>
      <c r="AB1717" s="14"/>
      <c r="AC1717" s="14">
        <v>0.175439654871269</v>
      </c>
      <c r="AD1717" s="14">
        <v>0.21668203426727001</v>
      </c>
      <c r="AE1717" s="14">
        <v>0.194445433648613</v>
      </c>
      <c r="AF1717" s="14">
        <v>0.35968444702289798</v>
      </c>
      <c r="AG1717" s="14">
        <v>0.53132898701702802</v>
      </c>
      <c r="AH1717" s="14"/>
      <c r="AI1717" s="14">
        <v>0.281304126375235</v>
      </c>
      <c r="AJ1717" s="14">
        <v>0.25375200179407598</v>
      </c>
      <c r="AK1717" s="14">
        <v>0.37549603431406903</v>
      </c>
      <c r="AL1717" s="14">
        <v>0.15619805276082599</v>
      </c>
      <c r="AM1717" s="14">
        <v>0.18748157663521001</v>
      </c>
      <c r="AN1717" s="14">
        <v>8.4792120219356504E-2</v>
      </c>
      <c r="AO1717" s="14"/>
      <c r="AP1717" s="14">
        <v>0.29358050516902401</v>
      </c>
      <c r="AQ1717" s="14">
        <v>0.162687382005204</v>
      </c>
      <c r="AR1717" s="14"/>
      <c r="AS1717" s="14" t="s">
        <v>88</v>
      </c>
      <c r="AT1717" s="14" t="s">
        <v>88</v>
      </c>
      <c r="AU1717" s="14">
        <v>0.23881711286174601</v>
      </c>
      <c r="AV1717" s="14"/>
      <c r="AW1717" s="14">
        <v>0.20840082867901</v>
      </c>
      <c r="AX1717" s="14">
        <v>0.38971134978489902</v>
      </c>
      <c r="AY1717" s="14"/>
      <c r="AZ1717" s="14">
        <v>0.27819422460584498</v>
      </c>
      <c r="BA1717" s="14">
        <v>6.2589294975665205E-2</v>
      </c>
    </row>
    <row r="1718" spans="2:53" x14ac:dyDescent="0.35">
      <c r="B1718" t="s">
        <v>221</v>
      </c>
      <c r="C1718" s="14">
        <v>0.477102941800638</v>
      </c>
      <c r="D1718" s="14">
        <v>0.54136842800682705</v>
      </c>
      <c r="E1718" s="14">
        <v>0.40833850574201902</v>
      </c>
      <c r="F1718" s="14"/>
      <c r="G1718" s="14" t="s">
        <v>88</v>
      </c>
      <c r="H1718" s="14">
        <v>0.46577705584636597</v>
      </c>
      <c r="I1718" s="14">
        <v>0.44536981796567099</v>
      </c>
      <c r="J1718" s="14">
        <v>0.48668474638568998</v>
      </c>
      <c r="K1718" s="14">
        <v>0.55076570282481496</v>
      </c>
      <c r="L1718" s="14">
        <v>0.543723627426002</v>
      </c>
      <c r="M1718" s="14"/>
      <c r="N1718" s="14">
        <v>0.44683823458827898</v>
      </c>
      <c r="O1718" s="14">
        <v>0.459928383013743</v>
      </c>
      <c r="P1718" s="14">
        <v>0.591638288270664</v>
      </c>
      <c r="Q1718" s="14">
        <v>0.406488532693285</v>
      </c>
      <c r="R1718" s="14"/>
      <c r="S1718" s="14">
        <v>0.52328512893535195</v>
      </c>
      <c r="T1718" s="14">
        <v>0.48388985911197002</v>
      </c>
      <c r="U1718" s="14">
        <v>0.52982803799106104</v>
      </c>
      <c r="V1718" s="14">
        <v>0.57553033222060801</v>
      </c>
      <c r="W1718" s="14">
        <v>0.36789272825476299</v>
      </c>
      <c r="X1718" s="14">
        <v>0.45990219810996802</v>
      </c>
      <c r="Y1718" s="14">
        <v>0.45199218605836999</v>
      </c>
      <c r="Z1718" s="14">
        <v>0.46145067071219797</v>
      </c>
      <c r="AA1718" s="14">
        <v>0.41577109497940801</v>
      </c>
      <c r="AB1718" s="14"/>
      <c r="AC1718" s="14">
        <v>0.49425281515050001</v>
      </c>
      <c r="AD1718" s="14">
        <v>0.45288519998417098</v>
      </c>
      <c r="AE1718" s="14">
        <v>0.542286143122654</v>
      </c>
      <c r="AF1718" s="14">
        <v>0.425204648485349</v>
      </c>
      <c r="AG1718" s="14">
        <v>0.41648539606778101</v>
      </c>
      <c r="AH1718" s="14"/>
      <c r="AI1718" s="14">
        <v>0.47827209635363099</v>
      </c>
      <c r="AJ1718" s="14">
        <v>0.50526947680381795</v>
      </c>
      <c r="AK1718" s="14">
        <v>0.34554464365860899</v>
      </c>
      <c r="AL1718" s="14">
        <v>0.52082759710614301</v>
      </c>
      <c r="AM1718" s="14">
        <v>0.46444354544585298</v>
      </c>
      <c r="AN1718" s="14">
        <v>0.48384757635395997</v>
      </c>
      <c r="AO1718" s="14"/>
      <c r="AP1718" s="14">
        <v>0.47263400946044898</v>
      </c>
      <c r="AQ1718" s="14">
        <v>0.484506550961115</v>
      </c>
      <c r="AR1718" s="14"/>
      <c r="AS1718" s="14" t="s">
        <v>88</v>
      </c>
      <c r="AT1718" s="14" t="s">
        <v>88</v>
      </c>
      <c r="AU1718" s="14">
        <v>0.477102941800638</v>
      </c>
      <c r="AV1718" s="14"/>
      <c r="AW1718" s="14">
        <v>0.49813317240444299</v>
      </c>
      <c r="AX1718" s="14">
        <v>0.427554732257385</v>
      </c>
      <c r="AY1718" s="14"/>
      <c r="AZ1718" s="14">
        <v>0.469326731190082</v>
      </c>
      <c r="BA1718" s="14">
        <v>0.50663340989754702</v>
      </c>
    </row>
    <row r="1719" spans="2:53" x14ac:dyDescent="0.35">
      <c r="B1719" t="s">
        <v>222</v>
      </c>
      <c r="C1719" s="14">
        <v>0.18427553345529599</v>
      </c>
      <c r="D1719" s="14">
        <v>0.119341310130908</v>
      </c>
      <c r="E1719" s="14">
        <v>0.253755522037036</v>
      </c>
      <c r="F1719" s="14"/>
      <c r="G1719" s="14" t="s">
        <v>88</v>
      </c>
      <c r="H1719" s="14">
        <v>0.100574873701789</v>
      </c>
      <c r="I1719" s="14">
        <v>0.208713515826673</v>
      </c>
      <c r="J1719" s="14">
        <v>0.18408203911891199</v>
      </c>
      <c r="K1719" s="14">
        <v>0.188322791258031</v>
      </c>
      <c r="L1719" s="14">
        <v>9.2113460167565206E-2</v>
      </c>
      <c r="M1719" s="14"/>
      <c r="N1719" s="14">
        <v>0.12718317617227101</v>
      </c>
      <c r="O1719" s="14">
        <v>0.21163074768658599</v>
      </c>
      <c r="P1719" s="14">
        <v>0.15763327522493301</v>
      </c>
      <c r="Q1719" s="14">
        <v>0.25199044091302703</v>
      </c>
      <c r="R1719" s="14"/>
      <c r="S1719" s="14">
        <v>6.6978802280288796E-2</v>
      </c>
      <c r="T1719" s="14">
        <v>0.22271764376305</v>
      </c>
      <c r="U1719" s="14">
        <v>0.27224603036035</v>
      </c>
      <c r="V1719" s="14">
        <v>0.15325786263442501</v>
      </c>
      <c r="W1719" s="14">
        <v>0.21369869057500601</v>
      </c>
      <c r="X1719" s="14">
        <v>0.17961303800959</v>
      </c>
      <c r="Y1719" s="14">
        <v>0.221598649599656</v>
      </c>
      <c r="Z1719" s="14">
        <v>0.14339340863399</v>
      </c>
      <c r="AA1719" s="14">
        <v>0.26303283921294301</v>
      </c>
      <c r="AB1719" s="14"/>
      <c r="AC1719" s="14">
        <v>0.25123889494535201</v>
      </c>
      <c r="AD1719" s="14">
        <v>0.23970005042471901</v>
      </c>
      <c r="AE1719" s="14">
        <v>0.15857149159988301</v>
      </c>
      <c r="AF1719" s="14">
        <v>0.13804363016827301</v>
      </c>
      <c r="AG1719" s="14">
        <v>3.8630315383246801E-2</v>
      </c>
      <c r="AH1719" s="14"/>
      <c r="AI1719" s="14">
        <v>0.17042126489832901</v>
      </c>
      <c r="AJ1719" s="14">
        <v>0.14458441034869901</v>
      </c>
      <c r="AK1719" s="14">
        <v>0.108564054613402</v>
      </c>
      <c r="AL1719" s="14">
        <v>0.21104541623110701</v>
      </c>
      <c r="AM1719" s="14">
        <v>0.23475541169154099</v>
      </c>
      <c r="AN1719" s="14">
        <v>0.34471881058015702</v>
      </c>
      <c r="AO1719" s="14"/>
      <c r="AP1719" s="14">
        <v>0.14498443367278299</v>
      </c>
      <c r="AQ1719" s="14">
        <v>0.23785776538200801</v>
      </c>
      <c r="AR1719" s="14"/>
      <c r="AS1719" s="14" t="s">
        <v>88</v>
      </c>
      <c r="AT1719" s="14" t="s">
        <v>88</v>
      </c>
      <c r="AU1719" s="14">
        <v>0.18427553345529599</v>
      </c>
      <c r="AV1719" s="14"/>
      <c r="AW1719" s="14">
        <v>0.188161790729896</v>
      </c>
      <c r="AX1719" s="14">
        <v>0.12140399985049199</v>
      </c>
      <c r="AY1719" s="14"/>
      <c r="AZ1719" s="14">
        <v>0.17166484127822801</v>
      </c>
      <c r="BA1719" s="14">
        <v>0.24360242393329001</v>
      </c>
    </row>
    <row r="1720" spans="2:53" x14ac:dyDescent="0.35">
      <c r="B1720" t="s">
        <v>223</v>
      </c>
      <c r="C1720" s="14">
        <v>3.4733853442939201E-2</v>
      </c>
      <c r="D1720" s="14">
        <v>8.8116343918535692E-3</v>
      </c>
      <c r="E1720" s="14">
        <v>6.24707753844745E-2</v>
      </c>
      <c r="F1720" s="14"/>
      <c r="G1720" s="14" t="s">
        <v>88</v>
      </c>
      <c r="H1720" s="14">
        <v>1.43898228097244E-2</v>
      </c>
      <c r="I1720" s="14">
        <v>4.5861898238791103E-2</v>
      </c>
      <c r="J1720" s="14">
        <v>3.7798583573846502E-2</v>
      </c>
      <c r="K1720" s="14">
        <v>1.06335419397159E-2</v>
      </c>
      <c r="L1720" s="14">
        <v>0</v>
      </c>
      <c r="M1720" s="14"/>
      <c r="N1720" s="14">
        <v>2.1112443717139801E-2</v>
      </c>
      <c r="O1720" s="14">
        <v>5.5245657606741702E-2</v>
      </c>
      <c r="P1720" s="14">
        <v>1.9607213144532901E-2</v>
      </c>
      <c r="Q1720" s="14">
        <v>4.6535847359622101E-2</v>
      </c>
      <c r="R1720" s="14"/>
      <c r="S1720" s="14">
        <v>2.36249425095779E-2</v>
      </c>
      <c r="T1720" s="14">
        <v>1.9222963161808899E-2</v>
      </c>
      <c r="U1720" s="14">
        <v>0</v>
      </c>
      <c r="V1720" s="14">
        <v>6.7231732493188506E-2</v>
      </c>
      <c r="W1720" s="14">
        <v>2.1721056094906401E-2</v>
      </c>
      <c r="X1720" s="14">
        <v>4.6770804909815798E-2</v>
      </c>
      <c r="Y1720" s="14">
        <v>8.5349699438605903E-2</v>
      </c>
      <c r="Z1720" s="14">
        <v>7.3967108839825102E-2</v>
      </c>
      <c r="AA1720" s="14">
        <v>1.2967941218635299E-2</v>
      </c>
      <c r="AB1720" s="14"/>
      <c r="AC1720" s="14">
        <v>1.1775005958065099E-2</v>
      </c>
      <c r="AD1720" s="14">
        <v>4.6064028217441301E-2</v>
      </c>
      <c r="AE1720" s="14">
        <v>4.6816989023936703E-2</v>
      </c>
      <c r="AF1720" s="14">
        <v>2.4834717549568199E-2</v>
      </c>
      <c r="AG1720" s="14">
        <v>0</v>
      </c>
      <c r="AH1720" s="14"/>
      <c r="AI1720" s="14">
        <v>2.42012771683481E-2</v>
      </c>
      <c r="AJ1720" s="14">
        <v>5.1473749275378997E-2</v>
      </c>
      <c r="AK1720" s="14">
        <v>5.4918766816274903E-2</v>
      </c>
      <c r="AL1720" s="14">
        <v>4.2993989379322702E-2</v>
      </c>
      <c r="AM1720" s="14">
        <v>9.1338704019366702E-3</v>
      </c>
      <c r="AN1720" s="14">
        <v>0</v>
      </c>
      <c r="AO1720" s="14"/>
      <c r="AP1720" s="14">
        <v>2.53445118739891E-2</v>
      </c>
      <c r="AQ1720" s="14">
        <v>4.7511628633825E-2</v>
      </c>
      <c r="AR1720" s="14"/>
      <c r="AS1720" s="14" t="s">
        <v>88</v>
      </c>
      <c r="AT1720" s="14" t="s">
        <v>88</v>
      </c>
      <c r="AU1720" s="14">
        <v>3.4733853442939201E-2</v>
      </c>
      <c r="AV1720" s="14"/>
      <c r="AW1720" s="14">
        <v>3.62610368613107E-2</v>
      </c>
      <c r="AX1720" s="14">
        <v>2.675389711026E-3</v>
      </c>
      <c r="AY1720" s="14"/>
      <c r="AZ1720" s="14">
        <v>2.8310416916485601E-2</v>
      </c>
      <c r="BA1720" s="14">
        <v>6.4297706789762099E-2</v>
      </c>
    </row>
    <row r="1721" spans="2:53" x14ac:dyDescent="0.35">
      <c r="B1721" t="s">
        <v>116</v>
      </c>
      <c r="C1721" s="14">
        <v>1.4442144153307799E-2</v>
      </c>
      <c r="D1721" s="14">
        <v>0</v>
      </c>
      <c r="E1721" s="14">
        <v>2.98953206062674E-2</v>
      </c>
      <c r="F1721" s="14"/>
      <c r="G1721" s="14" t="s">
        <v>88</v>
      </c>
      <c r="H1721" s="14">
        <v>2.7422635757803598E-2</v>
      </c>
      <c r="I1721" s="14">
        <v>1.05817056317532E-2</v>
      </c>
      <c r="J1721" s="14">
        <v>2.1075150083516101E-2</v>
      </c>
      <c r="K1721" s="14">
        <v>0</v>
      </c>
      <c r="L1721" s="14">
        <v>0</v>
      </c>
      <c r="M1721" s="14"/>
      <c r="N1721" s="14">
        <v>5.2499373581834799E-3</v>
      </c>
      <c r="O1721" s="14">
        <v>1.3377615085604399E-2</v>
      </c>
      <c r="P1721" s="14">
        <v>1.0889075269416199E-2</v>
      </c>
      <c r="Q1721" s="14">
        <v>3.0853099194742498E-2</v>
      </c>
      <c r="R1721" s="14"/>
      <c r="S1721" s="14">
        <v>0</v>
      </c>
      <c r="T1721" s="14">
        <v>0</v>
      </c>
      <c r="U1721" s="14">
        <v>4.1802278262186701E-2</v>
      </c>
      <c r="V1721" s="14">
        <v>4.2664791944064501E-2</v>
      </c>
      <c r="W1721" s="14">
        <v>2.1721055756794699E-2</v>
      </c>
      <c r="X1721" s="14">
        <v>1.8421906283849401E-2</v>
      </c>
      <c r="Y1721" s="14">
        <v>1.2445653628494801E-2</v>
      </c>
      <c r="Z1721" s="14">
        <v>2.4240163798144601E-2</v>
      </c>
      <c r="AA1721" s="14">
        <v>0</v>
      </c>
      <c r="AB1721" s="14"/>
      <c r="AC1721" s="14">
        <v>2.83951620489311E-2</v>
      </c>
      <c r="AD1721" s="14">
        <v>0</v>
      </c>
      <c r="AE1721" s="14">
        <v>1.5810678124288699E-2</v>
      </c>
      <c r="AF1721" s="14">
        <v>0</v>
      </c>
      <c r="AG1721" s="14">
        <v>0</v>
      </c>
      <c r="AH1721" s="14"/>
      <c r="AI1721" s="14">
        <v>1.2690825582140899E-3</v>
      </c>
      <c r="AJ1721" s="14">
        <v>1.30455414142571E-2</v>
      </c>
      <c r="AK1721" s="14">
        <v>5.2172871650906498E-2</v>
      </c>
      <c r="AL1721" s="14">
        <v>0</v>
      </c>
      <c r="AM1721" s="14">
        <v>0</v>
      </c>
      <c r="AN1721" s="14">
        <v>2.38051510846236E-2</v>
      </c>
      <c r="AO1721" s="14"/>
      <c r="AP1721" s="14">
        <v>1.09602814962274E-2</v>
      </c>
      <c r="AQ1721" s="14">
        <v>1.9185026872699001E-2</v>
      </c>
      <c r="AR1721" s="14"/>
      <c r="AS1721" s="14" t="s">
        <v>88</v>
      </c>
      <c r="AT1721" s="14" t="s">
        <v>88</v>
      </c>
      <c r="AU1721" s="14">
        <v>1.4442144153307799E-2</v>
      </c>
      <c r="AV1721" s="14"/>
      <c r="AW1721" s="14">
        <v>1.7230169916466899E-2</v>
      </c>
      <c r="AX1721" s="14">
        <v>2.3922495009836599E-3</v>
      </c>
      <c r="AY1721" s="14"/>
      <c r="AZ1721" s="14">
        <v>4.0197482475625703E-3</v>
      </c>
      <c r="BA1721" s="14">
        <v>6.1946781216091699E-2</v>
      </c>
    </row>
    <row r="1722" spans="2:53" x14ac:dyDescent="0.35">
      <c r="B1722" t="s">
        <v>224</v>
      </c>
      <c r="C1722" s="14">
        <v>0.71592005466238395</v>
      </c>
      <c r="D1722" s="14">
        <v>0.81354821452938397</v>
      </c>
      <c r="E1722" s="14">
        <v>0.61145736787657401</v>
      </c>
      <c r="F1722" s="14"/>
      <c r="G1722" s="14" t="s">
        <v>88</v>
      </c>
      <c r="H1722" s="14">
        <v>0.80711757321631605</v>
      </c>
      <c r="I1722" s="14">
        <v>0.68739577541421704</v>
      </c>
      <c r="J1722" s="14">
        <v>0.68752718031902105</v>
      </c>
      <c r="K1722" s="14">
        <v>0.78699671042171904</v>
      </c>
      <c r="L1722" s="14">
        <v>0.90788653983243495</v>
      </c>
      <c r="M1722" s="14"/>
      <c r="N1722" s="14">
        <v>0.77344249478437499</v>
      </c>
      <c r="O1722" s="14">
        <v>0.66847189193560896</v>
      </c>
      <c r="P1722" s="14">
        <v>0.76117632825433001</v>
      </c>
      <c r="Q1722" s="14">
        <v>0.64640176455808795</v>
      </c>
      <c r="R1722" s="14"/>
      <c r="S1722" s="14">
        <v>0.86735474466634699</v>
      </c>
      <c r="T1722" s="14">
        <v>0.711932875549949</v>
      </c>
      <c r="U1722" s="14">
        <v>0.64736116626098705</v>
      </c>
      <c r="V1722" s="14">
        <v>0.73684561292832196</v>
      </c>
      <c r="W1722" s="14">
        <v>0.60922935250755095</v>
      </c>
      <c r="X1722" s="14">
        <v>0.70799717585634703</v>
      </c>
      <c r="Y1722" s="14">
        <v>0.627950379086748</v>
      </c>
      <c r="Z1722" s="14">
        <v>0.74932489515193101</v>
      </c>
      <c r="AA1722" s="14">
        <v>0.65512741165779698</v>
      </c>
      <c r="AB1722" s="14"/>
      <c r="AC1722" s="14">
        <v>0.66969247002176902</v>
      </c>
      <c r="AD1722" s="14">
        <v>0.66956723425144105</v>
      </c>
      <c r="AE1722" s="14">
        <v>0.73673157677126599</v>
      </c>
      <c r="AF1722" s="14">
        <v>0.78488909550824804</v>
      </c>
      <c r="AG1722" s="14">
        <v>0.94781438308480903</v>
      </c>
      <c r="AH1722" s="14"/>
      <c r="AI1722" s="14">
        <v>0.75957622272886505</v>
      </c>
      <c r="AJ1722" s="14">
        <v>0.75902147859789304</v>
      </c>
      <c r="AK1722" s="14">
        <v>0.72104067797267801</v>
      </c>
      <c r="AL1722" s="14">
        <v>0.677025649866969</v>
      </c>
      <c r="AM1722" s="14">
        <v>0.65192512208106301</v>
      </c>
      <c r="AN1722" s="14">
        <v>0.56863969657331603</v>
      </c>
      <c r="AO1722" s="14"/>
      <c r="AP1722" s="14">
        <v>0.76621451462947199</v>
      </c>
      <c r="AQ1722" s="14">
        <v>0.647193932966319</v>
      </c>
      <c r="AR1722" s="14"/>
      <c r="AS1722" s="14" t="s">
        <v>88</v>
      </c>
      <c r="AT1722" s="14" t="s">
        <v>88</v>
      </c>
      <c r="AU1722" s="14">
        <v>0.71592005466238395</v>
      </c>
      <c r="AV1722" s="14"/>
      <c r="AW1722" s="14">
        <v>0.70653400108345299</v>
      </c>
      <c r="AX1722" s="14">
        <v>0.81726608204228401</v>
      </c>
      <c r="AY1722" s="14"/>
      <c r="AZ1722" s="14">
        <v>0.74752095579592703</v>
      </c>
      <c r="BA1722" s="14">
        <v>0.56922270487321203</v>
      </c>
    </row>
    <row r="1723" spans="2:53" x14ac:dyDescent="0.35"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  <c r="AL1723" s="14"/>
      <c r="AM1723" s="14"/>
      <c r="AN1723" s="14"/>
      <c r="AO1723" s="14"/>
      <c r="AP1723" s="14"/>
      <c r="AQ1723" s="14"/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</row>
    <row r="1724" spans="2:53" x14ac:dyDescent="0.35">
      <c r="B1724" s="6" t="s">
        <v>393</v>
      </c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/>
      <c r="AN1724" s="14"/>
      <c r="AO1724" s="14"/>
      <c r="AP1724" s="14"/>
      <c r="AQ1724" s="14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</row>
    <row r="1725" spans="2:53" x14ac:dyDescent="0.35">
      <c r="B1725" s="30" t="s">
        <v>463</v>
      </c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/>
      <c r="AN1725" s="14"/>
      <c r="AO1725" s="14"/>
      <c r="AP1725" s="14"/>
      <c r="AQ1725" s="14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</row>
    <row r="1726" spans="2:53" x14ac:dyDescent="0.35">
      <c r="B1726" t="s">
        <v>226</v>
      </c>
      <c r="C1726" s="14">
        <v>0.24016069413560701</v>
      </c>
      <c r="D1726" s="14">
        <v>0.29349833329477998</v>
      </c>
      <c r="E1726" s="14">
        <v>0.18308911662180499</v>
      </c>
      <c r="F1726" s="14"/>
      <c r="G1726" s="14" t="s">
        <v>88</v>
      </c>
      <c r="H1726" s="14">
        <v>0.25672770648264398</v>
      </c>
      <c r="I1726" s="14">
        <v>0.22500992265848699</v>
      </c>
      <c r="J1726" s="14">
        <v>0.23938627826800499</v>
      </c>
      <c r="K1726" s="14">
        <v>0.26466250812370401</v>
      </c>
      <c r="L1726" s="14">
        <v>0.314016908448701</v>
      </c>
      <c r="M1726" s="14"/>
      <c r="N1726" s="14">
        <v>0.32926208887180802</v>
      </c>
      <c r="O1726" s="14">
        <v>0.22787171924041599</v>
      </c>
      <c r="P1726" s="14">
        <v>0.215947743249253</v>
      </c>
      <c r="Q1726" s="14">
        <v>0.17614394300712799</v>
      </c>
      <c r="R1726" s="14"/>
      <c r="S1726" s="14">
        <v>0.31180851863877201</v>
      </c>
      <c r="T1726" s="14">
        <v>0.245884378594868</v>
      </c>
      <c r="U1726" s="14">
        <v>0.14273451255831701</v>
      </c>
      <c r="V1726" s="14">
        <v>0.26875231091412699</v>
      </c>
      <c r="W1726" s="14">
        <v>0.130994993505855</v>
      </c>
      <c r="X1726" s="14">
        <v>0.28514952869945598</v>
      </c>
      <c r="Y1726" s="14">
        <v>0.12819108384695199</v>
      </c>
      <c r="Z1726" s="14">
        <v>0.268177957587032</v>
      </c>
      <c r="AA1726" s="14">
        <v>0.2792650101286</v>
      </c>
      <c r="AB1726" s="14"/>
      <c r="AC1726" s="14">
        <v>0.19355865537045</v>
      </c>
      <c r="AD1726" s="14">
        <v>0.21699232367318</v>
      </c>
      <c r="AE1726" s="14">
        <v>0.169290519219673</v>
      </c>
      <c r="AF1726" s="14">
        <v>0.34521384162097302</v>
      </c>
      <c r="AG1726" s="14">
        <v>0.660146278294097</v>
      </c>
      <c r="AH1726" s="14"/>
      <c r="AI1726" s="14">
        <v>0.25901604401885397</v>
      </c>
      <c r="AJ1726" s="14">
        <v>0.26240643526468199</v>
      </c>
      <c r="AK1726" s="14">
        <v>0.38416486358211099</v>
      </c>
      <c r="AL1726" s="14">
        <v>0.195030600295309</v>
      </c>
      <c r="AM1726" s="14">
        <v>0.167958617574546</v>
      </c>
      <c r="AN1726" s="14">
        <v>0.10375885213771199</v>
      </c>
      <c r="AO1726" s="14"/>
      <c r="AP1726" s="14">
        <v>0.29289882627708502</v>
      </c>
      <c r="AQ1726" s="14">
        <v>0.16963963993801501</v>
      </c>
      <c r="AR1726" s="14"/>
      <c r="AS1726" s="14" t="s">
        <v>88</v>
      </c>
      <c r="AT1726" s="14" t="s">
        <v>88</v>
      </c>
      <c r="AU1726" s="14">
        <v>0.24016069413560701</v>
      </c>
      <c r="AV1726" s="14"/>
      <c r="AW1726" s="14">
        <v>0.22957148031475599</v>
      </c>
      <c r="AX1726" s="14">
        <v>0.347928630181561</v>
      </c>
      <c r="AY1726" s="14"/>
      <c r="AZ1726" s="14">
        <v>0.27657747116953901</v>
      </c>
      <c r="BA1726" s="14">
        <v>7.7395335204146903E-2</v>
      </c>
    </row>
    <row r="1727" spans="2:53" x14ac:dyDescent="0.35">
      <c r="B1727" t="s">
        <v>227</v>
      </c>
      <c r="C1727" s="14">
        <v>0.40888959810733599</v>
      </c>
      <c r="D1727" s="14">
        <v>0.42562086184188502</v>
      </c>
      <c r="E1727" s="14">
        <v>0.39098705067210998</v>
      </c>
      <c r="F1727" s="14"/>
      <c r="G1727" s="14" t="s">
        <v>88</v>
      </c>
      <c r="H1727" s="14">
        <v>0.42971479069889501</v>
      </c>
      <c r="I1727" s="14">
        <v>0.42648343672181399</v>
      </c>
      <c r="J1727" s="14">
        <v>0.38664828507724602</v>
      </c>
      <c r="K1727" s="14">
        <v>0.404974130220562</v>
      </c>
      <c r="L1727" s="14">
        <v>0.39378040772960099</v>
      </c>
      <c r="M1727" s="14"/>
      <c r="N1727" s="14">
        <v>0.39888457532322003</v>
      </c>
      <c r="O1727" s="14">
        <v>0.373774910699114</v>
      </c>
      <c r="P1727" s="14">
        <v>0.421390134363265</v>
      </c>
      <c r="Q1727" s="14">
        <v>0.43143250122022297</v>
      </c>
      <c r="R1727" s="14"/>
      <c r="S1727" s="14">
        <v>0.51483011161054204</v>
      </c>
      <c r="T1727" s="14">
        <v>0.40587514861745999</v>
      </c>
      <c r="U1727" s="14">
        <v>0.45077482270946301</v>
      </c>
      <c r="V1727" s="14">
        <v>0.291257909052202</v>
      </c>
      <c r="W1727" s="14">
        <v>0.38463163468733902</v>
      </c>
      <c r="X1727" s="14">
        <v>0.42825709553491498</v>
      </c>
      <c r="Y1727" s="14">
        <v>0.430180373467967</v>
      </c>
      <c r="Z1727" s="14">
        <v>0.36547219877716802</v>
      </c>
      <c r="AA1727" s="14">
        <v>0.32649373654737901</v>
      </c>
      <c r="AB1727" s="14"/>
      <c r="AC1727" s="14">
        <v>0.38029916244435102</v>
      </c>
      <c r="AD1727" s="14">
        <v>0.39927034043461401</v>
      </c>
      <c r="AE1727" s="14">
        <v>0.47748290327044701</v>
      </c>
      <c r="AF1727" s="14">
        <v>0.39567793235682402</v>
      </c>
      <c r="AG1727" s="14">
        <v>0.237663078174397</v>
      </c>
      <c r="AH1727" s="14"/>
      <c r="AI1727" s="14">
        <v>0.458688217817737</v>
      </c>
      <c r="AJ1727" s="14">
        <v>0.436785364462696</v>
      </c>
      <c r="AK1727" s="14">
        <v>0.290189127506221</v>
      </c>
      <c r="AL1727" s="14">
        <v>0.36033829229825698</v>
      </c>
      <c r="AM1727" s="14">
        <v>0.30678784070128301</v>
      </c>
      <c r="AN1727" s="14">
        <v>0.49360582754406401</v>
      </c>
      <c r="AO1727" s="14"/>
      <c r="AP1727" s="14">
        <v>0.44854292902024001</v>
      </c>
      <c r="AQ1727" s="14">
        <v>0.35365056705661102</v>
      </c>
      <c r="AR1727" s="14"/>
      <c r="AS1727" s="14" t="s">
        <v>88</v>
      </c>
      <c r="AT1727" s="14" t="s">
        <v>88</v>
      </c>
      <c r="AU1727" s="14">
        <v>0.40888959810733599</v>
      </c>
      <c r="AV1727" s="14"/>
      <c r="AW1727" s="14">
        <v>0.41040667085951699</v>
      </c>
      <c r="AX1727" s="14">
        <v>0.41207946220590902</v>
      </c>
      <c r="AY1727" s="14"/>
      <c r="AZ1727" s="14">
        <v>0.42043350988007699</v>
      </c>
      <c r="BA1727" s="14">
        <v>0.34990097193566899</v>
      </c>
    </row>
    <row r="1728" spans="2:53" x14ac:dyDescent="0.35">
      <c r="B1728" t="s">
        <v>228</v>
      </c>
      <c r="C1728" s="14">
        <v>0.22817630688760401</v>
      </c>
      <c r="D1728" s="14">
        <v>0.20961471637374399</v>
      </c>
      <c r="E1728" s="14">
        <v>0.24803731439545301</v>
      </c>
      <c r="F1728" s="14"/>
      <c r="G1728" s="14" t="s">
        <v>88</v>
      </c>
      <c r="H1728" s="14">
        <v>0.221899059380641</v>
      </c>
      <c r="I1728" s="14">
        <v>0.22103833315063601</v>
      </c>
      <c r="J1728" s="14">
        <v>0.23082812311066001</v>
      </c>
      <c r="K1728" s="14">
        <v>0.2519967911946</v>
      </c>
      <c r="L1728" s="14">
        <v>0.2188616266866</v>
      </c>
      <c r="M1728" s="14"/>
      <c r="N1728" s="14">
        <v>0.123976252553832</v>
      </c>
      <c r="O1728" s="14">
        <v>0.28430457900067202</v>
      </c>
      <c r="P1728" s="14">
        <v>0.27105270139649301</v>
      </c>
      <c r="Q1728" s="14">
        <v>0.26301595179513898</v>
      </c>
      <c r="R1728" s="14"/>
      <c r="S1728" s="14">
        <v>7.7016300977992197E-2</v>
      </c>
      <c r="T1728" s="14">
        <v>0.27248235184761099</v>
      </c>
      <c r="U1728" s="14">
        <v>0.211660797347097</v>
      </c>
      <c r="V1728" s="14">
        <v>0.33172500063327998</v>
      </c>
      <c r="W1728" s="14">
        <v>0.28916808757736101</v>
      </c>
      <c r="X1728" s="14">
        <v>0.153691457184705</v>
      </c>
      <c r="Y1728" s="14">
        <v>0.26910315205079599</v>
      </c>
      <c r="Z1728" s="14">
        <v>0.233823983296503</v>
      </c>
      <c r="AA1728" s="14">
        <v>0.31908929703843703</v>
      </c>
      <c r="AB1728" s="14"/>
      <c r="AC1728" s="14">
        <v>0.34691970071117501</v>
      </c>
      <c r="AD1728" s="14">
        <v>0.27161496331955798</v>
      </c>
      <c r="AE1728" s="14">
        <v>0.20589206043463501</v>
      </c>
      <c r="AF1728" s="14">
        <v>0.15641560206736899</v>
      </c>
      <c r="AG1728" s="14">
        <v>3.8151166171265898E-2</v>
      </c>
      <c r="AH1728" s="14"/>
      <c r="AI1728" s="14">
        <v>0.179266169880371</v>
      </c>
      <c r="AJ1728" s="14">
        <v>0.172919320570211</v>
      </c>
      <c r="AK1728" s="14">
        <v>0.21085206232102899</v>
      </c>
      <c r="AL1728" s="14">
        <v>0.37266504804554501</v>
      </c>
      <c r="AM1728" s="14">
        <v>0.234788103111539</v>
      </c>
      <c r="AN1728" s="14">
        <v>0.245737534555379</v>
      </c>
      <c r="AO1728" s="14"/>
      <c r="AP1728" s="14">
        <v>0.15546170850577501</v>
      </c>
      <c r="AQ1728" s="14">
        <v>0.32701506300634098</v>
      </c>
      <c r="AR1728" s="14"/>
      <c r="AS1728" s="14" t="s">
        <v>88</v>
      </c>
      <c r="AT1728" s="14" t="s">
        <v>88</v>
      </c>
      <c r="AU1728" s="14">
        <v>0.22817630688760401</v>
      </c>
      <c r="AV1728" s="14"/>
      <c r="AW1728" s="14">
        <v>0.23310714066966201</v>
      </c>
      <c r="AX1728" s="14">
        <v>0.19883005674960899</v>
      </c>
      <c r="AY1728" s="14"/>
      <c r="AZ1728" s="14">
        <v>0.19388237093424801</v>
      </c>
      <c r="BA1728" s="14">
        <v>0.38648759153235801</v>
      </c>
    </row>
    <row r="1729" spans="2:53" x14ac:dyDescent="0.35">
      <c r="B1729" t="s">
        <v>229</v>
      </c>
      <c r="C1729" s="14">
        <v>6.7105708513491805E-2</v>
      </c>
      <c r="D1729" s="14">
        <v>2.1080115417519502E-2</v>
      </c>
      <c r="E1729" s="14">
        <v>0.116353355117357</v>
      </c>
      <c r="F1729" s="14"/>
      <c r="G1729" s="14" t="s">
        <v>88</v>
      </c>
      <c r="H1729" s="14">
        <v>1.3650423078174601E-2</v>
      </c>
      <c r="I1729" s="14">
        <v>9.2678047041061903E-2</v>
      </c>
      <c r="J1729" s="14">
        <v>6.7573059484943604E-2</v>
      </c>
      <c r="K1729" s="14">
        <v>1.72451394494068E-2</v>
      </c>
      <c r="L1729" s="14">
        <v>7.3341057135097004E-2</v>
      </c>
      <c r="M1729" s="14"/>
      <c r="N1729" s="14">
        <v>8.5581895206256295E-2</v>
      </c>
      <c r="O1729" s="14">
        <v>6.4318583179906394E-2</v>
      </c>
      <c r="P1729" s="14">
        <v>4.9348384082689503E-2</v>
      </c>
      <c r="Q1729" s="14">
        <v>6.0421178552142601E-2</v>
      </c>
      <c r="R1729" s="14"/>
      <c r="S1729" s="14">
        <v>3.71578964553545E-2</v>
      </c>
      <c r="T1729" s="14">
        <v>6.7534023664892306E-2</v>
      </c>
      <c r="U1729" s="14">
        <v>0.10995244139440501</v>
      </c>
      <c r="V1729" s="14">
        <v>8.3697844187026096E-2</v>
      </c>
      <c r="W1729" s="14">
        <v>6.9334526234122507E-2</v>
      </c>
      <c r="X1729" s="14">
        <v>4.8008736114204399E-2</v>
      </c>
      <c r="Y1729" s="14">
        <v>0.107835913220689</v>
      </c>
      <c r="Z1729" s="14">
        <v>0.108285696541153</v>
      </c>
      <c r="AA1729" s="14">
        <v>3.8753444272604499E-2</v>
      </c>
      <c r="AB1729" s="14"/>
      <c r="AC1729" s="14">
        <v>2.4599309583490901E-2</v>
      </c>
      <c r="AD1729" s="14">
        <v>8.0425844170372102E-2</v>
      </c>
      <c r="AE1729" s="14">
        <v>7.3324744051825694E-2</v>
      </c>
      <c r="AF1729" s="14">
        <v>5.2771883695534698E-2</v>
      </c>
      <c r="AG1729" s="14">
        <v>6.4039477360239502E-2</v>
      </c>
      <c r="AH1729" s="14"/>
      <c r="AI1729" s="14">
        <v>5.19894208777614E-2</v>
      </c>
      <c r="AJ1729" s="14">
        <v>9.3889866209818096E-2</v>
      </c>
      <c r="AK1729" s="14">
        <v>9.76380288043492E-2</v>
      </c>
      <c r="AL1729" s="14">
        <v>2.8877158161497399E-2</v>
      </c>
      <c r="AM1729" s="14">
        <v>6.0448057190679499E-2</v>
      </c>
      <c r="AN1729" s="14">
        <v>0.13309263467822099</v>
      </c>
      <c r="AO1729" s="14"/>
      <c r="AP1729" s="14">
        <v>4.3756951136422001E-2</v>
      </c>
      <c r="AQ1729" s="14">
        <v>9.8825282673380102E-2</v>
      </c>
      <c r="AR1729" s="14"/>
      <c r="AS1729" s="14" t="s">
        <v>88</v>
      </c>
      <c r="AT1729" s="14" t="s">
        <v>88</v>
      </c>
      <c r="AU1729" s="14">
        <v>6.7105708513491805E-2</v>
      </c>
      <c r="AV1729" s="14"/>
      <c r="AW1729" s="14">
        <v>6.5159491902686703E-2</v>
      </c>
      <c r="AX1729" s="14">
        <v>2.7722014133312701E-2</v>
      </c>
      <c r="AY1729" s="14"/>
      <c r="AZ1729" s="14">
        <v>5.9332355148081099E-2</v>
      </c>
      <c r="BA1729" s="14">
        <v>0.103160349801032</v>
      </c>
    </row>
    <row r="1730" spans="2:53" x14ac:dyDescent="0.35">
      <c r="B1730" t="s">
        <v>116</v>
      </c>
      <c r="C1730" s="14">
        <v>1.35261204695203E-2</v>
      </c>
      <c r="D1730" s="14">
        <v>0</v>
      </c>
      <c r="E1730" s="14">
        <v>2.7999146366551798E-2</v>
      </c>
      <c r="F1730" s="14"/>
      <c r="G1730" s="14" t="s">
        <v>88</v>
      </c>
      <c r="H1730" s="14">
        <v>3.6748152978079998E-2</v>
      </c>
      <c r="I1730" s="14">
        <v>3.5653446248545802E-3</v>
      </c>
      <c r="J1730" s="14">
        <v>2.0522179774658499E-2</v>
      </c>
      <c r="K1730" s="14">
        <v>1.08953509569071E-2</v>
      </c>
      <c r="L1730" s="14">
        <v>0</v>
      </c>
      <c r="M1730" s="14"/>
      <c r="N1730" s="14">
        <v>8.0024080851525004E-3</v>
      </c>
      <c r="O1730" s="14">
        <v>1.8196741890104E-2</v>
      </c>
      <c r="P1730" s="14">
        <v>0</v>
      </c>
      <c r="Q1730" s="14">
        <v>2.9436658148819701E-2</v>
      </c>
      <c r="R1730" s="14"/>
      <c r="S1730" s="14">
        <v>8.5980097635174006E-3</v>
      </c>
      <c r="T1730" s="14">
        <v>0</v>
      </c>
      <c r="U1730" s="14">
        <v>0</v>
      </c>
      <c r="V1730" s="14">
        <v>2.4566935213364598E-2</v>
      </c>
      <c r="W1730" s="14">
        <v>3.3396775327470402E-2</v>
      </c>
      <c r="X1730" s="14">
        <v>3.0278246415060502E-2</v>
      </c>
      <c r="Y1730" s="14">
        <v>1.2445653628494801E-2</v>
      </c>
      <c r="Z1730" s="14">
        <v>2.4240163798144601E-2</v>
      </c>
      <c r="AA1730" s="14">
        <v>0</v>
      </c>
      <c r="AB1730" s="14"/>
      <c r="AC1730" s="14">
        <v>1.1775005774774401E-2</v>
      </c>
      <c r="AD1730" s="14">
        <v>0</v>
      </c>
      <c r="AE1730" s="14">
        <v>3.05139433346031E-2</v>
      </c>
      <c r="AF1730" s="14">
        <v>0</v>
      </c>
      <c r="AG1730" s="14">
        <v>0</v>
      </c>
      <c r="AH1730" s="14"/>
      <c r="AI1730" s="14">
        <v>3.6059974701493501E-3</v>
      </c>
      <c r="AJ1730" s="14">
        <v>6.4386107443468099E-3</v>
      </c>
      <c r="AK1730" s="14">
        <v>0</v>
      </c>
      <c r="AL1730" s="14">
        <v>1.0780500166941801E-2</v>
      </c>
      <c r="AM1730" s="14">
        <v>0</v>
      </c>
      <c r="AN1730" s="14">
        <v>2.38051510846236E-2</v>
      </c>
      <c r="AO1730" s="14"/>
      <c r="AP1730" s="14">
        <v>1.1021318352342499E-2</v>
      </c>
      <c r="AQ1730" s="14">
        <v>1.6947085120864399E-2</v>
      </c>
      <c r="AR1730" s="14"/>
      <c r="AS1730" s="14" t="s">
        <v>88</v>
      </c>
      <c r="AT1730" s="14" t="s">
        <v>88</v>
      </c>
      <c r="AU1730" s="14">
        <v>1.35261204695203E-2</v>
      </c>
      <c r="AV1730" s="14"/>
      <c r="AW1730" s="14">
        <v>1.31922358651887E-2</v>
      </c>
      <c r="AX1730" s="14">
        <v>0</v>
      </c>
      <c r="AY1730" s="14"/>
      <c r="AZ1730" s="14">
        <v>7.9129758823940008E-3</v>
      </c>
      <c r="BA1730" s="14">
        <v>3.9174174880672097E-2</v>
      </c>
    </row>
    <row r="1731" spans="2:53" x14ac:dyDescent="0.35">
      <c r="C1731" s="14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  <c r="AO1731" s="14"/>
      <c r="AP1731" s="14"/>
      <c r="AQ1731" s="14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</row>
    <row r="1732" spans="2:53" x14ac:dyDescent="0.35">
      <c r="B1732" s="6" t="s">
        <v>394</v>
      </c>
      <c r="C1732" s="14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/>
      <c r="AN1732" s="14"/>
      <c r="AO1732" s="14"/>
      <c r="AP1732" s="14"/>
      <c r="AQ1732" s="14"/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</row>
    <row r="1733" spans="2:53" x14ac:dyDescent="0.35">
      <c r="B1733" s="30" t="s">
        <v>463</v>
      </c>
      <c r="C1733" s="14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/>
      <c r="AN1733" s="14"/>
      <c r="AO1733" s="14"/>
      <c r="AP1733" s="14"/>
      <c r="AQ1733" s="14"/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</row>
    <row r="1734" spans="2:53" x14ac:dyDescent="0.35">
      <c r="B1734" t="s">
        <v>231</v>
      </c>
      <c r="C1734" s="14">
        <v>0.10248322770995801</v>
      </c>
      <c r="D1734" s="14">
        <v>0.12205226911608</v>
      </c>
      <c r="E1734" s="14">
        <v>8.1544242012683302E-2</v>
      </c>
      <c r="F1734" s="14"/>
      <c r="G1734" s="14" t="s">
        <v>88</v>
      </c>
      <c r="H1734" s="14">
        <v>0.130769305842594</v>
      </c>
      <c r="I1734" s="14">
        <v>0.13339846504480399</v>
      </c>
      <c r="J1734" s="14">
        <v>6.91481629962101E-2</v>
      </c>
      <c r="K1734" s="14">
        <v>6.2715651628951305E-2</v>
      </c>
      <c r="L1734" s="14">
        <v>0.164211830627081</v>
      </c>
      <c r="M1734" s="14"/>
      <c r="N1734" s="14">
        <v>0.10242801759813901</v>
      </c>
      <c r="O1734" s="14">
        <v>4.7247044592404197E-2</v>
      </c>
      <c r="P1734" s="14">
        <v>0.16884688004675599</v>
      </c>
      <c r="Q1734" s="14">
        <v>9.6941418877076593E-2</v>
      </c>
      <c r="R1734" s="14"/>
      <c r="S1734" s="14">
        <v>0.16840429022082101</v>
      </c>
      <c r="T1734" s="14">
        <v>7.6808749604910798E-2</v>
      </c>
      <c r="U1734" s="14">
        <v>6.9418318247723002E-2</v>
      </c>
      <c r="V1734" s="14">
        <v>0.10812940170039299</v>
      </c>
      <c r="W1734" s="14">
        <v>5.6313968336517597E-2</v>
      </c>
      <c r="X1734" s="14">
        <v>9.9521778931956406E-2</v>
      </c>
      <c r="Y1734" s="14">
        <v>0.107752397214784</v>
      </c>
      <c r="Z1734" s="14">
        <v>0.147843579993471</v>
      </c>
      <c r="AA1734" s="14">
        <v>6.5042723388935506E-2</v>
      </c>
      <c r="AB1734" s="14"/>
      <c r="AC1734" s="14">
        <v>9.2833974347518694E-2</v>
      </c>
      <c r="AD1734" s="14">
        <v>8.2054244075575294E-2</v>
      </c>
      <c r="AE1734" s="14">
        <v>8.9408317583705502E-2</v>
      </c>
      <c r="AF1734" s="14">
        <v>0.178321359890944</v>
      </c>
      <c r="AG1734" s="14">
        <v>3.6103445911323001E-2</v>
      </c>
      <c r="AH1734" s="14"/>
      <c r="AI1734" s="14">
        <v>0.10614525138660701</v>
      </c>
      <c r="AJ1734" s="14">
        <v>0.10955851676613899</v>
      </c>
      <c r="AK1734" s="14">
        <v>0.11668035959368001</v>
      </c>
      <c r="AL1734" s="14">
        <v>5.8947162816499699E-2</v>
      </c>
      <c r="AM1734" s="14">
        <v>0.18763411623238399</v>
      </c>
      <c r="AN1734" s="14">
        <v>0</v>
      </c>
      <c r="AO1734" s="14"/>
      <c r="AP1734" s="14">
        <v>8.8132688441518101E-2</v>
      </c>
      <c r="AQ1734" s="14">
        <v>0.122154378983086</v>
      </c>
      <c r="AR1734" s="14"/>
      <c r="AS1734" s="14" t="s">
        <v>88</v>
      </c>
      <c r="AT1734" s="14" t="s">
        <v>88</v>
      </c>
      <c r="AU1734" s="14">
        <v>0.10248322770995801</v>
      </c>
      <c r="AV1734" s="14"/>
      <c r="AW1734" s="14">
        <v>9.1476057633458896E-2</v>
      </c>
      <c r="AX1734" s="14">
        <v>0.16889534146923299</v>
      </c>
      <c r="AY1734" s="14"/>
      <c r="AZ1734" s="14">
        <v>0.109760480471687</v>
      </c>
      <c r="BA1734" s="14">
        <v>7.0561188557104498E-2</v>
      </c>
    </row>
    <row r="1735" spans="2:53" x14ac:dyDescent="0.35">
      <c r="B1735" t="s">
        <v>232</v>
      </c>
      <c r="C1735" s="14">
        <v>0.70131851766018805</v>
      </c>
      <c r="D1735" s="14">
        <v>0.69064120362430004</v>
      </c>
      <c r="E1735" s="14">
        <v>0.71274330445699097</v>
      </c>
      <c r="F1735" s="14"/>
      <c r="G1735" s="14" t="s">
        <v>88</v>
      </c>
      <c r="H1735" s="14">
        <v>0.64537466446922298</v>
      </c>
      <c r="I1735" s="14">
        <v>0.66642829798971703</v>
      </c>
      <c r="J1735" s="14">
        <v>0.73685062749688301</v>
      </c>
      <c r="K1735" s="14">
        <v>0.78323295889686695</v>
      </c>
      <c r="L1735" s="14">
        <v>0.58504831000814606</v>
      </c>
      <c r="M1735" s="14"/>
      <c r="N1735" s="14">
        <v>0.68959864949939997</v>
      </c>
      <c r="O1735" s="14">
        <v>0.73898515294964895</v>
      </c>
      <c r="P1735" s="14">
        <v>0.63192380138446902</v>
      </c>
      <c r="Q1735" s="14">
        <v>0.74263198911087402</v>
      </c>
      <c r="R1735" s="14"/>
      <c r="S1735" s="14">
        <v>0.69802071118922804</v>
      </c>
      <c r="T1735" s="14">
        <v>0.72857052321099702</v>
      </c>
      <c r="U1735" s="14">
        <v>0.75504707692539197</v>
      </c>
      <c r="V1735" s="14">
        <v>0.62560251185590299</v>
      </c>
      <c r="W1735" s="14">
        <v>0.62736748015761801</v>
      </c>
      <c r="X1735" s="14">
        <v>0.73590933131252001</v>
      </c>
      <c r="Y1735" s="14">
        <v>0.72245160181456602</v>
      </c>
      <c r="Z1735" s="14">
        <v>0.63256887403894102</v>
      </c>
      <c r="AA1735" s="14">
        <v>0.75460847757541505</v>
      </c>
      <c r="AB1735" s="14"/>
      <c r="AC1735" s="14">
        <v>0.70667580912363004</v>
      </c>
      <c r="AD1735" s="14">
        <v>0.68880821208313303</v>
      </c>
      <c r="AE1735" s="14">
        <v>0.71559763813536803</v>
      </c>
      <c r="AF1735" s="14">
        <v>0.62970320177427097</v>
      </c>
      <c r="AG1735" s="14">
        <v>0.68919237616446005</v>
      </c>
      <c r="AH1735" s="14"/>
      <c r="AI1735" s="14">
        <v>0.716055700870319</v>
      </c>
      <c r="AJ1735" s="14">
        <v>0.68472757498704195</v>
      </c>
      <c r="AK1735" s="14">
        <v>0.70819013848770596</v>
      </c>
      <c r="AL1735" s="14">
        <v>0.71991847184290203</v>
      </c>
      <c r="AM1735" s="14">
        <v>0.63143356549025698</v>
      </c>
      <c r="AN1735" s="14">
        <v>0.82105223533698901</v>
      </c>
      <c r="AO1735" s="14"/>
      <c r="AP1735" s="14">
        <v>0.72329046292554999</v>
      </c>
      <c r="AQ1735" s="14">
        <v>0.67079333670543795</v>
      </c>
      <c r="AR1735" s="14"/>
      <c r="AS1735" s="14" t="s">
        <v>88</v>
      </c>
      <c r="AT1735" s="14" t="s">
        <v>88</v>
      </c>
      <c r="AU1735" s="14">
        <v>0.70131851766018805</v>
      </c>
      <c r="AV1735" s="14"/>
      <c r="AW1735" s="14">
        <v>0.74441301700754103</v>
      </c>
      <c r="AX1735" s="14">
        <v>0.57966225558267903</v>
      </c>
      <c r="AY1735" s="14"/>
      <c r="AZ1735" s="14">
        <v>0.68784787890810495</v>
      </c>
      <c r="BA1735" s="14">
        <v>0.75920068887456504</v>
      </c>
    </row>
    <row r="1736" spans="2:53" x14ac:dyDescent="0.35">
      <c r="B1736" t="s">
        <v>233</v>
      </c>
      <c r="C1736" s="14">
        <v>0.14243049151232801</v>
      </c>
      <c r="D1736" s="14">
        <v>0.143244864156052</v>
      </c>
      <c r="E1736" s="14">
        <v>0.14155910814789599</v>
      </c>
      <c r="F1736" s="14"/>
      <c r="G1736" s="14" t="s">
        <v>88</v>
      </c>
      <c r="H1736" s="14">
        <v>0.166543686710416</v>
      </c>
      <c r="I1736" s="14">
        <v>0.15479889759044099</v>
      </c>
      <c r="J1736" s="14">
        <v>0.13976760791847501</v>
      </c>
      <c r="K1736" s="14">
        <v>8.6528872403753898E-2</v>
      </c>
      <c r="L1736" s="14">
        <v>0.14994321969640101</v>
      </c>
      <c r="M1736" s="14"/>
      <c r="N1736" s="14">
        <v>0.14316111119234301</v>
      </c>
      <c r="O1736" s="14">
        <v>0.12814062554136599</v>
      </c>
      <c r="P1736" s="14">
        <v>0.19051118049164401</v>
      </c>
      <c r="Q1736" s="14">
        <v>0.113254910232519</v>
      </c>
      <c r="R1736" s="14"/>
      <c r="S1736" s="14">
        <v>0.107982215398336</v>
      </c>
      <c r="T1736" s="14">
        <v>0.16588895647055901</v>
      </c>
      <c r="U1736" s="14">
        <v>8.4877426220347496E-2</v>
      </c>
      <c r="V1736" s="14">
        <v>0.21097840429048001</v>
      </c>
      <c r="W1736" s="14">
        <v>0.18714034815498701</v>
      </c>
      <c r="X1736" s="14">
        <v>0.122434303660162</v>
      </c>
      <c r="Y1736" s="14">
        <v>0.15354083332225801</v>
      </c>
      <c r="Z1736" s="14">
        <v>0.11230583981113899</v>
      </c>
      <c r="AA1736" s="14">
        <v>0.13276884627663099</v>
      </c>
      <c r="AB1736" s="14"/>
      <c r="AC1736" s="14">
        <v>0.15607932224502399</v>
      </c>
      <c r="AD1736" s="14">
        <v>0.17829603206344599</v>
      </c>
      <c r="AE1736" s="14">
        <v>0.118335313178901</v>
      </c>
      <c r="AF1736" s="14">
        <v>0.15329471258890001</v>
      </c>
      <c r="AG1736" s="14">
        <v>0.27470417792421697</v>
      </c>
      <c r="AH1736" s="14"/>
      <c r="AI1736" s="14">
        <v>0.13603549180198901</v>
      </c>
      <c r="AJ1736" s="14">
        <v>0.175946086579919</v>
      </c>
      <c r="AK1736" s="14">
        <v>0.116230301397497</v>
      </c>
      <c r="AL1736" s="14">
        <v>0.15619710746370999</v>
      </c>
      <c r="AM1736" s="14">
        <v>0.174221785448714</v>
      </c>
      <c r="AN1736" s="14">
        <v>9.5073964434479893E-2</v>
      </c>
      <c r="AO1736" s="14"/>
      <c r="AP1736" s="14">
        <v>0.143486565503436</v>
      </c>
      <c r="AQ1736" s="14">
        <v>0.14141331565127499</v>
      </c>
      <c r="AR1736" s="14"/>
      <c r="AS1736" s="14" t="s">
        <v>88</v>
      </c>
      <c r="AT1736" s="14" t="s">
        <v>88</v>
      </c>
      <c r="AU1736" s="14">
        <v>0.14243049151232801</v>
      </c>
      <c r="AV1736" s="14"/>
      <c r="AW1736" s="14">
        <v>0.111431390427884</v>
      </c>
      <c r="AX1736" s="14">
        <v>0.22125972254780299</v>
      </c>
      <c r="AY1736" s="14"/>
      <c r="AZ1736" s="14">
        <v>0.15955432685246199</v>
      </c>
      <c r="BA1736" s="14">
        <v>6.6222123752340697E-2</v>
      </c>
    </row>
    <row r="1737" spans="2:53" x14ac:dyDescent="0.35">
      <c r="B1737" t="s">
        <v>116</v>
      </c>
      <c r="C1737" s="14">
        <v>5.3767763117526297E-2</v>
      </c>
      <c r="D1737" s="14">
        <v>4.4061663103568099E-2</v>
      </c>
      <c r="E1737" s="14">
        <v>6.4153345382429602E-2</v>
      </c>
      <c r="F1737" s="14"/>
      <c r="G1737" s="14" t="s">
        <v>88</v>
      </c>
      <c r="H1737" s="14">
        <v>5.7312342977767397E-2</v>
      </c>
      <c r="I1737" s="14">
        <v>4.5374339375038299E-2</v>
      </c>
      <c r="J1737" s="14">
        <v>5.4233601588432101E-2</v>
      </c>
      <c r="K1737" s="14">
        <v>6.7522517070427807E-2</v>
      </c>
      <c r="L1737" s="14">
        <v>0.100796639668372</v>
      </c>
      <c r="M1737" s="14"/>
      <c r="N1737" s="14">
        <v>6.4812221710118301E-2</v>
      </c>
      <c r="O1737" s="14">
        <v>8.56271769165807E-2</v>
      </c>
      <c r="P1737" s="14">
        <v>8.7181380771315098E-3</v>
      </c>
      <c r="Q1737" s="14">
        <v>4.7171681779530399E-2</v>
      </c>
      <c r="R1737" s="14"/>
      <c r="S1737" s="14">
        <v>2.55927831916163E-2</v>
      </c>
      <c r="T1737" s="14">
        <v>2.8731770713533701E-2</v>
      </c>
      <c r="U1737" s="14">
        <v>9.0657178606538005E-2</v>
      </c>
      <c r="V1737" s="14">
        <v>5.5289682153224502E-2</v>
      </c>
      <c r="W1737" s="14">
        <v>0.12917820335087801</v>
      </c>
      <c r="X1737" s="14">
        <v>4.2134586095360999E-2</v>
      </c>
      <c r="Y1737" s="14">
        <v>1.62551676483919E-2</v>
      </c>
      <c r="Z1737" s="14">
        <v>0.107281706156449</v>
      </c>
      <c r="AA1737" s="14">
        <v>4.75799527590186E-2</v>
      </c>
      <c r="AB1737" s="14"/>
      <c r="AC1737" s="14">
        <v>4.4410894283826899E-2</v>
      </c>
      <c r="AD1737" s="14">
        <v>5.0841511777845801E-2</v>
      </c>
      <c r="AE1737" s="14">
        <v>7.6658731102025396E-2</v>
      </c>
      <c r="AF1737" s="14">
        <v>3.86807257458847E-2</v>
      </c>
      <c r="AG1737" s="14">
        <v>0</v>
      </c>
      <c r="AH1737" s="14"/>
      <c r="AI1737" s="14">
        <v>4.1763555941085002E-2</v>
      </c>
      <c r="AJ1737" s="14">
        <v>2.9767821666900399E-2</v>
      </c>
      <c r="AK1737" s="14">
        <v>5.8899200521117898E-2</v>
      </c>
      <c r="AL1737" s="14">
        <v>6.4937257876888199E-2</v>
      </c>
      <c r="AM1737" s="14">
        <v>6.7105328286444698E-3</v>
      </c>
      <c r="AN1737" s="14">
        <v>8.38738002285314E-2</v>
      </c>
      <c r="AO1737" s="14"/>
      <c r="AP1737" s="14">
        <v>4.5090283129495798E-2</v>
      </c>
      <c r="AQ1737" s="14">
        <v>6.5638968660200595E-2</v>
      </c>
      <c r="AR1737" s="14"/>
      <c r="AS1737" s="14" t="s">
        <v>88</v>
      </c>
      <c r="AT1737" s="14" t="s">
        <v>88</v>
      </c>
      <c r="AU1737" s="14">
        <v>5.3767763117526297E-2</v>
      </c>
      <c r="AV1737" s="14"/>
      <c r="AW1737" s="14">
        <v>5.2679534931116698E-2</v>
      </c>
      <c r="AX1737" s="14">
        <v>3.0182680400284299E-2</v>
      </c>
      <c r="AY1737" s="14"/>
      <c r="AZ1737" s="14">
        <v>4.2837313767746299E-2</v>
      </c>
      <c r="BA1737" s="14">
        <v>0.10401599881599</v>
      </c>
    </row>
    <row r="1738" spans="2:53" x14ac:dyDescent="0.35">
      <c r="C1738" s="14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4"/>
      <c r="AP1738" s="14"/>
      <c r="AQ1738" s="14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</row>
    <row r="1739" spans="2:53" x14ac:dyDescent="0.35">
      <c r="B1739" s="6" t="s">
        <v>395</v>
      </c>
      <c r="C1739" s="14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  <c r="AO1739" s="14"/>
      <c r="AP1739" s="14"/>
      <c r="AQ1739" s="14"/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</row>
    <row r="1740" spans="2:53" x14ac:dyDescent="0.35">
      <c r="B1740" s="30" t="s">
        <v>463</v>
      </c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  <c r="AO1740" s="14"/>
      <c r="AP1740" s="14"/>
      <c r="AQ1740" s="14"/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</row>
    <row r="1741" spans="2:53" x14ac:dyDescent="0.35">
      <c r="B1741" t="s">
        <v>235</v>
      </c>
      <c r="C1741" s="14">
        <v>0.31776054746176302</v>
      </c>
      <c r="D1741" s="14">
        <v>0.35169361578688302</v>
      </c>
      <c r="E1741" s="14">
        <v>0.28145197119690601</v>
      </c>
      <c r="F1741" s="14"/>
      <c r="G1741" s="14" t="s">
        <v>88</v>
      </c>
      <c r="H1741" s="14">
        <v>0.32684181236491</v>
      </c>
      <c r="I1741" s="14">
        <v>0.30166377448946602</v>
      </c>
      <c r="J1741" s="14">
        <v>0.29288191092257398</v>
      </c>
      <c r="K1741" s="14">
        <v>0.38116146031098802</v>
      </c>
      <c r="L1741" s="14">
        <v>0.58670669226088001</v>
      </c>
      <c r="M1741" s="14"/>
      <c r="N1741" s="14">
        <v>0.41643870150274398</v>
      </c>
      <c r="O1741" s="14">
        <v>0.307272795084925</v>
      </c>
      <c r="P1741" s="14">
        <v>0.20893035698738899</v>
      </c>
      <c r="Q1741" s="14">
        <v>0.32078982247909099</v>
      </c>
      <c r="R1741" s="14"/>
      <c r="S1741" s="14">
        <v>0.44099911968905398</v>
      </c>
      <c r="T1741" s="14">
        <v>0.27266124697656002</v>
      </c>
      <c r="U1741" s="14">
        <v>0.223756805930203</v>
      </c>
      <c r="V1741" s="14">
        <v>0.25946995641852999</v>
      </c>
      <c r="W1741" s="14">
        <v>0.31612129634903002</v>
      </c>
      <c r="X1741" s="14">
        <v>0.31883485704070302</v>
      </c>
      <c r="Y1741" s="14">
        <v>0.29000773807728703</v>
      </c>
      <c r="Z1741" s="14">
        <v>0.26377604157928602</v>
      </c>
      <c r="AA1741" s="14">
        <v>0.33697884019730201</v>
      </c>
      <c r="AB1741" s="14"/>
      <c r="AC1741" s="14">
        <v>0.32709971412739097</v>
      </c>
      <c r="AD1741" s="14">
        <v>0.290695682157458</v>
      </c>
      <c r="AE1741" s="14">
        <v>0.29252738108617499</v>
      </c>
      <c r="AF1741" s="14">
        <v>0.33682385532301701</v>
      </c>
      <c r="AG1741" s="14">
        <v>0.62935062337421899</v>
      </c>
      <c r="AH1741" s="14"/>
      <c r="AI1741" s="14">
        <v>0.395551176751894</v>
      </c>
      <c r="AJ1741" s="14">
        <v>0.28086736721730099</v>
      </c>
      <c r="AK1741" s="14">
        <v>0.29689288265860497</v>
      </c>
      <c r="AL1741" s="14">
        <v>0.324961478678085</v>
      </c>
      <c r="AM1741" s="14">
        <v>0.29930518691834201</v>
      </c>
      <c r="AN1741" s="14">
        <v>0.15628898633079399</v>
      </c>
      <c r="AO1741" s="14"/>
      <c r="AP1741" s="14">
        <v>0.37654448342756203</v>
      </c>
      <c r="AQ1741" s="14">
        <v>0.239298792745647</v>
      </c>
      <c r="AR1741" s="14"/>
      <c r="AS1741" s="14" t="s">
        <v>88</v>
      </c>
      <c r="AT1741" s="14" t="s">
        <v>88</v>
      </c>
      <c r="AU1741" s="14">
        <v>0.31776054746176302</v>
      </c>
      <c r="AV1741" s="14"/>
      <c r="AW1741" s="14">
        <v>0.30447076682792101</v>
      </c>
      <c r="AX1741" s="14">
        <v>0.41075583143598998</v>
      </c>
      <c r="AY1741" s="14"/>
      <c r="AZ1741" s="14">
        <v>0.33344873208147202</v>
      </c>
      <c r="BA1741" s="14">
        <v>0.25001637901364798</v>
      </c>
    </row>
    <row r="1742" spans="2:53" x14ac:dyDescent="0.35">
      <c r="B1742" t="s">
        <v>236</v>
      </c>
      <c r="C1742" s="14">
        <v>0.54972539231138695</v>
      </c>
      <c r="D1742" s="14">
        <v>0.55413908874312401</v>
      </c>
      <c r="E1742" s="14">
        <v>0.54500271200537298</v>
      </c>
      <c r="F1742" s="14"/>
      <c r="G1742" s="14" t="s">
        <v>88</v>
      </c>
      <c r="H1742" s="14">
        <v>0.506602117753438</v>
      </c>
      <c r="I1742" s="14">
        <v>0.55325876939766006</v>
      </c>
      <c r="J1742" s="14">
        <v>0.57014969990933895</v>
      </c>
      <c r="K1742" s="14">
        <v>0.55739014738702897</v>
      </c>
      <c r="L1742" s="14">
        <v>0.33995225060402301</v>
      </c>
      <c r="M1742" s="14"/>
      <c r="N1742" s="14">
        <v>0.47487515795413698</v>
      </c>
      <c r="O1742" s="14">
        <v>0.53699129912587495</v>
      </c>
      <c r="P1742" s="14">
        <v>0.62741744239519304</v>
      </c>
      <c r="Q1742" s="14">
        <v>0.56796286702005805</v>
      </c>
      <c r="R1742" s="14"/>
      <c r="S1742" s="14">
        <v>0.50464696490721594</v>
      </c>
      <c r="T1742" s="14">
        <v>0.56043259517021404</v>
      </c>
      <c r="U1742" s="14">
        <v>0.56963453627843996</v>
      </c>
      <c r="V1742" s="14">
        <v>0.59707878889504395</v>
      </c>
      <c r="W1742" s="14">
        <v>0.48260272977511898</v>
      </c>
      <c r="X1742" s="14">
        <v>0.50920901138368502</v>
      </c>
      <c r="Y1742" s="14">
        <v>0.58436953213068399</v>
      </c>
      <c r="Z1742" s="14">
        <v>0.58473014859763095</v>
      </c>
      <c r="AA1742" s="14">
        <v>0.61129977439735705</v>
      </c>
      <c r="AB1742" s="14"/>
      <c r="AC1742" s="14">
        <v>0.54008462252789002</v>
      </c>
      <c r="AD1742" s="14">
        <v>0.57122698511078496</v>
      </c>
      <c r="AE1742" s="14">
        <v>0.55995127512239096</v>
      </c>
      <c r="AF1742" s="14">
        <v>0.55803619139784399</v>
      </c>
      <c r="AG1742" s="14">
        <v>0.306609899265541</v>
      </c>
      <c r="AH1742" s="14"/>
      <c r="AI1742" s="14">
        <v>0.51450138135965096</v>
      </c>
      <c r="AJ1742" s="14">
        <v>0.57761911163886004</v>
      </c>
      <c r="AK1742" s="14">
        <v>0.538327077043394</v>
      </c>
      <c r="AL1742" s="14">
        <v>0.55166901987197603</v>
      </c>
      <c r="AM1742" s="14">
        <v>0.58120244083453099</v>
      </c>
      <c r="AN1742" s="14">
        <v>0.54898189269521103</v>
      </c>
      <c r="AO1742" s="14"/>
      <c r="AP1742" s="14">
        <v>0.53995687184095098</v>
      </c>
      <c r="AQ1742" s="14">
        <v>0.56162309432153301</v>
      </c>
      <c r="AR1742" s="14"/>
      <c r="AS1742" s="14" t="s">
        <v>88</v>
      </c>
      <c r="AT1742" s="14" t="s">
        <v>88</v>
      </c>
      <c r="AU1742" s="14">
        <v>0.54972539231138695</v>
      </c>
      <c r="AV1742" s="14"/>
      <c r="AW1742" s="14">
        <v>0.55130937720086803</v>
      </c>
      <c r="AX1742" s="14">
        <v>0.539756598056232</v>
      </c>
      <c r="AY1742" s="14"/>
      <c r="AZ1742" s="14">
        <v>0.54231773706002395</v>
      </c>
      <c r="BA1742" s="14">
        <v>0.57838631346465996</v>
      </c>
    </row>
    <row r="1743" spans="2:53" x14ac:dyDescent="0.35">
      <c r="B1743" t="s">
        <v>237</v>
      </c>
      <c r="C1743" s="14">
        <v>9.8662201299344304E-2</v>
      </c>
      <c r="D1743" s="14">
        <v>6.8498638204646994E-2</v>
      </c>
      <c r="E1743" s="14">
        <v>0.13093738551051801</v>
      </c>
      <c r="F1743" s="14"/>
      <c r="G1743" s="14" t="s">
        <v>88</v>
      </c>
      <c r="H1743" s="14">
        <v>0.166556069881653</v>
      </c>
      <c r="I1743" s="14">
        <v>0.10637330169975</v>
      </c>
      <c r="J1743" s="14">
        <v>0.102733110454619</v>
      </c>
      <c r="K1743" s="14">
        <v>2.8294851807201898E-2</v>
      </c>
      <c r="L1743" s="14">
        <v>0</v>
      </c>
      <c r="M1743" s="14"/>
      <c r="N1743" s="14">
        <v>7.3606173802879996E-2</v>
      </c>
      <c r="O1743" s="14">
        <v>0.114304758759934</v>
      </c>
      <c r="P1743" s="14">
        <v>0.14549731656267501</v>
      </c>
      <c r="Q1743" s="14">
        <v>6.98935716988002E-2</v>
      </c>
      <c r="R1743" s="14"/>
      <c r="S1743" s="14">
        <v>4.3788064668844502E-2</v>
      </c>
      <c r="T1743" s="14">
        <v>0.112792886302182</v>
      </c>
      <c r="U1743" s="14">
        <v>0.16150800749816799</v>
      </c>
      <c r="V1743" s="14">
        <v>0.12579033301221601</v>
      </c>
      <c r="W1743" s="14">
        <v>0.146650406983062</v>
      </c>
      <c r="X1743" s="14">
        <v>0.13674833867167399</v>
      </c>
      <c r="Y1743" s="14">
        <v>0.100731421318088</v>
      </c>
      <c r="Z1743" s="14">
        <v>7.3367402522892103E-2</v>
      </c>
      <c r="AA1743" s="14">
        <v>3.5861401152335298E-2</v>
      </c>
      <c r="AB1743" s="14"/>
      <c r="AC1743" s="14">
        <v>8.2440449947281502E-2</v>
      </c>
      <c r="AD1743" s="14">
        <v>0.105781889051853</v>
      </c>
      <c r="AE1743" s="14">
        <v>0.104815368014018</v>
      </c>
      <c r="AF1743" s="14">
        <v>0.10092817304385999</v>
      </c>
      <c r="AG1743" s="14">
        <v>6.4039477360239502E-2</v>
      </c>
      <c r="AH1743" s="14"/>
      <c r="AI1743" s="14">
        <v>6.2111141871011299E-2</v>
      </c>
      <c r="AJ1743" s="14">
        <v>9.6013477901174898E-2</v>
      </c>
      <c r="AK1743" s="14">
        <v>0.14630487206878401</v>
      </c>
      <c r="AL1743" s="14">
        <v>0.102085982880813</v>
      </c>
      <c r="AM1743" s="14">
        <v>0.11278183941848299</v>
      </c>
      <c r="AN1743" s="14">
        <v>0.19400114515636499</v>
      </c>
      <c r="AO1743" s="14"/>
      <c r="AP1743" s="14">
        <v>5.9130240272121097E-2</v>
      </c>
      <c r="AQ1743" s="14">
        <v>0.15232393311655501</v>
      </c>
      <c r="AR1743" s="14"/>
      <c r="AS1743" s="14" t="s">
        <v>88</v>
      </c>
      <c r="AT1743" s="14" t="s">
        <v>88</v>
      </c>
      <c r="AU1743" s="14">
        <v>9.8662201299344304E-2</v>
      </c>
      <c r="AV1743" s="14"/>
      <c r="AW1743" s="14">
        <v>0.11343254940516399</v>
      </c>
      <c r="AX1743" s="14">
        <v>2.9947495654696898E-2</v>
      </c>
      <c r="AY1743" s="14"/>
      <c r="AZ1743" s="14">
        <v>9.6131222759186494E-2</v>
      </c>
      <c r="BA1743" s="14">
        <v>0.11125255074052499</v>
      </c>
    </row>
    <row r="1744" spans="2:53" x14ac:dyDescent="0.35">
      <c r="B1744" t="s">
        <v>238</v>
      </c>
      <c r="C1744" s="14">
        <v>1.6980512496625699E-2</v>
      </c>
      <c r="D1744" s="14">
        <v>1.43570446212028E-2</v>
      </c>
      <c r="E1744" s="14">
        <v>1.9787638056876899E-2</v>
      </c>
      <c r="F1744" s="14"/>
      <c r="G1744" s="14" t="s">
        <v>88</v>
      </c>
      <c r="H1744" s="14">
        <v>0</v>
      </c>
      <c r="I1744" s="14">
        <v>2.48145266059966E-2</v>
      </c>
      <c r="J1744" s="14">
        <v>1.92440664368068E-2</v>
      </c>
      <c r="K1744" s="14">
        <v>0</v>
      </c>
      <c r="L1744" s="14">
        <v>0</v>
      </c>
      <c r="M1744" s="14"/>
      <c r="N1744" s="14">
        <v>2.16547993103656E-2</v>
      </c>
      <c r="O1744" s="14">
        <v>1.28624172356586E-2</v>
      </c>
      <c r="P1744" s="14">
        <v>8.0209204105351796E-3</v>
      </c>
      <c r="Q1744" s="14">
        <v>2.5035156217262801E-2</v>
      </c>
      <c r="R1744" s="14"/>
      <c r="S1744" s="14">
        <v>0</v>
      </c>
      <c r="T1744" s="14">
        <v>3.6024035800088901E-2</v>
      </c>
      <c r="U1744" s="14">
        <v>1.92952625582378E-2</v>
      </c>
      <c r="V1744" s="14">
        <v>0</v>
      </c>
      <c r="W1744" s="14">
        <v>0</v>
      </c>
      <c r="X1744" s="14">
        <v>3.52077929039388E-2</v>
      </c>
      <c r="Y1744" s="14">
        <v>1.2445654236970799E-2</v>
      </c>
      <c r="Z1744" s="14">
        <v>5.3886243502045898E-2</v>
      </c>
      <c r="AA1744" s="14">
        <v>1.58599842530062E-2</v>
      </c>
      <c r="AB1744" s="14"/>
      <c r="AC1744" s="14">
        <v>1.91803871768426E-2</v>
      </c>
      <c r="AD1744" s="14">
        <v>2.7561142338511601E-2</v>
      </c>
      <c r="AE1744" s="14">
        <v>1.8555964180181701E-2</v>
      </c>
      <c r="AF1744" s="14">
        <v>0</v>
      </c>
      <c r="AG1744" s="14">
        <v>0</v>
      </c>
      <c r="AH1744" s="14"/>
      <c r="AI1744" s="14">
        <v>1.8384481296004E-2</v>
      </c>
      <c r="AJ1744" s="14">
        <v>4.5500043242663803E-2</v>
      </c>
      <c r="AK1744" s="14">
        <v>0</v>
      </c>
      <c r="AL1744" s="14">
        <v>9.4634893907496499E-3</v>
      </c>
      <c r="AM1744" s="14">
        <v>0</v>
      </c>
      <c r="AN1744" s="14">
        <v>0</v>
      </c>
      <c r="AO1744" s="14"/>
      <c r="AP1744" s="14">
        <v>8.2731318303548105E-3</v>
      </c>
      <c r="AQ1744" s="14">
        <v>2.8786505572895901E-2</v>
      </c>
      <c r="AR1744" s="14"/>
      <c r="AS1744" s="14" t="s">
        <v>88</v>
      </c>
      <c r="AT1744" s="14" t="s">
        <v>88</v>
      </c>
      <c r="AU1744" s="14">
        <v>1.6980512496625699E-2</v>
      </c>
      <c r="AV1744" s="14"/>
      <c r="AW1744" s="14">
        <v>1.32469158441894E-2</v>
      </c>
      <c r="AX1744" s="14">
        <v>1.9540074853080899E-2</v>
      </c>
      <c r="AY1744" s="14"/>
      <c r="AZ1744" s="14">
        <v>1.8479626066900099E-2</v>
      </c>
      <c r="BA1744" s="14">
        <v>1.03588034045727E-2</v>
      </c>
    </row>
    <row r="1745" spans="2:53" x14ac:dyDescent="0.35">
      <c r="B1745" t="s">
        <v>116</v>
      </c>
      <c r="C1745" s="14">
        <v>1.6871346430880601E-2</v>
      </c>
      <c r="D1745" s="14">
        <v>1.13116126441427E-2</v>
      </c>
      <c r="E1745" s="14">
        <v>2.2820293230325601E-2</v>
      </c>
      <c r="F1745" s="14"/>
      <c r="G1745" s="14" t="s">
        <v>88</v>
      </c>
      <c r="H1745" s="14">
        <v>0</v>
      </c>
      <c r="I1745" s="14">
        <v>1.3889627807127099E-2</v>
      </c>
      <c r="J1745" s="14">
        <v>1.49912122766615E-2</v>
      </c>
      <c r="K1745" s="14">
        <v>3.3153540494780399E-2</v>
      </c>
      <c r="L1745" s="14">
        <v>7.3341057135097004E-2</v>
      </c>
      <c r="M1745" s="14"/>
      <c r="N1745" s="14">
        <v>1.34251674298733E-2</v>
      </c>
      <c r="O1745" s="14">
        <v>2.8568729793607701E-2</v>
      </c>
      <c r="P1745" s="14">
        <v>1.01339636442071E-2</v>
      </c>
      <c r="Q1745" s="14">
        <v>1.63185825847879E-2</v>
      </c>
      <c r="R1745" s="14"/>
      <c r="S1745" s="14">
        <v>1.0565850734885401E-2</v>
      </c>
      <c r="T1745" s="14">
        <v>1.80892357509548E-2</v>
      </c>
      <c r="U1745" s="14">
        <v>2.58053877349519E-2</v>
      </c>
      <c r="V1745" s="14">
        <v>1.7660921674209601E-2</v>
      </c>
      <c r="W1745" s="14">
        <v>5.4625566892789502E-2</v>
      </c>
      <c r="X1745" s="14">
        <v>0</v>
      </c>
      <c r="Y1745" s="14">
        <v>1.2445654236970799E-2</v>
      </c>
      <c r="Z1745" s="14">
        <v>2.4240163798144601E-2</v>
      </c>
      <c r="AA1745" s="14">
        <v>0</v>
      </c>
      <c r="AB1745" s="14"/>
      <c r="AC1745" s="14">
        <v>3.1194826220594302E-2</v>
      </c>
      <c r="AD1745" s="14">
        <v>4.7343013413933101E-3</v>
      </c>
      <c r="AE1745" s="14">
        <v>2.4150011597234299E-2</v>
      </c>
      <c r="AF1745" s="14">
        <v>4.2117802352777903E-3</v>
      </c>
      <c r="AG1745" s="14">
        <v>0</v>
      </c>
      <c r="AH1745" s="14"/>
      <c r="AI1745" s="14">
        <v>9.4518187214398704E-3</v>
      </c>
      <c r="AJ1745" s="14">
        <v>0</v>
      </c>
      <c r="AK1745" s="14">
        <v>1.8475168229217302E-2</v>
      </c>
      <c r="AL1745" s="14">
        <v>1.18200291783756E-2</v>
      </c>
      <c r="AM1745" s="14">
        <v>6.7105328286444698E-3</v>
      </c>
      <c r="AN1745" s="14">
        <v>0.100727975817629</v>
      </c>
      <c r="AO1745" s="14"/>
      <c r="AP1745" s="14">
        <v>1.6095272629011299E-2</v>
      </c>
      <c r="AQ1745" s="14">
        <v>1.79676742433693E-2</v>
      </c>
      <c r="AR1745" s="14"/>
      <c r="AS1745" s="14" t="s">
        <v>88</v>
      </c>
      <c r="AT1745" s="14" t="s">
        <v>88</v>
      </c>
      <c r="AU1745" s="14">
        <v>1.6871346430880601E-2</v>
      </c>
      <c r="AV1745" s="14"/>
      <c r="AW1745" s="14">
        <v>1.7540390721857001E-2</v>
      </c>
      <c r="AX1745" s="14">
        <v>0</v>
      </c>
      <c r="AY1745" s="14"/>
      <c r="AZ1745" s="14">
        <v>9.6226820324171701E-3</v>
      </c>
      <c r="BA1745" s="14">
        <v>4.9985953376594998E-2</v>
      </c>
    </row>
    <row r="1746" spans="2:53" x14ac:dyDescent="0.35">
      <c r="C1746" s="14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4"/>
      <c r="AP1746" s="14"/>
      <c r="AQ1746" s="14"/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</row>
    <row r="1747" spans="2:53" x14ac:dyDescent="0.35">
      <c r="B1747" s="6" t="s">
        <v>396</v>
      </c>
      <c r="C1747" s="14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/>
      <c r="AN1747" s="14"/>
      <c r="AO1747" s="14"/>
      <c r="AP1747" s="14"/>
      <c r="AQ1747" s="14"/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</row>
    <row r="1748" spans="2:53" x14ac:dyDescent="0.35">
      <c r="B1748" s="30" t="s">
        <v>463</v>
      </c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</row>
    <row r="1749" spans="2:53" x14ac:dyDescent="0.35">
      <c r="B1749" t="s">
        <v>220</v>
      </c>
      <c r="C1749" s="14">
        <v>0.22197665289881299</v>
      </c>
      <c r="D1749" s="14">
        <v>0.28062763657713302</v>
      </c>
      <c r="E1749" s="14">
        <v>0.159219766504409</v>
      </c>
      <c r="F1749" s="14"/>
      <c r="G1749" s="14" t="s">
        <v>88</v>
      </c>
      <c r="H1749" s="14">
        <v>0.31681356249377901</v>
      </c>
      <c r="I1749" s="14">
        <v>0.25721187845350701</v>
      </c>
      <c r="J1749" s="14">
        <v>0.17492911238387901</v>
      </c>
      <c r="K1749" s="14">
        <v>0.17967163440332901</v>
      </c>
      <c r="L1749" s="14">
        <v>0.19178233778672901</v>
      </c>
      <c r="M1749" s="14"/>
      <c r="N1749" s="14">
        <v>0.32786944372701798</v>
      </c>
      <c r="O1749" s="14">
        <v>0.13809488054766</v>
      </c>
      <c r="P1749" s="14">
        <v>0.16849557064200199</v>
      </c>
      <c r="Q1749" s="14">
        <v>0.22931174583115799</v>
      </c>
      <c r="R1749" s="14"/>
      <c r="S1749" s="14">
        <v>0.26057098875759399</v>
      </c>
      <c r="T1749" s="14">
        <v>0.29366572141076602</v>
      </c>
      <c r="U1749" s="14">
        <v>0.14471728347816001</v>
      </c>
      <c r="V1749" s="14">
        <v>0.15635845260600501</v>
      </c>
      <c r="W1749" s="14">
        <v>0.15506423297240099</v>
      </c>
      <c r="X1749" s="14">
        <v>0.225377134234714</v>
      </c>
      <c r="Y1749" s="14">
        <v>0.183159886935231</v>
      </c>
      <c r="Z1749" s="14">
        <v>0.33901444490878302</v>
      </c>
      <c r="AA1749" s="14">
        <v>0.20209458354936899</v>
      </c>
      <c r="AB1749" s="14"/>
      <c r="AC1749" s="14">
        <v>0.171006822471197</v>
      </c>
      <c r="AD1749" s="14">
        <v>0.144226254660306</v>
      </c>
      <c r="AE1749" s="14">
        <v>0.15614524804607999</v>
      </c>
      <c r="AF1749" s="14">
        <v>0.38459058369562199</v>
      </c>
      <c r="AG1749" s="14">
        <v>0.60229116084517897</v>
      </c>
      <c r="AH1749" s="14"/>
      <c r="AI1749" s="14">
        <v>0.28191694526818301</v>
      </c>
      <c r="AJ1749" s="14">
        <v>0.25298640574865999</v>
      </c>
      <c r="AK1749" s="14">
        <v>0.156946909896201</v>
      </c>
      <c r="AL1749" s="14">
        <v>0.16045577685280801</v>
      </c>
      <c r="AM1749" s="14">
        <v>0.183878621524904</v>
      </c>
      <c r="AN1749" s="14">
        <v>0.19575248124939101</v>
      </c>
      <c r="AO1749" s="14"/>
      <c r="AP1749" s="14">
        <v>0.24464331067683801</v>
      </c>
      <c r="AQ1749" s="14">
        <v>0.192007812891548</v>
      </c>
      <c r="AR1749" s="14"/>
      <c r="AS1749" s="14" t="s">
        <v>88</v>
      </c>
      <c r="AT1749" s="14" t="s">
        <v>88</v>
      </c>
      <c r="AU1749" s="14">
        <v>0.22197665289881299</v>
      </c>
      <c r="AV1749" s="14"/>
      <c r="AW1749" s="14">
        <v>0.194736339104919</v>
      </c>
      <c r="AX1749" s="14">
        <v>0.35816943417557401</v>
      </c>
      <c r="AY1749" s="14"/>
      <c r="AZ1749" s="14">
        <v>0.25145632191844203</v>
      </c>
      <c r="BA1749" s="14">
        <v>9.0522220484462998E-2</v>
      </c>
    </row>
    <row r="1750" spans="2:53" x14ac:dyDescent="0.35">
      <c r="B1750" t="s">
        <v>221</v>
      </c>
      <c r="C1750" s="14">
        <v>0.42197911264385601</v>
      </c>
      <c r="D1750" s="14">
        <v>0.47055814289796999</v>
      </c>
      <c r="E1750" s="14">
        <v>0.369999273745867</v>
      </c>
      <c r="F1750" s="14"/>
      <c r="G1750" s="14" t="s">
        <v>88</v>
      </c>
      <c r="H1750" s="14">
        <v>0.45096880074110901</v>
      </c>
      <c r="I1750" s="14">
        <v>0.42444820469782901</v>
      </c>
      <c r="J1750" s="14">
        <v>0.39575626800187902</v>
      </c>
      <c r="K1750" s="14">
        <v>0.49325049683015298</v>
      </c>
      <c r="L1750" s="14">
        <v>0.34003940475517103</v>
      </c>
      <c r="M1750" s="14"/>
      <c r="N1750" s="14">
        <v>0.38716626251448899</v>
      </c>
      <c r="O1750" s="14">
        <v>0.41008307947869699</v>
      </c>
      <c r="P1750" s="14">
        <v>0.49895048674798298</v>
      </c>
      <c r="Q1750" s="14">
        <v>0.41474878028401302</v>
      </c>
      <c r="R1750" s="14"/>
      <c r="S1750" s="14">
        <v>0.57593849047449397</v>
      </c>
      <c r="T1750" s="14">
        <v>0.30178870160135401</v>
      </c>
      <c r="U1750" s="14">
        <v>0.33149947940470598</v>
      </c>
      <c r="V1750" s="14">
        <v>0.52791777875397095</v>
      </c>
      <c r="W1750" s="14">
        <v>0.32584467520182298</v>
      </c>
      <c r="X1750" s="14">
        <v>0.46935749381414599</v>
      </c>
      <c r="Y1750" s="14">
        <v>0.46714334683120601</v>
      </c>
      <c r="Z1750" s="14">
        <v>0.30735470702390599</v>
      </c>
      <c r="AA1750" s="14">
        <v>0.36631528373250299</v>
      </c>
      <c r="AB1750" s="14"/>
      <c r="AC1750" s="14">
        <v>0.39891682312735</v>
      </c>
      <c r="AD1750" s="14">
        <v>0.46661691034522901</v>
      </c>
      <c r="AE1750" s="14">
        <v>0.47236315660853101</v>
      </c>
      <c r="AF1750" s="14">
        <v>0.42121870563980202</v>
      </c>
      <c r="AG1750" s="14">
        <v>0.36949671299033399</v>
      </c>
      <c r="AH1750" s="14"/>
      <c r="AI1750" s="14">
        <v>0.45903797524303802</v>
      </c>
      <c r="AJ1750" s="14">
        <v>0.485993814785525</v>
      </c>
      <c r="AK1750" s="14">
        <v>0.44783616801597298</v>
      </c>
      <c r="AL1750" s="14">
        <v>0.37758875939839898</v>
      </c>
      <c r="AM1750" s="14">
        <v>0.28056340840869898</v>
      </c>
      <c r="AN1750" s="14">
        <v>0.27830370590174303</v>
      </c>
      <c r="AO1750" s="14"/>
      <c r="AP1750" s="14">
        <v>0.42259284572171002</v>
      </c>
      <c r="AQ1750" s="14">
        <v>0.42236156999251601</v>
      </c>
      <c r="AR1750" s="14"/>
      <c r="AS1750" s="14" t="s">
        <v>88</v>
      </c>
      <c r="AT1750" s="14" t="s">
        <v>88</v>
      </c>
      <c r="AU1750" s="14">
        <v>0.42197911264385601</v>
      </c>
      <c r="AV1750" s="14"/>
      <c r="AW1750" s="14">
        <v>0.41811152430582899</v>
      </c>
      <c r="AX1750" s="14">
        <v>0.437022857425301</v>
      </c>
      <c r="AY1750" s="14"/>
      <c r="AZ1750" s="14">
        <v>0.432024313032768</v>
      </c>
      <c r="BA1750" s="14">
        <v>0.36994354051284001</v>
      </c>
    </row>
    <row r="1751" spans="2:53" x14ac:dyDescent="0.35">
      <c r="B1751" t="s">
        <v>222</v>
      </c>
      <c r="C1751" s="14">
        <v>0.181370041717791</v>
      </c>
      <c r="D1751" s="14">
        <v>0.12280095573805699</v>
      </c>
      <c r="E1751" s="14">
        <v>0.24403929710852201</v>
      </c>
      <c r="F1751" s="14"/>
      <c r="G1751" s="14" t="s">
        <v>88</v>
      </c>
      <c r="H1751" s="14">
        <v>0.124641259976065</v>
      </c>
      <c r="I1751" s="14">
        <v>0.16241771879567601</v>
      </c>
      <c r="J1751" s="14">
        <v>0.201290253295279</v>
      </c>
      <c r="K1751" s="14">
        <v>0.22763907298080499</v>
      </c>
      <c r="L1751" s="14">
        <v>0.189982815560052</v>
      </c>
      <c r="M1751" s="14"/>
      <c r="N1751" s="14">
        <v>0.114020050996126</v>
      </c>
      <c r="O1751" s="14">
        <v>0.23969448579709399</v>
      </c>
      <c r="P1751" s="14">
        <v>0.200175570086913</v>
      </c>
      <c r="Q1751" s="14">
        <v>0.16712585427492899</v>
      </c>
      <c r="R1751" s="14"/>
      <c r="S1751" s="14">
        <v>6.2132615163840499E-2</v>
      </c>
      <c r="T1751" s="14">
        <v>0.251907930199403</v>
      </c>
      <c r="U1751" s="14">
        <v>0.23612184561658001</v>
      </c>
      <c r="V1751" s="14">
        <v>0.18993344248833399</v>
      </c>
      <c r="W1751" s="14">
        <v>0.36592956538542398</v>
      </c>
      <c r="X1751" s="14">
        <v>0.11817164429881399</v>
      </c>
      <c r="Y1751" s="14">
        <v>0.12549813243649199</v>
      </c>
      <c r="Z1751" s="14">
        <v>0.16920389309116199</v>
      </c>
      <c r="AA1751" s="14">
        <v>0.17646356762941501</v>
      </c>
      <c r="AB1751" s="14"/>
      <c r="AC1751" s="14">
        <v>0.26418588204814902</v>
      </c>
      <c r="AD1751" s="14">
        <v>0.15911641638426</v>
      </c>
      <c r="AE1751" s="14">
        <v>0.200645073121024</v>
      </c>
      <c r="AF1751" s="14">
        <v>9.9337209019450701E-2</v>
      </c>
      <c r="AG1751" s="14">
        <v>1.46568246325425E-2</v>
      </c>
      <c r="AH1751" s="14"/>
      <c r="AI1751" s="14">
        <v>0.121329036861204</v>
      </c>
      <c r="AJ1751" s="14">
        <v>0.115891588247164</v>
      </c>
      <c r="AK1751" s="14">
        <v>0.22399110090594199</v>
      </c>
      <c r="AL1751" s="14">
        <v>0.24182505285046399</v>
      </c>
      <c r="AM1751" s="14">
        <v>0.14608447668823099</v>
      </c>
      <c r="AN1751" s="14">
        <v>0.36423498987779102</v>
      </c>
      <c r="AO1751" s="14"/>
      <c r="AP1751" s="14">
        <v>0.16751568745259801</v>
      </c>
      <c r="AQ1751" s="14">
        <v>0.19772744644183801</v>
      </c>
      <c r="AR1751" s="14"/>
      <c r="AS1751" s="14" t="s">
        <v>88</v>
      </c>
      <c r="AT1751" s="14" t="s">
        <v>88</v>
      </c>
      <c r="AU1751" s="14">
        <v>0.181370041717791</v>
      </c>
      <c r="AV1751" s="14"/>
      <c r="AW1751" s="14">
        <v>0.18131668794226599</v>
      </c>
      <c r="AX1751" s="14">
        <v>0.12747043410058601</v>
      </c>
      <c r="AY1751" s="14"/>
      <c r="AZ1751" s="14">
        <v>0.17339698855261601</v>
      </c>
      <c r="BA1751" s="14">
        <v>0.219597870003859</v>
      </c>
    </row>
    <row r="1752" spans="2:53" x14ac:dyDescent="0.35">
      <c r="B1752" t="s">
        <v>223</v>
      </c>
      <c r="C1752" s="14">
        <v>0.12491717399736101</v>
      </c>
      <c r="D1752" s="14">
        <v>6.9881422923998099E-2</v>
      </c>
      <c r="E1752" s="14">
        <v>0.18380574092549701</v>
      </c>
      <c r="F1752" s="14"/>
      <c r="G1752" s="14" t="s">
        <v>88</v>
      </c>
      <c r="H1752" s="14">
        <v>1.43898228097244E-2</v>
      </c>
      <c r="I1752" s="14">
        <v>0.112025422781727</v>
      </c>
      <c r="J1752" s="14">
        <v>0.18941781528636401</v>
      </c>
      <c r="K1752" s="14">
        <v>1.6413708142884599E-2</v>
      </c>
      <c r="L1752" s="14">
        <v>0.27819544189804801</v>
      </c>
      <c r="M1752" s="14"/>
      <c r="N1752" s="14">
        <v>0.11299676129314799</v>
      </c>
      <c r="O1752" s="14">
        <v>0.158801370506894</v>
      </c>
      <c r="P1752" s="14">
        <v>8.1684264416315003E-2</v>
      </c>
      <c r="Q1752" s="14">
        <v>0.151992031541028</v>
      </c>
      <c r="R1752" s="14"/>
      <c r="S1752" s="14">
        <v>5.6097688213059799E-2</v>
      </c>
      <c r="T1752" s="14">
        <v>0.14441354951330801</v>
      </c>
      <c r="U1752" s="14">
        <v>0.24256074120736501</v>
      </c>
      <c r="V1752" s="14">
        <v>0.108129404477481</v>
      </c>
      <c r="W1752" s="14">
        <v>7.2363260548494707E-2</v>
      </c>
      <c r="X1752" s="14">
        <v>0.128040313031627</v>
      </c>
      <c r="Y1752" s="14">
        <v>0.110518630775092</v>
      </c>
      <c r="Z1752" s="14">
        <v>0.160186791178004</v>
      </c>
      <c r="AA1752" s="14">
        <v>0.18357900222599799</v>
      </c>
      <c r="AB1752" s="14"/>
      <c r="AC1752" s="14">
        <v>0.108352113390937</v>
      </c>
      <c r="AD1752" s="14">
        <v>0.170274295933836</v>
      </c>
      <c r="AE1752" s="14">
        <v>0.123569323443715</v>
      </c>
      <c r="AF1752" s="14">
        <v>4.97975044878778E-2</v>
      </c>
      <c r="AG1752" s="14">
        <v>0</v>
      </c>
      <c r="AH1752" s="14"/>
      <c r="AI1752" s="14">
        <v>9.3639435927059297E-2</v>
      </c>
      <c r="AJ1752" s="14">
        <v>0.11509969065983799</v>
      </c>
      <c r="AK1752" s="14">
        <v>0.13630269589069199</v>
      </c>
      <c r="AL1752" s="14">
        <v>0.134841779764204</v>
      </c>
      <c r="AM1752" s="14">
        <v>0.28615313276663001</v>
      </c>
      <c r="AN1752" s="14">
        <v>0.137903671886451</v>
      </c>
      <c r="AO1752" s="14"/>
      <c r="AP1752" s="14">
        <v>0.119236294417796</v>
      </c>
      <c r="AQ1752" s="14">
        <v>0.132946392271174</v>
      </c>
      <c r="AR1752" s="14"/>
      <c r="AS1752" s="14" t="s">
        <v>88</v>
      </c>
      <c r="AT1752" s="14" t="s">
        <v>88</v>
      </c>
      <c r="AU1752" s="14">
        <v>0.12491717399736101</v>
      </c>
      <c r="AV1752" s="14"/>
      <c r="AW1752" s="14">
        <v>0.152557397159335</v>
      </c>
      <c r="AX1752" s="14">
        <v>2.8169913379247902E-2</v>
      </c>
      <c r="AY1752" s="14"/>
      <c r="AZ1752" s="14">
        <v>8.9250894549183293E-2</v>
      </c>
      <c r="BA1752" s="14">
        <v>0.28831834820170898</v>
      </c>
    </row>
    <row r="1753" spans="2:53" x14ac:dyDescent="0.35">
      <c r="B1753" t="s">
        <v>116</v>
      </c>
      <c r="C1753" s="14">
        <v>8.7992143754335606E-3</v>
      </c>
      <c r="D1753" s="14">
        <v>5.1359968796795301E-3</v>
      </c>
      <c r="E1753" s="14">
        <v>1.2718877947998799E-2</v>
      </c>
      <c r="F1753" s="14"/>
      <c r="G1753" s="14" t="s">
        <v>88</v>
      </c>
      <c r="H1753" s="14">
        <v>0</v>
      </c>
      <c r="I1753" s="14">
        <v>4.4949126798847598E-3</v>
      </c>
      <c r="J1753" s="14">
        <v>1.75132359591306E-2</v>
      </c>
      <c r="K1753" s="14">
        <v>5.3237928568379798E-3</v>
      </c>
      <c r="L1753" s="14">
        <v>0</v>
      </c>
      <c r="M1753" s="14"/>
      <c r="N1753" s="14">
        <v>1.9533352265732402E-2</v>
      </c>
      <c r="O1753" s="14">
        <v>1.33776148985795E-2</v>
      </c>
      <c r="P1753" s="14">
        <v>0</v>
      </c>
      <c r="Q1753" s="14">
        <v>0</v>
      </c>
      <c r="R1753" s="14"/>
      <c r="S1753" s="14">
        <v>5.1865478185936396E-3</v>
      </c>
      <c r="T1753" s="14">
        <v>0</v>
      </c>
      <c r="U1753" s="14">
        <v>1.92952625582378E-2</v>
      </c>
      <c r="V1753" s="14">
        <v>1.7660921674209601E-2</v>
      </c>
      <c r="W1753" s="14">
        <v>1.90974372232534E-2</v>
      </c>
      <c r="X1753" s="14">
        <v>0</v>
      </c>
      <c r="Y1753" s="14">
        <v>1.2445653628494801E-2</v>
      </c>
      <c r="Z1753" s="14">
        <v>2.4240163798144601E-2</v>
      </c>
      <c r="AA1753" s="14">
        <v>0</v>
      </c>
      <c r="AB1753" s="14"/>
      <c r="AC1753" s="14">
        <v>0</v>
      </c>
      <c r="AD1753" s="14">
        <v>9.7155708954399702E-3</v>
      </c>
      <c r="AE1753" s="14">
        <v>2.20643645332129E-2</v>
      </c>
      <c r="AF1753" s="14">
        <v>2.0846328486400002E-3</v>
      </c>
      <c r="AG1753" s="14">
        <v>0</v>
      </c>
      <c r="AH1753" s="14"/>
      <c r="AI1753" s="14">
        <v>8.2884473052246103E-3</v>
      </c>
      <c r="AJ1753" s="14">
        <v>7.8039442787920998E-3</v>
      </c>
      <c r="AK1753" s="14">
        <v>0</v>
      </c>
      <c r="AL1753" s="14">
        <v>1.18200291783756E-2</v>
      </c>
      <c r="AM1753" s="14">
        <v>0</v>
      </c>
      <c r="AN1753" s="14">
        <v>2.38051510846236E-2</v>
      </c>
      <c r="AO1753" s="14"/>
      <c r="AP1753" s="14">
        <v>3.1461791701681602E-3</v>
      </c>
      <c r="AQ1753" s="14">
        <v>1.6457555270378298E-2</v>
      </c>
      <c r="AR1753" s="14"/>
      <c r="AS1753" s="14" t="s">
        <v>88</v>
      </c>
      <c r="AT1753" s="14" t="s">
        <v>88</v>
      </c>
      <c r="AU1753" s="14">
        <v>8.7992143754335606E-3</v>
      </c>
      <c r="AV1753" s="14"/>
      <c r="AW1753" s="14">
        <v>9.2788232217214297E-3</v>
      </c>
      <c r="AX1753" s="14">
        <v>3.1507404774360798E-3</v>
      </c>
      <c r="AY1753" s="14"/>
      <c r="AZ1753" s="14">
        <v>8.5505761376948007E-3</v>
      </c>
      <c r="BA1753" s="14">
        <v>1.00261688508769E-2</v>
      </c>
    </row>
    <row r="1754" spans="2:53" x14ac:dyDescent="0.35">
      <c r="B1754" t="s">
        <v>224</v>
      </c>
      <c r="C1754" s="14">
        <v>0.64395576554266898</v>
      </c>
      <c r="D1754" s="14">
        <v>0.75118577947510201</v>
      </c>
      <c r="E1754" s="14">
        <v>0.529219040250276</v>
      </c>
      <c r="F1754" s="14"/>
      <c r="G1754" s="14" t="s">
        <v>88</v>
      </c>
      <c r="H1754" s="14">
        <v>0.76778236323488802</v>
      </c>
      <c r="I1754" s="14">
        <v>0.68166008315133597</v>
      </c>
      <c r="J1754" s="14">
        <v>0.570685380385758</v>
      </c>
      <c r="K1754" s="14">
        <v>0.67292213123348299</v>
      </c>
      <c r="L1754" s="14">
        <v>0.53182174254189996</v>
      </c>
      <c r="M1754" s="14"/>
      <c r="N1754" s="14">
        <v>0.71503570624150703</v>
      </c>
      <c r="O1754" s="14">
        <v>0.54817796002635799</v>
      </c>
      <c r="P1754" s="14">
        <v>0.66744605738998497</v>
      </c>
      <c r="Q1754" s="14">
        <v>0.64406052611516995</v>
      </c>
      <c r="R1754" s="14"/>
      <c r="S1754" s="14">
        <v>0.83650947923208796</v>
      </c>
      <c r="T1754" s="14">
        <v>0.59545442301212004</v>
      </c>
      <c r="U1754" s="14">
        <v>0.47621676288286602</v>
      </c>
      <c r="V1754" s="14">
        <v>0.68427623135997595</v>
      </c>
      <c r="W1754" s="14">
        <v>0.48090890817422399</v>
      </c>
      <c r="X1754" s="14">
        <v>0.69473462804885999</v>
      </c>
      <c r="Y1754" s="14">
        <v>0.65030323376643695</v>
      </c>
      <c r="Z1754" s="14">
        <v>0.64636915193268896</v>
      </c>
      <c r="AA1754" s="14">
        <v>0.56840986728187304</v>
      </c>
      <c r="AB1754" s="14"/>
      <c r="AC1754" s="14">
        <v>0.56992364559854702</v>
      </c>
      <c r="AD1754" s="14">
        <v>0.61084316500553504</v>
      </c>
      <c r="AE1754" s="14">
        <v>0.628508404654611</v>
      </c>
      <c r="AF1754" s="14">
        <v>0.80580928933542395</v>
      </c>
      <c r="AG1754" s="14">
        <v>0.97178787383551302</v>
      </c>
      <c r="AH1754" s="14"/>
      <c r="AI1754" s="14">
        <v>0.74095492051122203</v>
      </c>
      <c r="AJ1754" s="14">
        <v>0.73898022053418499</v>
      </c>
      <c r="AK1754" s="14">
        <v>0.60478307791217401</v>
      </c>
      <c r="AL1754" s="14">
        <v>0.53804453625120796</v>
      </c>
      <c r="AM1754" s="14">
        <v>0.46444202993360301</v>
      </c>
      <c r="AN1754" s="14">
        <v>0.47405618715113501</v>
      </c>
      <c r="AO1754" s="14"/>
      <c r="AP1754" s="14">
        <v>0.66723615639854805</v>
      </c>
      <c r="AQ1754" s="14">
        <v>0.61436938288406395</v>
      </c>
      <c r="AR1754" s="14"/>
      <c r="AS1754" s="14" t="s">
        <v>88</v>
      </c>
      <c r="AT1754" s="14" t="s">
        <v>88</v>
      </c>
      <c r="AU1754" s="14">
        <v>0.64395576554266898</v>
      </c>
      <c r="AV1754" s="14"/>
      <c r="AW1754" s="14">
        <v>0.61284786341074804</v>
      </c>
      <c r="AX1754" s="14">
        <v>0.79519229160087501</v>
      </c>
      <c r="AY1754" s="14"/>
      <c r="AZ1754" s="14">
        <v>0.68348063495121003</v>
      </c>
      <c r="BA1754" s="14">
        <v>0.46046576099730302</v>
      </c>
    </row>
    <row r="1755" spans="2:53" x14ac:dyDescent="0.35">
      <c r="C1755" s="14"/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  <c r="AO1755" s="14"/>
      <c r="AP1755" s="14"/>
      <c r="AQ1755" s="14"/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</row>
    <row r="1756" spans="2:53" x14ac:dyDescent="0.35">
      <c r="B1756" s="6" t="s">
        <v>412</v>
      </c>
      <c r="C1756" s="14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  <c r="AO1756" s="14"/>
      <c r="AP1756" s="14"/>
      <c r="AQ1756" s="14"/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</row>
    <row r="1757" spans="2:53" x14ac:dyDescent="0.35">
      <c r="B1757" s="24" t="s">
        <v>118</v>
      </c>
      <c r="C1757" s="14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/>
      <c r="AN1757" s="14"/>
      <c r="AO1757" s="14"/>
      <c r="AP1757" s="14"/>
      <c r="AQ1757" s="14"/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</row>
    <row r="1758" spans="2:53" x14ac:dyDescent="0.35">
      <c r="B1758" t="s">
        <v>404</v>
      </c>
      <c r="C1758" s="14">
        <v>0.56148112742421497</v>
      </c>
      <c r="D1758" s="14">
        <v>0.57255015121178798</v>
      </c>
      <c r="E1758" s="14">
        <v>0.55094761695766004</v>
      </c>
      <c r="F1758" s="14"/>
      <c r="G1758" s="14">
        <v>0.29966583423287502</v>
      </c>
      <c r="H1758" s="14">
        <v>0.53221431721516099</v>
      </c>
      <c r="I1758" s="14">
        <v>0.54816623040618895</v>
      </c>
      <c r="J1758" s="14">
        <v>0.58424926994000304</v>
      </c>
      <c r="K1758" s="14">
        <v>0.62089062048256205</v>
      </c>
      <c r="L1758" s="14">
        <v>0.51288395587360902</v>
      </c>
      <c r="M1758" s="14"/>
      <c r="N1758" s="14">
        <v>0.63979495457230495</v>
      </c>
      <c r="O1758" s="14">
        <v>0.57721519540812505</v>
      </c>
      <c r="P1758" s="14">
        <v>0.473511155710374</v>
      </c>
      <c r="Q1758" s="14">
        <v>0.53642353675849497</v>
      </c>
      <c r="R1758" s="14"/>
      <c r="S1758" s="14">
        <v>0.57455281878642905</v>
      </c>
      <c r="T1758" s="14">
        <v>0.608276491807341</v>
      </c>
      <c r="U1758" s="14">
        <v>0.54460966280720402</v>
      </c>
      <c r="V1758" s="14">
        <v>0.53639150810052405</v>
      </c>
      <c r="W1758" s="14">
        <v>0.55649571510589702</v>
      </c>
      <c r="X1758" s="14">
        <v>0.54298132775617203</v>
      </c>
      <c r="Y1758" s="14">
        <v>0.527885829297839</v>
      </c>
      <c r="Z1758" s="14">
        <v>0.54853740932959905</v>
      </c>
      <c r="AA1758" s="14">
        <v>0.57072912140460397</v>
      </c>
      <c r="AB1758" s="14"/>
      <c r="AC1758" s="14">
        <v>0.550495520477843</v>
      </c>
      <c r="AD1758" s="14">
        <v>0.50638146913411297</v>
      </c>
      <c r="AE1758" s="14">
        <v>0.59882531098817005</v>
      </c>
      <c r="AF1758" s="14">
        <v>0.62718003144231205</v>
      </c>
      <c r="AG1758" s="14">
        <v>0.65737002697031299</v>
      </c>
      <c r="AH1758" s="14"/>
      <c r="AI1758" s="14">
        <v>0.56301654010580404</v>
      </c>
      <c r="AJ1758" s="14">
        <v>0.58268262871500198</v>
      </c>
      <c r="AK1758" s="14">
        <v>0.56591823307033096</v>
      </c>
      <c r="AL1758" s="14">
        <v>0.59568458561512005</v>
      </c>
      <c r="AM1758" s="14">
        <v>0.45846152939254098</v>
      </c>
      <c r="AN1758" s="14">
        <v>0.61165216468653205</v>
      </c>
      <c r="AO1758" s="14"/>
      <c r="AP1758" s="14">
        <v>0.57889773934296596</v>
      </c>
      <c r="AQ1758" s="14">
        <v>0.54369451800093005</v>
      </c>
      <c r="AR1758" s="14"/>
      <c r="AS1758" s="14">
        <v>0.543984296025387</v>
      </c>
      <c r="AT1758" s="14">
        <v>0.53612945728653005</v>
      </c>
      <c r="AU1758" s="14">
        <v>0.57368650221336503</v>
      </c>
      <c r="AV1758" s="14"/>
      <c r="AW1758" s="14">
        <v>0.55261071274217399</v>
      </c>
      <c r="AX1758" s="14">
        <v>0.676608205696828</v>
      </c>
      <c r="AY1758" s="14"/>
      <c r="AZ1758" s="14">
        <v>0.58848676090288798</v>
      </c>
      <c r="BA1758" s="14">
        <v>0.47259187752822501</v>
      </c>
    </row>
    <row r="1759" spans="2:53" x14ac:dyDescent="0.35">
      <c r="B1759" t="s">
        <v>405</v>
      </c>
      <c r="C1759" s="14">
        <v>0.35300254381638402</v>
      </c>
      <c r="D1759" s="14">
        <v>0.34463092787833399</v>
      </c>
      <c r="E1759" s="14">
        <v>0.36075358028138599</v>
      </c>
      <c r="F1759" s="14"/>
      <c r="G1759" s="14">
        <v>0.32469788239901598</v>
      </c>
      <c r="H1759" s="14">
        <v>0.34943843937311397</v>
      </c>
      <c r="I1759" s="14">
        <v>0.36425782785368099</v>
      </c>
      <c r="J1759" s="14">
        <v>0.359029289257974</v>
      </c>
      <c r="K1759" s="14">
        <v>0.28776689210832601</v>
      </c>
      <c r="L1759" s="14">
        <v>0.35079461122200301</v>
      </c>
      <c r="M1759" s="14"/>
      <c r="N1759" s="14">
        <v>0.31302182957716201</v>
      </c>
      <c r="O1759" s="14">
        <v>0.34419485150253798</v>
      </c>
      <c r="P1759" s="14">
        <v>0.423507741825775</v>
      </c>
      <c r="Q1759" s="14">
        <v>0.34384580909538498</v>
      </c>
      <c r="R1759" s="14"/>
      <c r="S1759" s="14">
        <v>0.36706354020528398</v>
      </c>
      <c r="T1759" s="14">
        <v>0.30809303268245097</v>
      </c>
      <c r="U1759" s="14">
        <v>0.391698586834827</v>
      </c>
      <c r="V1759" s="14">
        <v>0.39176209428990399</v>
      </c>
      <c r="W1759" s="14">
        <v>0.31389168843223397</v>
      </c>
      <c r="X1759" s="14">
        <v>0.347814082044478</v>
      </c>
      <c r="Y1759" s="14">
        <v>0.373396962140922</v>
      </c>
      <c r="Z1759" s="14">
        <v>0.36948890953908697</v>
      </c>
      <c r="AA1759" s="14">
        <v>0.33733087557311597</v>
      </c>
      <c r="AB1759" s="14"/>
      <c r="AC1759" s="14">
        <v>0.32971335659402901</v>
      </c>
      <c r="AD1759" s="14">
        <v>0.42737385870452999</v>
      </c>
      <c r="AE1759" s="14">
        <v>0.35115413984342497</v>
      </c>
      <c r="AF1759" s="14">
        <v>0.26293286513381697</v>
      </c>
      <c r="AG1759" s="14">
        <v>0.30324850113793</v>
      </c>
      <c r="AH1759" s="14"/>
      <c r="AI1759" s="14">
        <v>0.35741473830261</v>
      </c>
      <c r="AJ1759" s="14">
        <v>0.34833896620996102</v>
      </c>
      <c r="AK1759" s="14">
        <v>0.38433333424376498</v>
      </c>
      <c r="AL1759" s="14">
        <v>0.314190934535439</v>
      </c>
      <c r="AM1759" s="14">
        <v>0.45392442587689802</v>
      </c>
      <c r="AN1759" s="14">
        <v>0.26904418428839499</v>
      </c>
      <c r="AO1759" s="14"/>
      <c r="AP1759" s="14">
        <v>0.34684661139894801</v>
      </c>
      <c r="AQ1759" s="14">
        <v>0.357843711297889</v>
      </c>
      <c r="AR1759" s="14"/>
      <c r="AS1759" s="14">
        <v>0.37832909722501101</v>
      </c>
      <c r="AT1759" s="14">
        <v>0.361402800645098</v>
      </c>
      <c r="AU1759" s="14">
        <v>0.34370236956283601</v>
      </c>
      <c r="AV1759" s="14"/>
      <c r="AW1759" s="14">
        <v>0.369467535900522</v>
      </c>
      <c r="AX1759" s="14">
        <v>0.246126152330811</v>
      </c>
      <c r="AY1759" s="14"/>
      <c r="AZ1759" s="14">
        <v>0.33590161609295699</v>
      </c>
      <c r="BA1759" s="14">
        <v>0.41866474342629501</v>
      </c>
    </row>
    <row r="1760" spans="2:53" x14ac:dyDescent="0.35">
      <c r="B1760" t="s">
        <v>406</v>
      </c>
      <c r="C1760" s="14">
        <v>6.6647011711059398E-2</v>
      </c>
      <c r="D1760" s="14">
        <v>6.3608034692741094E-2</v>
      </c>
      <c r="E1760" s="14">
        <v>6.9753033923159999E-2</v>
      </c>
      <c r="F1760" s="14"/>
      <c r="G1760" s="14">
        <v>0.19435668978609699</v>
      </c>
      <c r="H1760" s="14">
        <v>8.3031412826556295E-2</v>
      </c>
      <c r="I1760" s="14">
        <v>7.1410695985827402E-2</v>
      </c>
      <c r="J1760" s="14">
        <v>4.3721407035061499E-2</v>
      </c>
      <c r="K1760" s="14">
        <v>8.5337178274273506E-2</v>
      </c>
      <c r="L1760" s="14">
        <v>6.4394233971469497E-2</v>
      </c>
      <c r="M1760" s="14"/>
      <c r="N1760" s="14">
        <v>4.1752258610173003E-2</v>
      </c>
      <c r="O1760" s="14">
        <v>6.5023121408637294E-2</v>
      </c>
      <c r="P1760" s="14">
        <v>7.8445624458207699E-2</v>
      </c>
      <c r="Q1760" s="14">
        <v>8.5608904369069302E-2</v>
      </c>
      <c r="R1760" s="14"/>
      <c r="S1760" s="14">
        <v>4.1341321114549898E-2</v>
      </c>
      <c r="T1760" s="14">
        <v>6.46243467073883E-2</v>
      </c>
      <c r="U1760" s="14">
        <v>5.5201540368355798E-2</v>
      </c>
      <c r="V1760" s="14">
        <v>5.5400815600100101E-2</v>
      </c>
      <c r="W1760" s="14">
        <v>9.3884560765871206E-2</v>
      </c>
      <c r="X1760" s="14">
        <v>8.4297493378656399E-2</v>
      </c>
      <c r="Y1760" s="14">
        <v>8.6189936450884103E-2</v>
      </c>
      <c r="Z1760" s="14">
        <v>8.1973681131314105E-2</v>
      </c>
      <c r="AA1760" s="14">
        <v>6.5131895352326302E-2</v>
      </c>
      <c r="AB1760" s="14"/>
      <c r="AC1760" s="14">
        <v>0.109432345187068</v>
      </c>
      <c r="AD1760" s="14">
        <v>5.0424267351431899E-2</v>
      </c>
      <c r="AE1760" s="14">
        <v>4.3478082692225799E-2</v>
      </c>
      <c r="AF1760" s="14">
        <v>6.4849470471855297E-2</v>
      </c>
      <c r="AG1760" s="14">
        <v>3.9381471891756697E-2</v>
      </c>
      <c r="AH1760" s="14"/>
      <c r="AI1760" s="14">
        <v>5.5514376466868902E-2</v>
      </c>
      <c r="AJ1760" s="14">
        <v>5.0561449577443802E-2</v>
      </c>
      <c r="AK1760" s="14">
        <v>3.5147296953310897E-2</v>
      </c>
      <c r="AL1760" s="14">
        <v>7.7054460784518303E-2</v>
      </c>
      <c r="AM1760" s="14">
        <v>6.8221341295554294E-2</v>
      </c>
      <c r="AN1760" s="14">
        <v>9.6066749193449902E-2</v>
      </c>
      <c r="AO1760" s="14"/>
      <c r="AP1760" s="14">
        <v>5.81931303289576E-2</v>
      </c>
      <c r="AQ1760" s="14">
        <v>7.6373600945008099E-2</v>
      </c>
      <c r="AR1760" s="14"/>
      <c r="AS1760" s="14">
        <v>6.2545741523052298E-2</v>
      </c>
      <c r="AT1760" s="14">
        <v>6.1581594727042797E-2</v>
      </c>
      <c r="AU1760" s="14">
        <v>6.9248626050115406E-2</v>
      </c>
      <c r="AV1760" s="14"/>
      <c r="AW1760" s="14">
        <v>6.04055495973186E-2</v>
      </c>
      <c r="AX1760" s="14">
        <v>6.3184887592790104E-2</v>
      </c>
      <c r="AY1760" s="14"/>
      <c r="AZ1760" s="14">
        <v>5.9380814726723997E-2</v>
      </c>
      <c r="BA1760" s="14">
        <v>9.0236903661310597E-2</v>
      </c>
    </row>
    <row r="1761" spans="2:53" x14ac:dyDescent="0.35">
      <c r="B1761" t="s">
        <v>407</v>
      </c>
      <c r="C1761" s="14">
        <v>6.9359196717891196E-3</v>
      </c>
      <c r="D1761" s="14">
        <v>8.1076582148029899E-3</v>
      </c>
      <c r="E1761" s="14">
        <v>5.7699686859739897E-3</v>
      </c>
      <c r="F1761" s="14"/>
      <c r="G1761" s="14">
        <v>0.18127959358201301</v>
      </c>
      <c r="H1761" s="14">
        <v>1.3146379582495401E-2</v>
      </c>
      <c r="I1761" s="14">
        <v>7.04763880608111E-3</v>
      </c>
      <c r="J1761" s="14">
        <v>3.0571117172320198E-3</v>
      </c>
      <c r="K1761" s="14">
        <v>0</v>
      </c>
      <c r="L1761" s="14">
        <v>0</v>
      </c>
      <c r="M1761" s="14"/>
      <c r="N1761" s="14">
        <v>3.6962428841636301E-3</v>
      </c>
      <c r="O1761" s="14">
        <v>6.9478002199084496E-3</v>
      </c>
      <c r="P1761" s="14">
        <v>9.7880144094137003E-3</v>
      </c>
      <c r="Q1761" s="14">
        <v>7.9932416566336796E-3</v>
      </c>
      <c r="R1761" s="14"/>
      <c r="S1761" s="14">
        <v>6.65581021858936E-3</v>
      </c>
      <c r="T1761" s="14">
        <v>6.0870088451657096E-3</v>
      </c>
      <c r="U1761" s="14">
        <v>8.4902099896134592E-3</v>
      </c>
      <c r="V1761" s="14">
        <v>0</v>
      </c>
      <c r="W1761" s="14">
        <v>1.6866766928508699E-2</v>
      </c>
      <c r="X1761" s="14">
        <v>1.0765807598814001E-2</v>
      </c>
      <c r="Y1761" s="14">
        <v>4.9367990524633396E-3</v>
      </c>
      <c r="Z1761" s="14">
        <v>0</v>
      </c>
      <c r="AA1761" s="14">
        <v>7.3605751536754797E-3</v>
      </c>
      <c r="AB1761" s="14"/>
      <c r="AC1761" s="14">
        <v>1.9789177808330598E-3</v>
      </c>
      <c r="AD1761" s="14">
        <v>3.78651976252127E-3</v>
      </c>
      <c r="AE1761" s="14">
        <v>3.7187395533157201E-3</v>
      </c>
      <c r="AF1761" s="14">
        <v>3.1018690130652001E-2</v>
      </c>
      <c r="AG1761" s="14">
        <v>0</v>
      </c>
      <c r="AH1761" s="14"/>
      <c r="AI1761" s="14">
        <v>8.9356825087945294E-3</v>
      </c>
      <c r="AJ1761" s="14">
        <v>7.6754485232973504E-3</v>
      </c>
      <c r="AK1761" s="14">
        <v>0</v>
      </c>
      <c r="AL1761" s="14">
        <v>5.5277068185930903E-3</v>
      </c>
      <c r="AM1761" s="14">
        <v>1.93927034350065E-2</v>
      </c>
      <c r="AN1761" s="14">
        <v>0</v>
      </c>
      <c r="AO1761" s="14"/>
      <c r="AP1761" s="14">
        <v>8.5316452547094003E-3</v>
      </c>
      <c r="AQ1761" s="14">
        <v>5.1628575112176202E-3</v>
      </c>
      <c r="AR1761" s="14"/>
      <c r="AS1761" s="14">
        <v>4.94866730026339E-3</v>
      </c>
      <c r="AT1761" s="14">
        <v>1.86194234220079E-2</v>
      </c>
      <c r="AU1761" s="14">
        <v>4.0160024780333597E-3</v>
      </c>
      <c r="AV1761" s="14"/>
      <c r="AW1761" s="14">
        <v>9.0211055680867493E-3</v>
      </c>
      <c r="AX1761" s="14">
        <v>9.5141975415884996E-4</v>
      </c>
      <c r="AY1761" s="14"/>
      <c r="AZ1761" s="14">
        <v>7.4965935187091002E-3</v>
      </c>
      <c r="BA1761" s="14">
        <v>4.9911926999698496E-3</v>
      </c>
    </row>
    <row r="1762" spans="2:53" x14ac:dyDescent="0.35">
      <c r="B1762" t="s">
        <v>408</v>
      </c>
      <c r="C1762" s="14">
        <v>3.6029237873948499E-3</v>
      </c>
      <c r="D1762" s="14">
        <v>5.6859292978725497E-3</v>
      </c>
      <c r="E1762" s="14">
        <v>1.52174580127963E-3</v>
      </c>
      <c r="F1762" s="14"/>
      <c r="G1762" s="14">
        <v>0</v>
      </c>
      <c r="H1762" s="14">
        <v>0</v>
      </c>
      <c r="I1762" s="14">
        <v>4.5065163247461097E-3</v>
      </c>
      <c r="J1762" s="14">
        <v>5.4288551371964701E-3</v>
      </c>
      <c r="K1762" s="14">
        <v>0</v>
      </c>
      <c r="L1762" s="14">
        <v>0</v>
      </c>
      <c r="M1762" s="14"/>
      <c r="N1762" s="14">
        <v>3.56165460995735E-4</v>
      </c>
      <c r="O1762" s="14">
        <v>0</v>
      </c>
      <c r="P1762" s="14">
        <v>4.4230463225213403E-3</v>
      </c>
      <c r="Q1762" s="14">
        <v>1.0171591637757001E-2</v>
      </c>
      <c r="R1762" s="14"/>
      <c r="S1762" s="14">
        <v>6.67347789962999E-3</v>
      </c>
      <c r="T1762" s="14">
        <v>1.02438054876819E-2</v>
      </c>
      <c r="U1762" s="14">
        <v>0</v>
      </c>
      <c r="V1762" s="14">
        <v>0</v>
      </c>
      <c r="W1762" s="14">
        <v>0</v>
      </c>
      <c r="X1762" s="14">
        <v>0</v>
      </c>
      <c r="Y1762" s="14">
        <v>0</v>
      </c>
      <c r="Z1762" s="14">
        <v>0</v>
      </c>
      <c r="AA1762" s="14">
        <v>6.9324133952523102E-3</v>
      </c>
      <c r="AB1762" s="14"/>
      <c r="AC1762" s="14">
        <v>0</v>
      </c>
      <c r="AD1762" s="14">
        <v>0</v>
      </c>
      <c r="AE1762" s="14">
        <v>0</v>
      </c>
      <c r="AF1762" s="14">
        <v>7.1075717487843601E-3</v>
      </c>
      <c r="AG1762" s="14">
        <v>0</v>
      </c>
      <c r="AH1762" s="14"/>
      <c r="AI1762" s="14">
        <v>7.2189100363035498E-3</v>
      </c>
      <c r="AJ1762" s="14">
        <v>5.4102809294587803E-4</v>
      </c>
      <c r="AK1762" s="14">
        <v>1.08327553971419E-2</v>
      </c>
      <c r="AL1762" s="14">
        <v>0</v>
      </c>
      <c r="AM1762" s="14">
        <v>0</v>
      </c>
      <c r="AN1762" s="14">
        <v>0</v>
      </c>
      <c r="AO1762" s="14"/>
      <c r="AP1762" s="14">
        <v>3.72338597417923E-3</v>
      </c>
      <c r="AQ1762" s="14">
        <v>3.47899830925113E-3</v>
      </c>
      <c r="AR1762" s="14"/>
      <c r="AS1762" s="14">
        <v>5.5757560232247004E-4</v>
      </c>
      <c r="AT1762" s="14">
        <v>5.14795030146235E-3</v>
      </c>
      <c r="AU1762" s="14">
        <v>3.9656762224947097E-3</v>
      </c>
      <c r="AV1762" s="14"/>
      <c r="AW1762" s="14">
        <v>1.29118837954861E-3</v>
      </c>
      <c r="AX1762" s="14">
        <v>6.0386888704462398E-3</v>
      </c>
      <c r="AY1762" s="14"/>
      <c r="AZ1762" s="14">
        <v>3.3535396448160599E-3</v>
      </c>
      <c r="BA1762" s="14">
        <v>4.6085428307784696E-3</v>
      </c>
    </row>
    <row r="1763" spans="2:53" x14ac:dyDescent="0.35">
      <c r="B1763" t="s">
        <v>80</v>
      </c>
      <c r="C1763" s="14">
        <v>8.3304735891578403E-3</v>
      </c>
      <c r="D1763" s="14">
        <v>5.4172987044619203E-3</v>
      </c>
      <c r="E1763" s="14">
        <v>1.1254054350541E-2</v>
      </c>
      <c r="F1763" s="14"/>
      <c r="G1763" s="14">
        <v>0</v>
      </c>
      <c r="H1763" s="14">
        <v>2.2169451002674201E-2</v>
      </c>
      <c r="I1763" s="14">
        <v>4.6110906234753902E-3</v>
      </c>
      <c r="J1763" s="14">
        <v>4.5140669125339301E-3</v>
      </c>
      <c r="K1763" s="14">
        <v>6.0053091348382199E-3</v>
      </c>
      <c r="L1763" s="14">
        <v>7.1927198932918504E-2</v>
      </c>
      <c r="M1763" s="14"/>
      <c r="N1763" s="14">
        <v>1.37854889520106E-3</v>
      </c>
      <c r="O1763" s="14">
        <v>6.6190314607913201E-3</v>
      </c>
      <c r="P1763" s="14">
        <v>1.03244172737083E-2</v>
      </c>
      <c r="Q1763" s="14">
        <v>1.5956916482660202E-2</v>
      </c>
      <c r="R1763" s="14"/>
      <c r="S1763" s="14">
        <v>3.71303177551797E-3</v>
      </c>
      <c r="T1763" s="14">
        <v>2.6753144699723499E-3</v>
      </c>
      <c r="U1763" s="14">
        <v>0</v>
      </c>
      <c r="V1763" s="14">
        <v>1.64455820094714E-2</v>
      </c>
      <c r="W1763" s="14">
        <v>1.88612687674896E-2</v>
      </c>
      <c r="X1763" s="14">
        <v>1.41412892218795E-2</v>
      </c>
      <c r="Y1763" s="14">
        <v>7.5904730578917404E-3</v>
      </c>
      <c r="Z1763" s="14">
        <v>0</v>
      </c>
      <c r="AA1763" s="14">
        <v>1.2515119121026E-2</v>
      </c>
      <c r="AB1763" s="14"/>
      <c r="AC1763" s="14">
        <v>8.3798599602272605E-3</v>
      </c>
      <c r="AD1763" s="14">
        <v>1.20338850474034E-2</v>
      </c>
      <c r="AE1763" s="14">
        <v>2.8237269228629899E-3</v>
      </c>
      <c r="AF1763" s="14">
        <v>6.9113710725790603E-3</v>
      </c>
      <c r="AG1763" s="14">
        <v>0</v>
      </c>
      <c r="AH1763" s="14"/>
      <c r="AI1763" s="14">
        <v>7.8997525796194699E-3</v>
      </c>
      <c r="AJ1763" s="14">
        <v>1.0200478881350001E-2</v>
      </c>
      <c r="AK1763" s="14">
        <v>3.7683803354501499E-3</v>
      </c>
      <c r="AL1763" s="14">
        <v>7.5423122463288798E-3</v>
      </c>
      <c r="AM1763" s="14">
        <v>0</v>
      </c>
      <c r="AN1763" s="14">
        <v>2.32369018316229E-2</v>
      </c>
      <c r="AO1763" s="14"/>
      <c r="AP1763" s="14">
        <v>3.8074877002397E-3</v>
      </c>
      <c r="AQ1763" s="14">
        <v>1.3446313935704401E-2</v>
      </c>
      <c r="AR1763" s="14"/>
      <c r="AS1763" s="14">
        <v>9.6346223239639605E-3</v>
      </c>
      <c r="AT1763" s="14">
        <v>1.7118773617859202E-2</v>
      </c>
      <c r="AU1763" s="14">
        <v>5.38082347315527E-3</v>
      </c>
      <c r="AV1763" s="14"/>
      <c r="AW1763" s="14">
        <v>7.20390781234984E-3</v>
      </c>
      <c r="AX1763" s="14">
        <v>7.0906457549656E-3</v>
      </c>
      <c r="AY1763" s="14"/>
      <c r="AZ1763" s="14">
        <v>5.3806751139058402E-3</v>
      </c>
      <c r="BA1763" s="14">
        <v>8.9067398534204995E-3</v>
      </c>
    </row>
    <row r="1764" spans="2:53" x14ac:dyDescent="0.35">
      <c r="B1764" t="s">
        <v>409</v>
      </c>
      <c r="C1764" s="14">
        <v>0.91448367124059904</v>
      </c>
      <c r="D1764" s="14">
        <v>0.91718107909012103</v>
      </c>
      <c r="E1764" s="14">
        <v>0.91170119723904497</v>
      </c>
      <c r="F1764" s="14"/>
      <c r="G1764" s="14">
        <v>0.62436371663189105</v>
      </c>
      <c r="H1764" s="14">
        <v>0.88165275658827402</v>
      </c>
      <c r="I1764" s="14">
        <v>0.91242405825987005</v>
      </c>
      <c r="J1764" s="14">
        <v>0.94327855919797599</v>
      </c>
      <c r="K1764" s="14">
        <v>0.90865751259088801</v>
      </c>
      <c r="L1764" s="14">
        <v>0.86367856709561197</v>
      </c>
      <c r="M1764" s="14"/>
      <c r="N1764" s="14">
        <v>0.95281678414946702</v>
      </c>
      <c r="O1764" s="14">
        <v>0.92141004691066297</v>
      </c>
      <c r="P1764" s="14">
        <v>0.89701889753614905</v>
      </c>
      <c r="Q1764" s="14">
        <v>0.88026934585387995</v>
      </c>
      <c r="R1764" s="14"/>
      <c r="S1764" s="14">
        <v>0.94161635899171303</v>
      </c>
      <c r="T1764" s="14">
        <v>0.91636952448979203</v>
      </c>
      <c r="U1764" s="14">
        <v>0.93630824964203097</v>
      </c>
      <c r="V1764" s="14">
        <v>0.92815360239042899</v>
      </c>
      <c r="W1764" s="14">
        <v>0.87038740353813104</v>
      </c>
      <c r="X1764" s="14">
        <v>0.89079540980064997</v>
      </c>
      <c r="Y1764" s="14">
        <v>0.901282791438761</v>
      </c>
      <c r="Z1764" s="14">
        <v>0.91802631886868602</v>
      </c>
      <c r="AA1764" s="14">
        <v>0.90805999697772</v>
      </c>
      <c r="AB1764" s="14"/>
      <c r="AC1764" s="14">
        <v>0.88020887707187201</v>
      </c>
      <c r="AD1764" s="14">
        <v>0.93375532783864301</v>
      </c>
      <c r="AE1764" s="14">
        <v>0.94997945083159496</v>
      </c>
      <c r="AF1764" s="14">
        <v>0.89011289657612902</v>
      </c>
      <c r="AG1764" s="14">
        <v>0.960618528108243</v>
      </c>
      <c r="AH1764" s="14"/>
      <c r="AI1764" s="14">
        <v>0.92043127840841399</v>
      </c>
      <c r="AJ1764" s="14">
        <v>0.93102159492496295</v>
      </c>
      <c r="AK1764" s="14">
        <v>0.95025156731409699</v>
      </c>
      <c r="AL1764" s="14">
        <v>0.90987552015055995</v>
      </c>
      <c r="AM1764" s="14">
        <v>0.912385955269439</v>
      </c>
      <c r="AN1764" s="14">
        <v>0.88069634897492699</v>
      </c>
      <c r="AO1764" s="14"/>
      <c r="AP1764" s="14">
        <v>0.92574435074191397</v>
      </c>
      <c r="AQ1764" s="14">
        <v>0.90153822929881899</v>
      </c>
      <c r="AR1764" s="14"/>
      <c r="AS1764" s="14">
        <v>0.92231339325039796</v>
      </c>
      <c r="AT1764" s="14">
        <v>0.89753225793162805</v>
      </c>
      <c r="AU1764" s="14">
        <v>0.91738887177620099</v>
      </c>
      <c r="AV1764" s="14"/>
      <c r="AW1764" s="14">
        <v>0.92207824864269605</v>
      </c>
      <c r="AX1764" s="14">
        <v>0.92273435802763903</v>
      </c>
      <c r="AY1764" s="14"/>
      <c r="AZ1764" s="14">
        <v>0.92438837699584497</v>
      </c>
      <c r="BA1764" s="14">
        <v>0.89125662095452096</v>
      </c>
    </row>
    <row r="1765" spans="2:53" x14ac:dyDescent="0.35">
      <c r="B1765" t="s">
        <v>410</v>
      </c>
      <c r="C1765" s="14">
        <v>1.0538843459184001E-2</v>
      </c>
      <c r="D1765" s="14">
        <v>1.3793587512675501E-2</v>
      </c>
      <c r="E1765" s="14">
        <v>7.2917144872536102E-3</v>
      </c>
      <c r="F1765" s="14"/>
      <c r="G1765" s="14">
        <v>0.18127959358201301</v>
      </c>
      <c r="H1765" s="14">
        <v>1.3146379582495401E-2</v>
      </c>
      <c r="I1765" s="14">
        <v>1.15541551308272E-2</v>
      </c>
      <c r="J1765" s="14">
        <v>8.4859668544284908E-3</v>
      </c>
      <c r="K1765" s="14">
        <v>0</v>
      </c>
      <c r="L1765" s="14">
        <v>0</v>
      </c>
      <c r="M1765" s="14"/>
      <c r="N1765" s="14">
        <v>4.0524083451593598E-3</v>
      </c>
      <c r="O1765" s="14">
        <v>6.9478002199084496E-3</v>
      </c>
      <c r="P1765" s="14">
        <v>1.4211060731935E-2</v>
      </c>
      <c r="Q1765" s="14">
        <v>1.8164833294390701E-2</v>
      </c>
      <c r="R1765" s="14"/>
      <c r="S1765" s="14">
        <v>1.3329288118219301E-2</v>
      </c>
      <c r="T1765" s="14">
        <v>1.63308143328477E-2</v>
      </c>
      <c r="U1765" s="14">
        <v>8.4902099896134592E-3</v>
      </c>
      <c r="V1765" s="14">
        <v>0</v>
      </c>
      <c r="W1765" s="14">
        <v>1.6866766928508699E-2</v>
      </c>
      <c r="X1765" s="14">
        <v>1.0765807598814001E-2</v>
      </c>
      <c r="Y1765" s="14">
        <v>4.9367990524633396E-3</v>
      </c>
      <c r="Z1765" s="14">
        <v>0</v>
      </c>
      <c r="AA1765" s="14">
        <v>1.42929885489278E-2</v>
      </c>
      <c r="AB1765" s="14"/>
      <c r="AC1765" s="14">
        <v>1.9789177808330598E-3</v>
      </c>
      <c r="AD1765" s="14">
        <v>3.78651976252127E-3</v>
      </c>
      <c r="AE1765" s="14">
        <v>3.7187395533157201E-3</v>
      </c>
      <c r="AF1765" s="14">
        <v>3.81262618794364E-2</v>
      </c>
      <c r="AG1765" s="14">
        <v>0</v>
      </c>
      <c r="AH1765" s="14"/>
      <c r="AI1765" s="14">
        <v>1.6154592545098101E-2</v>
      </c>
      <c r="AJ1765" s="14">
        <v>8.2164766162432304E-3</v>
      </c>
      <c r="AK1765" s="14">
        <v>1.08327553971419E-2</v>
      </c>
      <c r="AL1765" s="14">
        <v>5.5277068185930903E-3</v>
      </c>
      <c r="AM1765" s="14">
        <v>1.93927034350065E-2</v>
      </c>
      <c r="AN1765" s="14">
        <v>0</v>
      </c>
      <c r="AO1765" s="14"/>
      <c r="AP1765" s="14">
        <v>1.22550312288886E-2</v>
      </c>
      <c r="AQ1765" s="14">
        <v>8.6418558204687506E-3</v>
      </c>
      <c r="AR1765" s="14"/>
      <c r="AS1765" s="14">
        <v>5.50624290258586E-3</v>
      </c>
      <c r="AT1765" s="14">
        <v>2.3767373723470198E-2</v>
      </c>
      <c r="AU1765" s="14">
        <v>7.9816787005280703E-3</v>
      </c>
      <c r="AV1765" s="14"/>
      <c r="AW1765" s="14">
        <v>1.0312293947635401E-2</v>
      </c>
      <c r="AX1765" s="14">
        <v>6.99010862460509E-3</v>
      </c>
      <c r="AY1765" s="14"/>
      <c r="AZ1765" s="14">
        <v>1.08501331635252E-2</v>
      </c>
      <c r="BA1765" s="14">
        <v>9.5997355307483202E-3</v>
      </c>
    </row>
    <row r="1766" spans="2:53" x14ac:dyDescent="0.35">
      <c r="B1766" t="s">
        <v>82</v>
      </c>
      <c r="C1766" s="14">
        <v>0.90394482778141505</v>
      </c>
      <c r="D1766" s="14">
        <v>0.90338749157744602</v>
      </c>
      <c r="E1766" s="14">
        <v>0.904409482751792</v>
      </c>
      <c r="F1766" s="14"/>
      <c r="G1766" s="14">
        <v>0.44308412304987799</v>
      </c>
      <c r="H1766" s="14">
        <v>0.86850637700577904</v>
      </c>
      <c r="I1766" s="14">
        <v>0.90086990312904303</v>
      </c>
      <c r="J1766" s="14">
        <v>0.93479259234354795</v>
      </c>
      <c r="K1766" s="14">
        <v>0.90865751259088801</v>
      </c>
      <c r="L1766" s="14">
        <v>0.86367856709561197</v>
      </c>
      <c r="M1766" s="14"/>
      <c r="N1766" s="14">
        <v>0.94876437580430695</v>
      </c>
      <c r="O1766" s="14">
        <v>0.91446224669075404</v>
      </c>
      <c r="P1766" s="14">
        <v>0.88280783680421404</v>
      </c>
      <c r="Q1766" s="14">
        <v>0.86210451255948894</v>
      </c>
      <c r="R1766" s="14"/>
      <c r="S1766" s="14">
        <v>0.92828707087349305</v>
      </c>
      <c r="T1766" s="14">
        <v>0.90003871015694403</v>
      </c>
      <c r="U1766" s="14">
        <v>0.92781803965241705</v>
      </c>
      <c r="V1766" s="14">
        <v>0.92815360239042899</v>
      </c>
      <c r="W1766" s="14">
        <v>0.85352063660962196</v>
      </c>
      <c r="X1766" s="14">
        <v>0.88002960220183601</v>
      </c>
      <c r="Y1766" s="14">
        <v>0.89634599238629797</v>
      </c>
      <c r="Z1766" s="14">
        <v>0.91802631886868602</v>
      </c>
      <c r="AA1766" s="14">
        <v>0.89376700842879198</v>
      </c>
      <c r="AB1766" s="14"/>
      <c r="AC1766" s="14">
        <v>0.87822995929103898</v>
      </c>
      <c r="AD1766" s="14">
        <v>0.92996880807612203</v>
      </c>
      <c r="AE1766" s="14">
        <v>0.94626071127828004</v>
      </c>
      <c r="AF1766" s="14">
        <v>0.851986634696693</v>
      </c>
      <c r="AG1766" s="14">
        <v>0.960618528108243</v>
      </c>
      <c r="AH1766" s="14"/>
      <c r="AI1766" s="14">
        <v>0.904276685863316</v>
      </c>
      <c r="AJ1766" s="14">
        <v>0.92280511830872003</v>
      </c>
      <c r="AK1766" s="14">
        <v>0.93941881191695498</v>
      </c>
      <c r="AL1766" s="14">
        <v>0.90434781333196701</v>
      </c>
      <c r="AM1766" s="14">
        <v>0.89299325183443301</v>
      </c>
      <c r="AN1766" s="14">
        <v>0.88069634897492699</v>
      </c>
      <c r="AO1766" s="14"/>
      <c r="AP1766" s="14">
        <v>0.91348931951302503</v>
      </c>
      <c r="AQ1766" s="14">
        <v>0.89289637347835005</v>
      </c>
      <c r="AR1766" s="14"/>
      <c r="AS1766" s="14">
        <v>0.91680715034781202</v>
      </c>
      <c r="AT1766" s="14">
        <v>0.87376488420815801</v>
      </c>
      <c r="AU1766" s="14">
        <v>0.90940719307567297</v>
      </c>
      <c r="AV1766" s="14"/>
      <c r="AW1766" s="14">
        <v>0.91176595469506105</v>
      </c>
      <c r="AX1766" s="14">
        <v>0.91574424940303401</v>
      </c>
      <c r="AY1766" s="14"/>
      <c r="AZ1766" s="14">
        <v>0.91353824383231996</v>
      </c>
      <c r="BA1766" s="14">
        <v>0.88165688542377196</v>
      </c>
    </row>
    <row r="1767" spans="2:53" x14ac:dyDescent="0.35">
      <c r="C1767" s="14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/>
      <c r="AN1767" s="14"/>
      <c r="AO1767" s="14"/>
      <c r="AP1767" s="14"/>
      <c r="AQ1767" s="14"/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</row>
    <row r="1768" spans="2:53" x14ac:dyDescent="0.35">
      <c r="B1768" s="6" t="s">
        <v>413</v>
      </c>
      <c r="C1768" s="14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/>
      <c r="AN1768" s="14"/>
      <c r="AO1768" s="14"/>
      <c r="AP1768" s="14"/>
      <c r="AQ1768" s="14"/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</row>
    <row r="1769" spans="2:53" x14ac:dyDescent="0.35">
      <c r="B1769" s="24" t="s">
        <v>118</v>
      </c>
      <c r="C1769" s="14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  <c r="AO1769" s="14"/>
      <c r="AP1769" s="14"/>
      <c r="AQ1769" s="14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</row>
    <row r="1770" spans="2:53" x14ac:dyDescent="0.35">
      <c r="B1770" t="s">
        <v>404</v>
      </c>
      <c r="C1770" s="14">
        <v>0.52882852978325401</v>
      </c>
      <c r="D1770" s="14">
        <v>0.55237077842066296</v>
      </c>
      <c r="E1770" s="14">
        <v>0.50578016376441703</v>
      </c>
      <c r="F1770" s="14"/>
      <c r="G1770" s="14">
        <v>0.25319484760058802</v>
      </c>
      <c r="H1770" s="14">
        <v>0.50637233461116704</v>
      </c>
      <c r="I1770" s="14">
        <v>0.52447374520808099</v>
      </c>
      <c r="J1770" s="14">
        <v>0.52753791171795095</v>
      </c>
      <c r="K1770" s="14">
        <v>0.59851309453814105</v>
      </c>
      <c r="L1770" s="14">
        <v>0.57514650434645598</v>
      </c>
      <c r="M1770" s="14"/>
      <c r="N1770" s="14">
        <v>0.58310893673415398</v>
      </c>
      <c r="O1770" s="14">
        <v>0.55960703235495901</v>
      </c>
      <c r="P1770" s="14">
        <v>0.48206090758075698</v>
      </c>
      <c r="Q1770" s="14">
        <v>0.47746652984475502</v>
      </c>
      <c r="R1770" s="14"/>
      <c r="S1770" s="14">
        <v>0.54618762946047095</v>
      </c>
      <c r="T1770" s="14">
        <v>0.57026221037942604</v>
      </c>
      <c r="U1770" s="14">
        <v>0.54037273223202398</v>
      </c>
      <c r="V1770" s="14">
        <v>0.48562406825363502</v>
      </c>
      <c r="W1770" s="14">
        <v>0.52619169274016797</v>
      </c>
      <c r="X1770" s="14">
        <v>0.51350938936124502</v>
      </c>
      <c r="Y1770" s="14">
        <v>0.50996138969197302</v>
      </c>
      <c r="Z1770" s="14">
        <v>0.522900329875849</v>
      </c>
      <c r="AA1770" s="14">
        <v>0.51463601451638097</v>
      </c>
      <c r="AB1770" s="14"/>
      <c r="AC1770" s="14">
        <v>0.48665008459181203</v>
      </c>
      <c r="AD1770" s="14">
        <v>0.47184026128952999</v>
      </c>
      <c r="AE1770" s="14">
        <v>0.56598145853448201</v>
      </c>
      <c r="AF1770" s="14">
        <v>0.58246929628473598</v>
      </c>
      <c r="AG1770" s="14">
        <v>0.65247733084175497</v>
      </c>
      <c r="AH1770" s="14"/>
      <c r="AI1770" s="14">
        <v>0.550573674817883</v>
      </c>
      <c r="AJ1770" s="14">
        <v>0.55005899597741104</v>
      </c>
      <c r="AK1770" s="14">
        <v>0.531895038348416</v>
      </c>
      <c r="AL1770" s="14">
        <v>0.52175163772135102</v>
      </c>
      <c r="AM1770" s="14">
        <v>0.51462757689449201</v>
      </c>
      <c r="AN1770" s="14">
        <v>0.56237503288481705</v>
      </c>
      <c r="AO1770" s="14"/>
      <c r="AP1770" s="14">
        <v>0.53749211389375195</v>
      </c>
      <c r="AQ1770" s="14">
        <v>0.52011826484358403</v>
      </c>
      <c r="AR1770" s="14"/>
      <c r="AS1770" s="14">
        <v>0.531475221209045</v>
      </c>
      <c r="AT1770" s="14">
        <v>0.53179138947349502</v>
      </c>
      <c r="AU1770" s="14">
        <v>0.52724010942414201</v>
      </c>
      <c r="AV1770" s="14"/>
      <c r="AW1770" s="14">
        <v>0.52828560357272003</v>
      </c>
      <c r="AX1770" s="14">
        <v>0.60199821573925205</v>
      </c>
      <c r="AY1770" s="14"/>
      <c r="AZ1770" s="14">
        <v>0.56991392503741301</v>
      </c>
      <c r="BA1770" s="14">
        <v>0.38675423345042398</v>
      </c>
    </row>
    <row r="1771" spans="2:53" x14ac:dyDescent="0.35">
      <c r="B1771" t="s">
        <v>405</v>
      </c>
      <c r="C1771" s="14">
        <v>0.34570813357098201</v>
      </c>
      <c r="D1771" s="14">
        <v>0.33982238416885102</v>
      </c>
      <c r="E1771" s="14">
        <v>0.35193375822334999</v>
      </c>
      <c r="F1771" s="14"/>
      <c r="G1771" s="14">
        <v>0.57861578435543304</v>
      </c>
      <c r="H1771" s="14">
        <v>0.35886555435655398</v>
      </c>
      <c r="I1771" s="14">
        <v>0.34128845762258497</v>
      </c>
      <c r="J1771" s="14">
        <v>0.36391608310945101</v>
      </c>
      <c r="K1771" s="14">
        <v>0.28380342554294702</v>
      </c>
      <c r="L1771" s="14">
        <v>0.275690337429566</v>
      </c>
      <c r="M1771" s="14"/>
      <c r="N1771" s="14">
        <v>0.33253722321094298</v>
      </c>
      <c r="O1771" s="14">
        <v>0.32997669227151</v>
      </c>
      <c r="P1771" s="14">
        <v>0.36555068849744798</v>
      </c>
      <c r="Q1771" s="14">
        <v>0.35927832224908202</v>
      </c>
      <c r="R1771" s="14"/>
      <c r="S1771" s="14">
        <v>0.34921167675864201</v>
      </c>
      <c r="T1771" s="14">
        <v>0.323883107021604</v>
      </c>
      <c r="U1771" s="14">
        <v>0.31810235402201298</v>
      </c>
      <c r="V1771" s="14">
        <v>0.41792410845863898</v>
      </c>
      <c r="W1771" s="14">
        <v>0.29476144000361099</v>
      </c>
      <c r="X1771" s="14">
        <v>0.33528152387909899</v>
      </c>
      <c r="Y1771" s="14">
        <v>0.35916779597168103</v>
      </c>
      <c r="Z1771" s="14">
        <v>0.35099832145792798</v>
      </c>
      <c r="AA1771" s="14">
        <v>0.35940124974173199</v>
      </c>
      <c r="AB1771" s="14"/>
      <c r="AC1771" s="14">
        <v>0.34658660002574698</v>
      </c>
      <c r="AD1771" s="14">
        <v>0.41988596505824499</v>
      </c>
      <c r="AE1771" s="14">
        <v>0.32547076540730402</v>
      </c>
      <c r="AF1771" s="14">
        <v>0.30723209117503902</v>
      </c>
      <c r="AG1771" s="14">
        <v>0.286299740778584</v>
      </c>
      <c r="AH1771" s="14"/>
      <c r="AI1771" s="14">
        <v>0.33087563833522599</v>
      </c>
      <c r="AJ1771" s="14">
        <v>0.34146160111825002</v>
      </c>
      <c r="AK1771" s="14">
        <v>0.38076288964827398</v>
      </c>
      <c r="AL1771" s="14">
        <v>0.35046410137286399</v>
      </c>
      <c r="AM1771" s="14">
        <v>0.31499725310186599</v>
      </c>
      <c r="AN1771" s="14">
        <v>0.30793018381322801</v>
      </c>
      <c r="AO1771" s="14"/>
      <c r="AP1771" s="14">
        <v>0.34415991192422002</v>
      </c>
      <c r="AQ1771" s="14">
        <v>0.34600827962902297</v>
      </c>
      <c r="AR1771" s="14"/>
      <c r="AS1771" s="14">
        <v>0.36178730771441298</v>
      </c>
      <c r="AT1771" s="14">
        <v>0.35082861396188902</v>
      </c>
      <c r="AU1771" s="14">
        <v>0.33986656567518903</v>
      </c>
      <c r="AV1771" s="14"/>
      <c r="AW1771" s="14">
        <v>0.35141330299942197</v>
      </c>
      <c r="AX1771" s="14">
        <v>0.303035171126944</v>
      </c>
      <c r="AY1771" s="14"/>
      <c r="AZ1771" s="14">
        <v>0.31832242803138899</v>
      </c>
      <c r="BA1771" s="14">
        <v>0.44693635919597702</v>
      </c>
    </row>
    <row r="1772" spans="2:53" x14ac:dyDescent="0.35">
      <c r="B1772" t="s">
        <v>406</v>
      </c>
      <c r="C1772" s="14">
        <v>9.1631906865917601E-2</v>
      </c>
      <c r="D1772" s="14">
        <v>8.3148563240612094E-2</v>
      </c>
      <c r="E1772" s="14">
        <v>0.10021087219410101</v>
      </c>
      <c r="F1772" s="14"/>
      <c r="G1772" s="14">
        <v>0.16818936804397799</v>
      </c>
      <c r="H1772" s="14">
        <v>8.0965607266933498E-2</v>
      </c>
      <c r="I1772" s="14">
        <v>0.102511615942532</v>
      </c>
      <c r="J1772" s="14">
        <v>7.8458992390754906E-2</v>
      </c>
      <c r="K1772" s="14">
        <v>9.8311838939452695E-2</v>
      </c>
      <c r="L1772" s="14">
        <v>7.7235959291058906E-2</v>
      </c>
      <c r="M1772" s="14"/>
      <c r="N1772" s="14">
        <v>6.6097755159671603E-2</v>
      </c>
      <c r="O1772" s="14">
        <v>8.9680927862107407E-2</v>
      </c>
      <c r="P1772" s="14">
        <v>0.113432281696574</v>
      </c>
      <c r="Q1772" s="14">
        <v>0.103117312526444</v>
      </c>
      <c r="R1772" s="14"/>
      <c r="S1772" s="14">
        <v>7.9009958233628205E-2</v>
      </c>
      <c r="T1772" s="14">
        <v>7.9417980948904093E-2</v>
      </c>
      <c r="U1772" s="14">
        <v>0.100311502689758</v>
      </c>
      <c r="V1772" s="14">
        <v>6.03320540568828E-2</v>
      </c>
      <c r="W1772" s="14">
        <v>0.13462325807241801</v>
      </c>
      <c r="X1772" s="14">
        <v>0.107742701253838</v>
      </c>
      <c r="Y1772" s="14">
        <v>8.0782662896611498E-2</v>
      </c>
      <c r="Z1772" s="14">
        <v>0.109711055397634</v>
      </c>
      <c r="AA1772" s="14">
        <v>0.101169227091691</v>
      </c>
      <c r="AB1772" s="14"/>
      <c r="AC1772" s="14">
        <v>0.115176952534321</v>
      </c>
      <c r="AD1772" s="14">
        <v>7.6030944345162596E-2</v>
      </c>
      <c r="AE1772" s="14">
        <v>9.3659835833490301E-2</v>
      </c>
      <c r="AF1772" s="14">
        <v>7.8847469539204407E-2</v>
      </c>
      <c r="AG1772" s="14">
        <v>4.1662809830790903E-2</v>
      </c>
      <c r="AH1772" s="14"/>
      <c r="AI1772" s="14">
        <v>7.43159606906246E-2</v>
      </c>
      <c r="AJ1772" s="14">
        <v>8.2207973079021598E-2</v>
      </c>
      <c r="AK1772" s="14">
        <v>5.4384428550827098E-2</v>
      </c>
      <c r="AL1772" s="14">
        <v>0.113399362985683</v>
      </c>
      <c r="AM1772" s="14">
        <v>0.14287009083039401</v>
      </c>
      <c r="AN1772" s="14">
        <v>0.10218234466505</v>
      </c>
      <c r="AO1772" s="14"/>
      <c r="AP1772" s="14">
        <v>9.0214024673444901E-2</v>
      </c>
      <c r="AQ1772" s="14">
        <v>9.3522531028882597E-2</v>
      </c>
      <c r="AR1772" s="14"/>
      <c r="AS1772" s="14">
        <v>8.9239892709210497E-2</v>
      </c>
      <c r="AT1772" s="14">
        <v>7.8180730015537894E-2</v>
      </c>
      <c r="AU1772" s="14">
        <v>9.6253129836494103E-2</v>
      </c>
      <c r="AV1772" s="14"/>
      <c r="AW1772" s="14">
        <v>8.8464824996639102E-2</v>
      </c>
      <c r="AX1772" s="14">
        <v>7.1303090843040207E-2</v>
      </c>
      <c r="AY1772" s="14"/>
      <c r="AZ1772" s="14">
        <v>8.4256887974372099E-2</v>
      </c>
      <c r="BA1772" s="14">
        <v>0.118781824845239</v>
      </c>
    </row>
    <row r="1773" spans="2:53" x14ac:dyDescent="0.35">
      <c r="B1773" t="s">
        <v>407</v>
      </c>
      <c r="C1773" s="14">
        <v>1.69007424852031E-2</v>
      </c>
      <c r="D1773" s="14">
        <v>1.4106907973204E-2</v>
      </c>
      <c r="E1773" s="14">
        <v>1.8743682001690298E-2</v>
      </c>
      <c r="F1773" s="14"/>
      <c r="G1773" s="14">
        <v>0</v>
      </c>
      <c r="H1773" s="14">
        <v>3.9997695929707797E-2</v>
      </c>
      <c r="I1773" s="14">
        <v>1.6779087740076699E-2</v>
      </c>
      <c r="J1773" s="14">
        <v>1.1419797468319099E-2</v>
      </c>
      <c r="K1773" s="14">
        <v>1.7018237373643201E-3</v>
      </c>
      <c r="L1773" s="14">
        <v>0</v>
      </c>
      <c r="M1773" s="14"/>
      <c r="N1773" s="14">
        <v>1.0177370144044301E-2</v>
      </c>
      <c r="O1773" s="14">
        <v>1.1299436437544601E-2</v>
      </c>
      <c r="P1773" s="14">
        <v>1.5826633924122101E-2</v>
      </c>
      <c r="Q1773" s="14">
        <v>3.1119906544795999E-2</v>
      </c>
      <c r="R1773" s="14"/>
      <c r="S1773" s="14">
        <v>5.61172641063704E-3</v>
      </c>
      <c r="T1773" s="14">
        <v>9.1176379145070305E-3</v>
      </c>
      <c r="U1773" s="14">
        <v>1.1230086777515301E-2</v>
      </c>
      <c r="V1773" s="14">
        <v>3.0307129262976601E-2</v>
      </c>
      <c r="W1773" s="14">
        <v>2.1998447355788001E-2</v>
      </c>
      <c r="X1773" s="14">
        <v>2.1821351670292501E-2</v>
      </c>
      <c r="Y1773" s="14">
        <v>3.9215968420782801E-2</v>
      </c>
      <c r="Z1773" s="14">
        <v>0</v>
      </c>
      <c r="AA1773" s="14">
        <v>1.53252699288521E-2</v>
      </c>
      <c r="AB1773" s="14"/>
      <c r="AC1773" s="14">
        <v>1.9560152951522799E-2</v>
      </c>
      <c r="AD1773" s="14">
        <v>1.85641474807632E-2</v>
      </c>
      <c r="AE1773" s="14">
        <v>1.24213812692218E-2</v>
      </c>
      <c r="AF1773" s="14">
        <v>1.32089480045981E-2</v>
      </c>
      <c r="AG1773" s="14">
        <v>4.12371804303884E-3</v>
      </c>
      <c r="AH1773" s="14"/>
      <c r="AI1773" s="14">
        <v>2.08744859860861E-2</v>
      </c>
      <c r="AJ1773" s="14">
        <v>1.8563646291181998E-2</v>
      </c>
      <c r="AK1773" s="14">
        <v>2.1128713482620399E-2</v>
      </c>
      <c r="AL1773" s="14">
        <v>0</v>
      </c>
      <c r="AM1773" s="14">
        <v>2.0330404032142001E-2</v>
      </c>
      <c r="AN1773" s="14">
        <v>1.09474685546487E-2</v>
      </c>
      <c r="AO1773" s="14"/>
      <c r="AP1773" s="14">
        <v>1.64394591132947E-2</v>
      </c>
      <c r="AQ1773" s="14">
        <v>1.7474218034368199E-2</v>
      </c>
      <c r="AR1773" s="14"/>
      <c r="AS1773" s="14">
        <v>6.7320778490850197E-3</v>
      </c>
      <c r="AT1773" s="14">
        <v>2.2943956146596601E-2</v>
      </c>
      <c r="AU1773" s="14">
        <v>1.7850535343254599E-2</v>
      </c>
      <c r="AV1773" s="14"/>
      <c r="AW1773" s="14">
        <v>1.4822898279844E-2</v>
      </c>
      <c r="AX1773" s="14">
        <v>1.7617878296162199E-2</v>
      </c>
      <c r="AY1773" s="14"/>
      <c r="AZ1773" s="14">
        <v>1.5655854846509699E-2</v>
      </c>
      <c r="BA1773" s="14">
        <v>2.18978374574001E-2</v>
      </c>
    </row>
    <row r="1774" spans="2:53" x14ac:dyDescent="0.35">
      <c r="B1774" t="s">
        <v>408</v>
      </c>
      <c r="C1774" s="14">
        <v>2.9466034354062101E-3</v>
      </c>
      <c r="D1774" s="14">
        <v>1.94073614556182E-3</v>
      </c>
      <c r="E1774" s="14">
        <v>3.9561317870385401E-3</v>
      </c>
      <c r="F1774" s="14"/>
      <c r="G1774" s="14">
        <v>0</v>
      </c>
      <c r="H1774" s="14">
        <v>0</v>
      </c>
      <c r="I1774" s="14">
        <v>2.83810274564776E-3</v>
      </c>
      <c r="J1774" s="14">
        <v>3.2225477329788301E-3</v>
      </c>
      <c r="K1774" s="14">
        <v>7.99300537703161E-3</v>
      </c>
      <c r="L1774" s="14">
        <v>0</v>
      </c>
      <c r="M1774" s="14"/>
      <c r="N1774" s="14">
        <v>2.3558285532676001E-3</v>
      </c>
      <c r="O1774" s="14">
        <v>0</v>
      </c>
      <c r="P1774" s="14">
        <v>1.05406079956949E-2</v>
      </c>
      <c r="Q1774" s="14">
        <v>0</v>
      </c>
      <c r="R1774" s="14"/>
      <c r="S1774" s="14">
        <v>8.0342239733000899E-3</v>
      </c>
      <c r="T1774" s="14">
        <v>3.7876400234463101E-3</v>
      </c>
      <c r="U1774" s="14">
        <v>7.3488735309464098E-3</v>
      </c>
      <c r="V1774" s="14">
        <v>0</v>
      </c>
      <c r="W1774" s="14">
        <v>3.5638930605250401E-3</v>
      </c>
      <c r="X1774" s="14">
        <v>0</v>
      </c>
      <c r="Y1774" s="14">
        <v>0</v>
      </c>
      <c r="Z1774" s="14">
        <v>0</v>
      </c>
      <c r="AA1774" s="14">
        <v>0</v>
      </c>
      <c r="AB1774" s="14"/>
      <c r="AC1774" s="14">
        <v>1.6065491833876799E-3</v>
      </c>
      <c r="AD1774" s="14">
        <v>4.3037412015726603E-3</v>
      </c>
      <c r="AE1774" s="14">
        <v>0</v>
      </c>
      <c r="AF1774" s="14">
        <v>1.13794306963181E-2</v>
      </c>
      <c r="AG1774" s="14">
        <v>0</v>
      </c>
      <c r="AH1774" s="14"/>
      <c r="AI1774" s="14">
        <v>6.5866618470444898E-3</v>
      </c>
      <c r="AJ1774" s="14">
        <v>1.7675347471059299E-3</v>
      </c>
      <c r="AK1774" s="14">
        <v>0</v>
      </c>
      <c r="AL1774" s="14">
        <v>2.0848360096914001E-3</v>
      </c>
      <c r="AM1774" s="14">
        <v>0</v>
      </c>
      <c r="AN1774" s="14">
        <v>0</v>
      </c>
      <c r="AO1774" s="14"/>
      <c r="AP1774" s="14">
        <v>2.5386074714724201E-3</v>
      </c>
      <c r="AQ1774" s="14">
        <v>3.4151522965936401E-3</v>
      </c>
      <c r="AR1774" s="14"/>
      <c r="AS1774" s="14">
        <v>0</v>
      </c>
      <c r="AT1774" s="14">
        <v>1.65797347998626E-3</v>
      </c>
      <c r="AU1774" s="14">
        <v>4.1206788600749002E-3</v>
      </c>
      <c r="AV1774" s="14"/>
      <c r="AW1774" s="14">
        <v>2.9407788806688501E-3</v>
      </c>
      <c r="AX1774" s="14">
        <v>0</v>
      </c>
      <c r="AY1774" s="14"/>
      <c r="AZ1774" s="14">
        <v>1.1701470165802401E-3</v>
      </c>
      <c r="BA1774" s="14">
        <v>9.6323423644106895E-3</v>
      </c>
    </row>
    <row r="1775" spans="2:53" x14ac:dyDescent="0.35">
      <c r="B1775" t="s">
        <v>80</v>
      </c>
      <c r="C1775" s="14">
        <v>1.3984083859237099E-2</v>
      </c>
      <c r="D1775" s="14">
        <v>8.6106300511079193E-3</v>
      </c>
      <c r="E1775" s="14">
        <v>1.9375392029403499E-2</v>
      </c>
      <c r="F1775" s="14"/>
      <c r="G1775" s="14">
        <v>0</v>
      </c>
      <c r="H1775" s="14">
        <v>1.3798807835637699E-2</v>
      </c>
      <c r="I1775" s="14">
        <v>1.21089907410779E-2</v>
      </c>
      <c r="J1775" s="14">
        <v>1.54446675805454E-2</v>
      </c>
      <c r="K1775" s="14">
        <v>9.6768118650629106E-3</v>
      </c>
      <c r="L1775" s="14">
        <v>7.1927198932918504E-2</v>
      </c>
      <c r="M1775" s="14"/>
      <c r="N1775" s="14">
        <v>5.7228861979196103E-3</v>
      </c>
      <c r="O1775" s="14">
        <v>9.4359110738790001E-3</v>
      </c>
      <c r="P1775" s="14">
        <v>1.25888803054044E-2</v>
      </c>
      <c r="Q1775" s="14">
        <v>2.9017928834922699E-2</v>
      </c>
      <c r="R1775" s="14"/>
      <c r="S1775" s="14">
        <v>1.1944785163321901E-2</v>
      </c>
      <c r="T1775" s="14">
        <v>1.35314237121128E-2</v>
      </c>
      <c r="U1775" s="14">
        <v>2.26344507477436E-2</v>
      </c>
      <c r="V1775" s="14">
        <v>5.8126399678665496E-3</v>
      </c>
      <c r="W1775" s="14">
        <v>1.88612687674896E-2</v>
      </c>
      <c r="X1775" s="14">
        <v>2.1645033835526E-2</v>
      </c>
      <c r="Y1775" s="14">
        <v>1.08721830189519E-2</v>
      </c>
      <c r="Z1775" s="14">
        <v>1.63902932685887E-2</v>
      </c>
      <c r="AA1775" s="14">
        <v>9.4682387213431106E-3</v>
      </c>
      <c r="AB1775" s="14"/>
      <c r="AC1775" s="14">
        <v>3.0419660713209298E-2</v>
      </c>
      <c r="AD1775" s="14">
        <v>9.3749406247257295E-3</v>
      </c>
      <c r="AE1775" s="14">
        <v>2.4665589555012499E-3</v>
      </c>
      <c r="AF1775" s="14">
        <v>6.8627643001040904E-3</v>
      </c>
      <c r="AG1775" s="14">
        <v>1.54364005058313E-2</v>
      </c>
      <c r="AH1775" s="14"/>
      <c r="AI1775" s="14">
        <v>1.6773578323135498E-2</v>
      </c>
      <c r="AJ1775" s="14">
        <v>5.9402487870294299E-3</v>
      </c>
      <c r="AK1775" s="14">
        <v>1.18289299698631E-2</v>
      </c>
      <c r="AL1775" s="14">
        <v>1.23000619104102E-2</v>
      </c>
      <c r="AM1775" s="14">
        <v>7.17467514110629E-3</v>
      </c>
      <c r="AN1775" s="14">
        <v>1.6564970082255701E-2</v>
      </c>
      <c r="AO1775" s="14"/>
      <c r="AP1775" s="14">
        <v>9.1558829238159306E-3</v>
      </c>
      <c r="AQ1775" s="14">
        <v>1.94615541675493E-2</v>
      </c>
      <c r="AR1775" s="14"/>
      <c r="AS1775" s="14">
        <v>1.07655005182467E-2</v>
      </c>
      <c r="AT1775" s="14">
        <v>1.4597336922496E-2</v>
      </c>
      <c r="AU1775" s="14">
        <v>1.46689808608459E-2</v>
      </c>
      <c r="AV1775" s="14"/>
      <c r="AW1775" s="14">
        <v>1.4072591270706701E-2</v>
      </c>
      <c r="AX1775" s="14">
        <v>6.0456439946014002E-3</v>
      </c>
      <c r="AY1775" s="14"/>
      <c r="AZ1775" s="14">
        <v>1.06807570937354E-2</v>
      </c>
      <c r="BA1775" s="14">
        <v>1.59974026865492E-2</v>
      </c>
    </row>
    <row r="1776" spans="2:53" x14ac:dyDescent="0.35">
      <c r="B1776" t="s">
        <v>409</v>
      </c>
      <c r="C1776" s="14">
        <v>0.87453666335423597</v>
      </c>
      <c r="D1776" s="14">
        <v>0.89219316258951398</v>
      </c>
      <c r="E1776" s="14">
        <v>0.85771392198776697</v>
      </c>
      <c r="F1776" s="14"/>
      <c r="G1776" s="14">
        <v>0.83181063195602201</v>
      </c>
      <c r="H1776" s="14">
        <v>0.86523788896772102</v>
      </c>
      <c r="I1776" s="14">
        <v>0.86576220283066596</v>
      </c>
      <c r="J1776" s="14">
        <v>0.89145399482740195</v>
      </c>
      <c r="K1776" s="14">
        <v>0.88231652008108896</v>
      </c>
      <c r="L1776" s="14">
        <v>0.85083684177602303</v>
      </c>
      <c r="M1776" s="14"/>
      <c r="N1776" s="14">
        <v>0.91564615994509702</v>
      </c>
      <c r="O1776" s="14">
        <v>0.88958372462646895</v>
      </c>
      <c r="P1776" s="14">
        <v>0.84761159607820502</v>
      </c>
      <c r="Q1776" s="14">
        <v>0.83674485209383798</v>
      </c>
      <c r="R1776" s="14"/>
      <c r="S1776" s="14">
        <v>0.89539930621911301</v>
      </c>
      <c r="T1776" s="14">
        <v>0.89414531740102998</v>
      </c>
      <c r="U1776" s="14">
        <v>0.85847508625403701</v>
      </c>
      <c r="V1776" s="14">
        <v>0.90354817671227405</v>
      </c>
      <c r="W1776" s="14">
        <v>0.82095313274377901</v>
      </c>
      <c r="X1776" s="14">
        <v>0.84879091324034395</v>
      </c>
      <c r="Y1776" s="14">
        <v>0.86912918566365405</v>
      </c>
      <c r="Z1776" s="14">
        <v>0.87389865133377698</v>
      </c>
      <c r="AA1776" s="14">
        <v>0.87403726425811301</v>
      </c>
      <c r="AB1776" s="14"/>
      <c r="AC1776" s="14">
        <v>0.83323668461755895</v>
      </c>
      <c r="AD1776" s="14">
        <v>0.89172622634777599</v>
      </c>
      <c r="AE1776" s="14">
        <v>0.89145222394178703</v>
      </c>
      <c r="AF1776" s="14">
        <v>0.88970138745977501</v>
      </c>
      <c r="AG1776" s="14">
        <v>0.93877707162033897</v>
      </c>
      <c r="AH1776" s="14"/>
      <c r="AI1776" s="14">
        <v>0.88144931315310904</v>
      </c>
      <c r="AJ1776" s="14">
        <v>0.891520597095661</v>
      </c>
      <c r="AK1776" s="14">
        <v>0.91265792799668899</v>
      </c>
      <c r="AL1776" s="14">
        <v>0.87221573909421501</v>
      </c>
      <c r="AM1776" s="14">
        <v>0.829624829996358</v>
      </c>
      <c r="AN1776" s="14">
        <v>0.87030521669804495</v>
      </c>
      <c r="AO1776" s="14"/>
      <c r="AP1776" s="14">
        <v>0.88165202581797197</v>
      </c>
      <c r="AQ1776" s="14">
        <v>0.86612654447260595</v>
      </c>
      <c r="AR1776" s="14"/>
      <c r="AS1776" s="14">
        <v>0.89326252892345803</v>
      </c>
      <c r="AT1776" s="14">
        <v>0.88262000343538305</v>
      </c>
      <c r="AU1776" s="14">
        <v>0.86710667509933104</v>
      </c>
      <c r="AV1776" s="14"/>
      <c r="AW1776" s="14">
        <v>0.879698906572141</v>
      </c>
      <c r="AX1776" s="14">
        <v>0.90503338686619605</v>
      </c>
      <c r="AY1776" s="14"/>
      <c r="AZ1776" s="14">
        <v>0.888236353068803</v>
      </c>
      <c r="BA1776" s="14">
        <v>0.833690592646402</v>
      </c>
    </row>
    <row r="1777" spans="2:53" x14ac:dyDescent="0.35">
      <c r="B1777" t="s">
        <v>410</v>
      </c>
      <c r="C1777" s="14">
        <v>1.9847345920609299E-2</v>
      </c>
      <c r="D1777" s="14">
        <v>1.6047644118765799E-2</v>
      </c>
      <c r="E1777" s="14">
        <v>2.2699813788728901E-2</v>
      </c>
      <c r="F1777" s="14"/>
      <c r="G1777" s="14">
        <v>0</v>
      </c>
      <c r="H1777" s="14">
        <v>3.9997695929707797E-2</v>
      </c>
      <c r="I1777" s="14">
        <v>1.9617190485724498E-2</v>
      </c>
      <c r="J1777" s="14">
        <v>1.46423452012979E-2</v>
      </c>
      <c r="K1777" s="14">
        <v>9.6948291143959392E-3</v>
      </c>
      <c r="L1777" s="14">
        <v>0</v>
      </c>
      <c r="M1777" s="14"/>
      <c r="N1777" s="14">
        <v>1.25331986973119E-2</v>
      </c>
      <c r="O1777" s="14">
        <v>1.1299436437544601E-2</v>
      </c>
      <c r="P1777" s="14">
        <v>2.6367241919817E-2</v>
      </c>
      <c r="Q1777" s="14">
        <v>3.1119906544795999E-2</v>
      </c>
      <c r="R1777" s="14"/>
      <c r="S1777" s="14">
        <v>1.36459503839371E-2</v>
      </c>
      <c r="T1777" s="14">
        <v>1.29052779379533E-2</v>
      </c>
      <c r="U1777" s="14">
        <v>1.8578960308461699E-2</v>
      </c>
      <c r="V1777" s="14">
        <v>3.0307129262976601E-2</v>
      </c>
      <c r="W1777" s="14">
        <v>2.5562340416313101E-2</v>
      </c>
      <c r="X1777" s="14">
        <v>2.1821351670292501E-2</v>
      </c>
      <c r="Y1777" s="14">
        <v>3.9215968420782801E-2</v>
      </c>
      <c r="Z1777" s="14">
        <v>0</v>
      </c>
      <c r="AA1777" s="14">
        <v>1.53252699288521E-2</v>
      </c>
      <c r="AB1777" s="14"/>
      <c r="AC1777" s="14">
        <v>2.1166702134910498E-2</v>
      </c>
      <c r="AD1777" s="14">
        <v>2.2867888682335899E-2</v>
      </c>
      <c r="AE1777" s="14">
        <v>1.24213812692218E-2</v>
      </c>
      <c r="AF1777" s="14">
        <v>2.4588378700916201E-2</v>
      </c>
      <c r="AG1777" s="14">
        <v>4.12371804303884E-3</v>
      </c>
      <c r="AH1777" s="14"/>
      <c r="AI1777" s="14">
        <v>2.7461147833130601E-2</v>
      </c>
      <c r="AJ1777" s="14">
        <v>2.0331181038287901E-2</v>
      </c>
      <c r="AK1777" s="14">
        <v>2.1128713482620399E-2</v>
      </c>
      <c r="AL1777" s="14">
        <v>2.0848360096914001E-3</v>
      </c>
      <c r="AM1777" s="14">
        <v>2.0330404032142001E-2</v>
      </c>
      <c r="AN1777" s="14">
        <v>1.09474685546487E-2</v>
      </c>
      <c r="AO1777" s="14"/>
      <c r="AP1777" s="14">
        <v>1.8978066584767101E-2</v>
      </c>
      <c r="AQ1777" s="14">
        <v>2.0889370330961901E-2</v>
      </c>
      <c r="AR1777" s="14"/>
      <c r="AS1777" s="14">
        <v>6.7320778490850197E-3</v>
      </c>
      <c r="AT1777" s="14">
        <v>2.4601929626582902E-2</v>
      </c>
      <c r="AU1777" s="14">
        <v>2.1971214203329498E-2</v>
      </c>
      <c r="AV1777" s="14"/>
      <c r="AW1777" s="14">
        <v>1.77636771605129E-2</v>
      </c>
      <c r="AX1777" s="14">
        <v>1.7617878296162199E-2</v>
      </c>
      <c r="AY1777" s="14"/>
      <c r="AZ1777" s="14">
        <v>1.6826001863089898E-2</v>
      </c>
      <c r="BA1777" s="14">
        <v>3.1530179821810701E-2</v>
      </c>
    </row>
    <row r="1778" spans="2:53" x14ac:dyDescent="0.35">
      <c r="B1778" t="s">
        <v>82</v>
      </c>
      <c r="C1778" s="14">
        <v>0.85468931743362697</v>
      </c>
      <c r="D1778" s="14">
        <v>0.87614551847074795</v>
      </c>
      <c r="E1778" s="14">
        <v>0.83501410819903799</v>
      </c>
      <c r="F1778" s="14"/>
      <c r="G1778" s="14">
        <v>0.83181063195602201</v>
      </c>
      <c r="H1778" s="14">
        <v>0.82524019303801299</v>
      </c>
      <c r="I1778" s="14">
        <v>0.84614501234494099</v>
      </c>
      <c r="J1778" s="14">
        <v>0.87681164962610403</v>
      </c>
      <c r="K1778" s="14">
        <v>0.87262169096669295</v>
      </c>
      <c r="L1778" s="14">
        <v>0.85083684177602303</v>
      </c>
      <c r="M1778" s="14"/>
      <c r="N1778" s="14">
        <v>0.90311296124778495</v>
      </c>
      <c r="O1778" s="14">
        <v>0.87828428818892401</v>
      </c>
      <c r="P1778" s="14">
        <v>0.82124435415838803</v>
      </c>
      <c r="Q1778" s="14">
        <v>0.80562494554904196</v>
      </c>
      <c r="R1778" s="14"/>
      <c r="S1778" s="14">
        <v>0.881753355835176</v>
      </c>
      <c r="T1778" s="14">
        <v>0.88124003946307605</v>
      </c>
      <c r="U1778" s="14">
        <v>0.83989612594557495</v>
      </c>
      <c r="V1778" s="14">
        <v>0.87324104744929698</v>
      </c>
      <c r="W1778" s="14">
        <v>0.79539079232746601</v>
      </c>
      <c r="X1778" s="14">
        <v>0.82696956157005097</v>
      </c>
      <c r="Y1778" s="14">
        <v>0.82991321724287104</v>
      </c>
      <c r="Z1778" s="14">
        <v>0.87389865133377698</v>
      </c>
      <c r="AA1778" s="14">
        <v>0.85871199432926104</v>
      </c>
      <c r="AB1778" s="14"/>
      <c r="AC1778" s="14">
        <v>0.81206998248264906</v>
      </c>
      <c r="AD1778" s="14">
        <v>0.86885833766543996</v>
      </c>
      <c r="AE1778" s="14">
        <v>0.87903084267256504</v>
      </c>
      <c r="AF1778" s="14">
        <v>0.86511300875885899</v>
      </c>
      <c r="AG1778" s="14">
        <v>0.93465335357729995</v>
      </c>
      <c r="AH1778" s="14"/>
      <c r="AI1778" s="14">
        <v>0.85398816531997901</v>
      </c>
      <c r="AJ1778" s="14">
        <v>0.87118941605737299</v>
      </c>
      <c r="AK1778" s="14">
        <v>0.89152921451406897</v>
      </c>
      <c r="AL1778" s="14">
        <v>0.87013090308452301</v>
      </c>
      <c r="AM1778" s="14">
        <v>0.80929442596421597</v>
      </c>
      <c r="AN1778" s="14">
        <v>0.85935774814339705</v>
      </c>
      <c r="AO1778" s="14"/>
      <c r="AP1778" s="14">
        <v>0.862673959233205</v>
      </c>
      <c r="AQ1778" s="14">
        <v>0.84523717414164401</v>
      </c>
      <c r="AR1778" s="14"/>
      <c r="AS1778" s="14">
        <v>0.886530451074373</v>
      </c>
      <c r="AT1778" s="14">
        <v>0.85801807380880002</v>
      </c>
      <c r="AU1778" s="14">
        <v>0.845135460896001</v>
      </c>
      <c r="AV1778" s="14"/>
      <c r="AW1778" s="14">
        <v>0.86193522941162803</v>
      </c>
      <c r="AX1778" s="14">
        <v>0.88741550857003404</v>
      </c>
      <c r="AY1778" s="14"/>
      <c r="AZ1778" s="14">
        <v>0.87141035120571297</v>
      </c>
      <c r="BA1778" s="14">
        <v>0.80216041282459105</v>
      </c>
    </row>
    <row r="1779" spans="2:53" x14ac:dyDescent="0.35">
      <c r="C1779" s="14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/>
      <c r="AN1779" s="14"/>
      <c r="AO1779" s="14"/>
      <c r="AP1779" s="14"/>
      <c r="AQ1779" s="14"/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</row>
    <row r="1780" spans="2:53" x14ac:dyDescent="0.35">
      <c r="B1780" s="6" t="s">
        <v>414</v>
      </c>
      <c r="C1780" s="14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/>
      <c r="AN1780" s="14"/>
      <c r="AO1780" s="14"/>
      <c r="AP1780" s="14"/>
      <c r="AQ1780" s="14"/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</row>
    <row r="1781" spans="2:53" x14ac:dyDescent="0.35">
      <c r="B1781" s="24" t="s">
        <v>118</v>
      </c>
      <c r="C1781" s="14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/>
      <c r="AN1781" s="14"/>
      <c r="AO1781" s="14"/>
      <c r="AP1781" s="14"/>
      <c r="AQ1781" s="14"/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</row>
    <row r="1782" spans="2:53" x14ac:dyDescent="0.35">
      <c r="B1782" t="s">
        <v>404</v>
      </c>
      <c r="C1782" s="14">
        <v>0.51341697710566703</v>
      </c>
      <c r="D1782" s="14">
        <v>0.48113308103761798</v>
      </c>
      <c r="E1782" s="14">
        <v>0.54525493796834401</v>
      </c>
      <c r="F1782" s="14"/>
      <c r="G1782" s="14">
        <v>0.38427234492745199</v>
      </c>
      <c r="H1782" s="14">
        <v>0.52968552571818495</v>
      </c>
      <c r="I1782" s="14">
        <v>0.50770804991303498</v>
      </c>
      <c r="J1782" s="14">
        <v>0.54126624601217899</v>
      </c>
      <c r="K1782" s="14">
        <v>0.43683844733918997</v>
      </c>
      <c r="L1782" s="14">
        <v>0.47574020442599102</v>
      </c>
      <c r="M1782" s="14"/>
      <c r="N1782" s="14">
        <v>0.54592324863584996</v>
      </c>
      <c r="O1782" s="14">
        <v>0.54892729581671995</v>
      </c>
      <c r="P1782" s="14">
        <v>0.49687681032299402</v>
      </c>
      <c r="Q1782" s="14">
        <v>0.45642401819138101</v>
      </c>
      <c r="R1782" s="14"/>
      <c r="S1782" s="14">
        <v>0.48704916545760102</v>
      </c>
      <c r="T1782" s="14">
        <v>0.56053898284892101</v>
      </c>
      <c r="U1782" s="14">
        <v>0.49659650900270103</v>
      </c>
      <c r="V1782" s="14">
        <v>0.52004787454164703</v>
      </c>
      <c r="W1782" s="14">
        <v>0.534892539693683</v>
      </c>
      <c r="X1782" s="14">
        <v>0.50433924836735999</v>
      </c>
      <c r="Y1782" s="14">
        <v>0.48523535726054401</v>
      </c>
      <c r="Z1782" s="14">
        <v>0.46647367786874</v>
      </c>
      <c r="AA1782" s="14">
        <v>0.52714765070960301</v>
      </c>
      <c r="AB1782" s="14"/>
      <c r="AC1782" s="14">
        <v>0.52694913387085496</v>
      </c>
      <c r="AD1782" s="14">
        <v>0.47307938894551699</v>
      </c>
      <c r="AE1782" s="14">
        <v>0.51967723199819404</v>
      </c>
      <c r="AF1782" s="14">
        <v>0.55390853183713595</v>
      </c>
      <c r="AG1782" s="14">
        <v>0.62479796175311297</v>
      </c>
      <c r="AH1782" s="14"/>
      <c r="AI1782" s="14">
        <v>0.52055665079792002</v>
      </c>
      <c r="AJ1782" s="14">
        <v>0.51594002377352799</v>
      </c>
      <c r="AK1782" s="14">
        <v>0.56774741594647304</v>
      </c>
      <c r="AL1782" s="14">
        <v>0.51085687778904698</v>
      </c>
      <c r="AM1782" s="14">
        <v>0.49642452429036299</v>
      </c>
      <c r="AN1782" s="14">
        <v>0.51378173664183502</v>
      </c>
      <c r="AO1782" s="14"/>
      <c r="AP1782" s="14">
        <v>0.49403972014994202</v>
      </c>
      <c r="AQ1782" s="14">
        <v>0.53501108617749304</v>
      </c>
      <c r="AR1782" s="14"/>
      <c r="AS1782" s="14">
        <v>0.47719422032223702</v>
      </c>
      <c r="AT1782" s="14">
        <v>0.477539686582867</v>
      </c>
      <c r="AU1782" s="14">
        <v>0.53377452683521498</v>
      </c>
      <c r="AV1782" s="14"/>
      <c r="AW1782" s="14">
        <v>0.52235689187295398</v>
      </c>
      <c r="AX1782" s="14">
        <v>0.50733380636614001</v>
      </c>
      <c r="AY1782" s="14"/>
      <c r="AZ1782" s="14">
        <v>0.50647427727472705</v>
      </c>
      <c r="BA1782" s="14">
        <v>0.55009864211297099</v>
      </c>
    </row>
    <row r="1783" spans="2:53" x14ac:dyDescent="0.35">
      <c r="B1783" t="s">
        <v>405</v>
      </c>
      <c r="C1783" s="14">
        <v>0.349282644602465</v>
      </c>
      <c r="D1783" s="14">
        <v>0.37955654531065602</v>
      </c>
      <c r="E1783" s="14">
        <v>0.31932317158292101</v>
      </c>
      <c r="F1783" s="14"/>
      <c r="G1783" s="14">
        <v>0.32117963010279399</v>
      </c>
      <c r="H1783" s="14">
        <v>0.30045341290869698</v>
      </c>
      <c r="I1783" s="14">
        <v>0.34815952236354197</v>
      </c>
      <c r="J1783" s="14">
        <v>0.35480868433858997</v>
      </c>
      <c r="K1783" s="14">
        <v>0.41650381995783697</v>
      </c>
      <c r="L1783" s="14">
        <v>0.35444307630004401</v>
      </c>
      <c r="M1783" s="14"/>
      <c r="N1783" s="14">
        <v>0.36529498449494402</v>
      </c>
      <c r="O1783" s="14">
        <v>0.31294025469681203</v>
      </c>
      <c r="P1783" s="14">
        <v>0.37255439128197898</v>
      </c>
      <c r="Q1783" s="14">
        <v>0.34723793702297501</v>
      </c>
      <c r="R1783" s="14"/>
      <c r="S1783" s="14">
        <v>0.402727822901501</v>
      </c>
      <c r="T1783" s="14">
        <v>0.32907408022694401</v>
      </c>
      <c r="U1783" s="14">
        <v>0.359522021617323</v>
      </c>
      <c r="V1783" s="14">
        <v>0.33788458582487702</v>
      </c>
      <c r="W1783" s="14">
        <v>0.286514388482357</v>
      </c>
      <c r="X1783" s="14">
        <v>0.37172770150997397</v>
      </c>
      <c r="Y1783" s="14">
        <v>0.36144239180715898</v>
      </c>
      <c r="Z1783" s="14">
        <v>0.39994593235777098</v>
      </c>
      <c r="AA1783" s="14">
        <v>0.30747776687432998</v>
      </c>
      <c r="AB1783" s="14"/>
      <c r="AC1783" s="14">
        <v>0.30074503999282798</v>
      </c>
      <c r="AD1783" s="14">
        <v>0.379338620564659</v>
      </c>
      <c r="AE1783" s="14">
        <v>0.35853359987094502</v>
      </c>
      <c r="AF1783" s="14">
        <v>0.36206308998813203</v>
      </c>
      <c r="AG1783" s="14">
        <v>0.2475320604348</v>
      </c>
      <c r="AH1783" s="14"/>
      <c r="AI1783" s="14">
        <v>0.36250611676896</v>
      </c>
      <c r="AJ1783" s="14">
        <v>0.37767060415342202</v>
      </c>
      <c r="AK1783" s="14">
        <v>0.315213298976666</v>
      </c>
      <c r="AL1783" s="14">
        <v>0.36025273584532203</v>
      </c>
      <c r="AM1783" s="14">
        <v>0.29311686386038399</v>
      </c>
      <c r="AN1783" s="14">
        <v>0.324728263573412</v>
      </c>
      <c r="AO1783" s="14"/>
      <c r="AP1783" s="14">
        <v>0.371263345419305</v>
      </c>
      <c r="AQ1783" s="14">
        <v>0.32431680962417803</v>
      </c>
      <c r="AR1783" s="14"/>
      <c r="AS1783" s="14">
        <v>0.36310348924075703</v>
      </c>
      <c r="AT1783" s="14">
        <v>0.34980109546987997</v>
      </c>
      <c r="AU1783" s="14">
        <v>0.34540967000035599</v>
      </c>
      <c r="AV1783" s="14"/>
      <c r="AW1783" s="14">
        <v>0.35336143748542898</v>
      </c>
      <c r="AX1783" s="14">
        <v>0.35583930516304302</v>
      </c>
      <c r="AY1783" s="14"/>
      <c r="AZ1783" s="14">
        <v>0.35916921665321899</v>
      </c>
      <c r="BA1783" s="14">
        <v>0.31732891215456499</v>
      </c>
    </row>
    <row r="1784" spans="2:53" x14ac:dyDescent="0.35">
      <c r="B1784" t="s">
        <v>406</v>
      </c>
      <c r="C1784" s="14">
        <v>0.107793684556279</v>
      </c>
      <c r="D1784" s="14">
        <v>0.108823534658016</v>
      </c>
      <c r="E1784" s="14">
        <v>0.106867518525346</v>
      </c>
      <c r="F1784" s="14"/>
      <c r="G1784" s="14">
        <v>0</v>
      </c>
      <c r="H1784" s="14">
        <v>0.13909859448389</v>
      </c>
      <c r="I1784" s="14">
        <v>0.116069899260362</v>
      </c>
      <c r="J1784" s="14">
        <v>7.8767154109691401E-2</v>
      </c>
      <c r="K1784" s="14">
        <v>0.120549352091227</v>
      </c>
      <c r="L1784" s="14">
        <v>9.7889520341046102E-2</v>
      </c>
      <c r="M1784" s="14"/>
      <c r="N1784" s="14">
        <v>6.8634128163947705E-2</v>
      </c>
      <c r="O1784" s="14">
        <v>0.112108523571049</v>
      </c>
      <c r="P1784" s="14">
        <v>0.106471051399691</v>
      </c>
      <c r="Q1784" s="14">
        <v>0.148007645158448</v>
      </c>
      <c r="R1784" s="14"/>
      <c r="S1784" s="14">
        <v>9.2119665930587999E-2</v>
      </c>
      <c r="T1784" s="14">
        <v>9.2765332520860194E-2</v>
      </c>
      <c r="U1784" s="14">
        <v>0.117352634783323</v>
      </c>
      <c r="V1784" s="14">
        <v>9.5454178311039098E-2</v>
      </c>
      <c r="W1784" s="14">
        <v>0.12677719694075201</v>
      </c>
      <c r="X1784" s="14">
        <v>8.9976856143726899E-2</v>
      </c>
      <c r="Y1784" s="14">
        <v>0.11332152600965199</v>
      </c>
      <c r="Z1784" s="14">
        <v>0.111264615550719</v>
      </c>
      <c r="AA1784" s="14">
        <v>0.14364882944757601</v>
      </c>
      <c r="AB1784" s="14"/>
      <c r="AC1784" s="14">
        <v>0.14245964781522499</v>
      </c>
      <c r="AD1784" s="14">
        <v>0.118004184545718</v>
      </c>
      <c r="AE1784" s="14">
        <v>0.100364960989319</v>
      </c>
      <c r="AF1784" s="14">
        <v>6.7174738408039697E-2</v>
      </c>
      <c r="AG1784" s="14">
        <v>9.8907582608202704E-2</v>
      </c>
      <c r="AH1784" s="14"/>
      <c r="AI1784" s="14">
        <v>8.8257394649854007E-2</v>
      </c>
      <c r="AJ1784" s="14">
        <v>8.6137641844455604E-2</v>
      </c>
      <c r="AK1784" s="14">
        <v>0.10134307184894301</v>
      </c>
      <c r="AL1784" s="14">
        <v>9.0088079750632502E-2</v>
      </c>
      <c r="AM1784" s="14">
        <v>0.201276547782927</v>
      </c>
      <c r="AN1784" s="14">
        <v>0.11477094748776</v>
      </c>
      <c r="AO1784" s="14"/>
      <c r="AP1784" s="14">
        <v>0.11022825332306201</v>
      </c>
      <c r="AQ1784" s="14">
        <v>0.10540184689337199</v>
      </c>
      <c r="AR1784" s="14"/>
      <c r="AS1784" s="14">
        <v>0.134307888912235</v>
      </c>
      <c r="AT1784" s="14">
        <v>0.142891795226357</v>
      </c>
      <c r="AU1784" s="14">
        <v>9.0279444529453204E-2</v>
      </c>
      <c r="AV1784" s="14"/>
      <c r="AW1784" s="14">
        <v>9.8019450041915701E-2</v>
      </c>
      <c r="AX1784" s="14">
        <v>0.102231161151941</v>
      </c>
      <c r="AY1784" s="14"/>
      <c r="AZ1784" s="14">
        <v>0.104917911872058</v>
      </c>
      <c r="BA1784" s="14">
        <v>0.11506464085261001</v>
      </c>
    </row>
    <row r="1785" spans="2:53" x14ac:dyDescent="0.35">
      <c r="B1785" t="s">
        <v>407</v>
      </c>
      <c r="C1785" s="14">
        <v>1.6400328902150901E-2</v>
      </c>
      <c r="D1785" s="14">
        <v>2.1559691082336699E-2</v>
      </c>
      <c r="E1785" s="14">
        <v>1.12527416738344E-2</v>
      </c>
      <c r="F1785" s="14"/>
      <c r="G1785" s="14">
        <v>0.29454802496975302</v>
      </c>
      <c r="H1785" s="14">
        <v>1.4213514606788699E-2</v>
      </c>
      <c r="I1785" s="14">
        <v>1.64578582145864E-2</v>
      </c>
      <c r="J1785" s="14">
        <v>1.6015390274014499E-2</v>
      </c>
      <c r="K1785" s="14">
        <v>7.4357109289598204E-3</v>
      </c>
      <c r="L1785" s="14">
        <v>0</v>
      </c>
      <c r="M1785" s="14"/>
      <c r="N1785" s="14">
        <v>1.62275575379104E-2</v>
      </c>
      <c r="O1785" s="14">
        <v>1.64976999186526E-2</v>
      </c>
      <c r="P1785" s="14">
        <v>1.5672583448164301E-2</v>
      </c>
      <c r="Q1785" s="14">
        <v>1.7316907630752301E-2</v>
      </c>
      <c r="R1785" s="14"/>
      <c r="S1785" s="14">
        <v>1.41813678571256E-2</v>
      </c>
      <c r="T1785" s="14">
        <v>1.3464807760758099E-2</v>
      </c>
      <c r="U1785" s="14">
        <v>1.9179961065706901E-2</v>
      </c>
      <c r="V1785" s="14">
        <v>2.3346217542870001E-2</v>
      </c>
      <c r="W1785" s="14">
        <v>2.8188273804190998E-2</v>
      </c>
      <c r="X1785" s="14">
        <v>1.5119496694844499E-2</v>
      </c>
      <c r="Y1785" s="14">
        <v>2.02468011168347E-2</v>
      </c>
      <c r="Z1785" s="14">
        <v>2.23157742227688E-2</v>
      </c>
      <c r="AA1785" s="14">
        <v>2.2782204522131199E-3</v>
      </c>
      <c r="AB1785" s="14"/>
      <c r="AC1785" s="14">
        <v>1.40759476272794E-2</v>
      </c>
      <c r="AD1785" s="14">
        <v>2.2486903766749E-2</v>
      </c>
      <c r="AE1785" s="14">
        <v>1.49319398779806E-2</v>
      </c>
      <c r="AF1785" s="14">
        <v>1.3512079605344399E-2</v>
      </c>
      <c r="AG1785" s="14">
        <v>2.8762395203884399E-2</v>
      </c>
      <c r="AH1785" s="14"/>
      <c r="AI1785" s="14">
        <v>1.9000770487906601E-2</v>
      </c>
      <c r="AJ1785" s="14">
        <v>1.42243093168095E-2</v>
      </c>
      <c r="AK1785" s="14">
        <v>3.5600009949834101E-3</v>
      </c>
      <c r="AL1785" s="14">
        <v>2.11137115420021E-2</v>
      </c>
      <c r="AM1785" s="14">
        <v>0</v>
      </c>
      <c r="AN1785" s="14">
        <v>9.2391277891608094E-3</v>
      </c>
      <c r="AO1785" s="14"/>
      <c r="AP1785" s="14">
        <v>1.37737577924255E-2</v>
      </c>
      <c r="AQ1785" s="14">
        <v>1.9408443994464699E-2</v>
      </c>
      <c r="AR1785" s="14"/>
      <c r="AS1785" s="14">
        <v>1.9885174660562301E-2</v>
      </c>
      <c r="AT1785" s="14">
        <v>1.29957732801603E-2</v>
      </c>
      <c r="AU1785" s="14">
        <v>1.6469146196585401E-2</v>
      </c>
      <c r="AV1785" s="14"/>
      <c r="AW1785" s="14">
        <v>1.4974306392547401E-2</v>
      </c>
      <c r="AX1785" s="14">
        <v>2.1181131899562802E-2</v>
      </c>
      <c r="AY1785" s="14"/>
      <c r="AZ1785" s="14">
        <v>1.9143715080808799E-2</v>
      </c>
      <c r="BA1785" s="14">
        <v>4.2404790728415602E-3</v>
      </c>
    </row>
    <row r="1786" spans="2:53" x14ac:dyDescent="0.35">
      <c r="B1786" t="s">
        <v>408</v>
      </c>
      <c r="C1786" s="14">
        <v>1.6083742836028199E-3</v>
      </c>
      <c r="D1786" s="14">
        <v>1.79948225038368E-3</v>
      </c>
      <c r="E1786" s="14">
        <v>1.4186728498137399E-3</v>
      </c>
      <c r="F1786" s="14"/>
      <c r="G1786" s="14">
        <v>0</v>
      </c>
      <c r="H1786" s="14">
        <v>2.6461804197011399E-3</v>
      </c>
      <c r="I1786" s="14">
        <v>2.7770816479903201E-3</v>
      </c>
      <c r="J1786" s="14">
        <v>0</v>
      </c>
      <c r="K1786" s="14">
        <v>0</v>
      </c>
      <c r="L1786" s="14">
        <v>0</v>
      </c>
      <c r="M1786" s="14"/>
      <c r="N1786" s="14">
        <v>1.1635899063968599E-3</v>
      </c>
      <c r="O1786" s="14">
        <v>1.5262227809200899E-3</v>
      </c>
      <c r="P1786" s="14">
        <v>0</v>
      </c>
      <c r="Q1786" s="14">
        <v>3.6073936480153098E-3</v>
      </c>
      <c r="R1786" s="14"/>
      <c r="S1786" s="14">
        <v>1.9609889265924801E-3</v>
      </c>
      <c r="T1786" s="14">
        <v>0</v>
      </c>
      <c r="U1786" s="14">
        <v>0</v>
      </c>
      <c r="V1786" s="14">
        <v>0</v>
      </c>
      <c r="W1786" s="14">
        <v>0</v>
      </c>
      <c r="X1786" s="14">
        <v>0</v>
      </c>
      <c r="Y1786" s="14">
        <v>0</v>
      </c>
      <c r="Z1786" s="14">
        <v>0</v>
      </c>
      <c r="AA1786" s="14">
        <v>9.9792937949351804E-3</v>
      </c>
      <c r="AB1786" s="14"/>
      <c r="AC1786" s="14">
        <v>0</v>
      </c>
      <c r="AD1786" s="14">
        <v>1.85254882571137E-3</v>
      </c>
      <c r="AE1786" s="14">
        <v>1.0794743790989701E-3</v>
      </c>
      <c r="AF1786" s="14">
        <v>0</v>
      </c>
      <c r="AG1786" s="14">
        <v>0</v>
      </c>
      <c r="AH1786" s="14"/>
      <c r="AI1786" s="14">
        <v>3.6890761653530601E-3</v>
      </c>
      <c r="AJ1786" s="14">
        <v>0</v>
      </c>
      <c r="AK1786" s="14">
        <v>0</v>
      </c>
      <c r="AL1786" s="14">
        <v>0</v>
      </c>
      <c r="AM1786" s="14">
        <v>0</v>
      </c>
      <c r="AN1786" s="14">
        <v>0</v>
      </c>
      <c r="AO1786" s="14"/>
      <c r="AP1786" s="14">
        <v>2.2944878287687598E-3</v>
      </c>
      <c r="AQ1786" s="14">
        <v>8.4158376797419305E-4</v>
      </c>
      <c r="AR1786" s="14"/>
      <c r="AS1786" s="14">
        <v>0</v>
      </c>
      <c r="AT1786" s="14">
        <v>2.09254378850246E-3</v>
      </c>
      <c r="AU1786" s="14">
        <v>1.89807727686384E-3</v>
      </c>
      <c r="AV1786" s="14"/>
      <c r="AW1786" s="14">
        <v>5.2618884360570105E-4</v>
      </c>
      <c r="AX1786" s="14">
        <v>7.3573431167967898E-3</v>
      </c>
      <c r="AY1786" s="14"/>
      <c r="AZ1786" s="14">
        <v>2.0487992471711698E-3</v>
      </c>
      <c r="BA1786" s="14">
        <v>0</v>
      </c>
    </row>
    <row r="1787" spans="2:53" x14ac:dyDescent="0.35">
      <c r="B1787" t="s">
        <v>80</v>
      </c>
      <c r="C1787" s="14">
        <v>1.1497990549835699E-2</v>
      </c>
      <c r="D1787" s="14">
        <v>7.1276656609898601E-3</v>
      </c>
      <c r="E1787" s="14">
        <v>1.5882957399740601E-2</v>
      </c>
      <c r="F1787" s="14"/>
      <c r="G1787" s="14">
        <v>0</v>
      </c>
      <c r="H1787" s="14">
        <v>1.3902771862739201E-2</v>
      </c>
      <c r="I1787" s="14">
        <v>8.8275886004849004E-3</v>
      </c>
      <c r="J1787" s="14">
        <v>9.1425252655245298E-3</v>
      </c>
      <c r="K1787" s="14">
        <v>1.8672669682787201E-2</v>
      </c>
      <c r="L1787" s="14">
        <v>7.1927198932918504E-2</v>
      </c>
      <c r="M1787" s="14"/>
      <c r="N1787" s="14">
        <v>2.7564912609509499E-3</v>
      </c>
      <c r="O1787" s="14">
        <v>8.0000032158456403E-3</v>
      </c>
      <c r="P1787" s="14">
        <v>8.4251635471719599E-3</v>
      </c>
      <c r="Q1787" s="14">
        <v>2.7406098348428401E-2</v>
      </c>
      <c r="R1787" s="14"/>
      <c r="S1787" s="14">
        <v>1.9609889265924801E-3</v>
      </c>
      <c r="T1787" s="14">
        <v>4.1567966425162398E-3</v>
      </c>
      <c r="U1787" s="14">
        <v>7.3488735309464098E-3</v>
      </c>
      <c r="V1787" s="14">
        <v>2.3267143779566801E-2</v>
      </c>
      <c r="W1787" s="14">
        <v>2.36276010790176E-2</v>
      </c>
      <c r="X1787" s="14">
        <v>1.8836697284094601E-2</v>
      </c>
      <c r="Y1787" s="14">
        <v>1.97539238058097E-2</v>
      </c>
      <c r="Z1787" s="14">
        <v>0</v>
      </c>
      <c r="AA1787" s="14">
        <v>9.4682387213431106E-3</v>
      </c>
      <c r="AB1787" s="14"/>
      <c r="AC1787" s="14">
        <v>1.5770230693812601E-2</v>
      </c>
      <c r="AD1787" s="14">
        <v>5.2383533516457701E-3</v>
      </c>
      <c r="AE1787" s="14">
        <v>5.4127928844629096E-3</v>
      </c>
      <c r="AF1787" s="14">
        <v>3.3415601613478898E-3</v>
      </c>
      <c r="AG1787" s="14">
        <v>0</v>
      </c>
      <c r="AH1787" s="14"/>
      <c r="AI1787" s="14">
        <v>5.9899911300059202E-3</v>
      </c>
      <c r="AJ1787" s="14">
        <v>6.0274209117846603E-3</v>
      </c>
      <c r="AK1787" s="14">
        <v>1.2136212232935E-2</v>
      </c>
      <c r="AL1787" s="14">
        <v>1.7688595072996499E-2</v>
      </c>
      <c r="AM1787" s="14">
        <v>9.1820640663269094E-3</v>
      </c>
      <c r="AN1787" s="14">
        <v>3.7479924507831497E-2</v>
      </c>
      <c r="AO1787" s="14"/>
      <c r="AP1787" s="14">
        <v>8.4004354864967504E-3</v>
      </c>
      <c r="AQ1787" s="14">
        <v>1.5020229542518001E-2</v>
      </c>
      <c r="AR1787" s="14"/>
      <c r="AS1787" s="14">
        <v>5.5092268642083298E-3</v>
      </c>
      <c r="AT1787" s="14">
        <v>1.4679105652233701E-2</v>
      </c>
      <c r="AU1787" s="14">
        <v>1.21691351615266E-2</v>
      </c>
      <c r="AV1787" s="14"/>
      <c r="AW1787" s="14">
        <v>1.0761725363548399E-2</v>
      </c>
      <c r="AX1787" s="14">
        <v>6.0572523025158699E-3</v>
      </c>
      <c r="AY1787" s="14"/>
      <c r="AZ1787" s="14">
        <v>8.2460798720166203E-3</v>
      </c>
      <c r="BA1787" s="14">
        <v>1.32673258070124E-2</v>
      </c>
    </row>
    <row r="1788" spans="2:53" x14ac:dyDescent="0.35">
      <c r="B1788" t="s">
        <v>409</v>
      </c>
      <c r="C1788" s="14">
        <v>0.86269962170813197</v>
      </c>
      <c r="D1788" s="14">
        <v>0.86068962634827395</v>
      </c>
      <c r="E1788" s="14">
        <v>0.86457810955126502</v>
      </c>
      <c r="F1788" s="14"/>
      <c r="G1788" s="14">
        <v>0.70545197503024704</v>
      </c>
      <c r="H1788" s="14">
        <v>0.83013893862688104</v>
      </c>
      <c r="I1788" s="14">
        <v>0.85586757227657695</v>
      </c>
      <c r="J1788" s="14">
        <v>0.89607493035077002</v>
      </c>
      <c r="K1788" s="14">
        <v>0.853342267297026</v>
      </c>
      <c r="L1788" s="14">
        <v>0.83018328072603498</v>
      </c>
      <c r="M1788" s="14"/>
      <c r="N1788" s="14">
        <v>0.91121823313079398</v>
      </c>
      <c r="O1788" s="14">
        <v>0.86186755051353203</v>
      </c>
      <c r="P1788" s="14">
        <v>0.869431201604973</v>
      </c>
      <c r="Q1788" s="14">
        <v>0.80366195521435602</v>
      </c>
      <c r="R1788" s="14"/>
      <c r="S1788" s="14">
        <v>0.88977698835910202</v>
      </c>
      <c r="T1788" s="14">
        <v>0.88961306307586496</v>
      </c>
      <c r="U1788" s="14">
        <v>0.85611853062002397</v>
      </c>
      <c r="V1788" s="14">
        <v>0.85793246036652404</v>
      </c>
      <c r="W1788" s="14">
        <v>0.82140692817604</v>
      </c>
      <c r="X1788" s="14">
        <v>0.87606694987733402</v>
      </c>
      <c r="Y1788" s="14">
        <v>0.84667774906770299</v>
      </c>
      <c r="Z1788" s="14">
        <v>0.86641961022651204</v>
      </c>
      <c r="AA1788" s="14">
        <v>0.83462541758393305</v>
      </c>
      <c r="AB1788" s="14"/>
      <c r="AC1788" s="14">
        <v>0.82769417386368305</v>
      </c>
      <c r="AD1788" s="14">
        <v>0.85241800951017599</v>
      </c>
      <c r="AE1788" s="14">
        <v>0.87821083186913795</v>
      </c>
      <c r="AF1788" s="14">
        <v>0.91597162182526803</v>
      </c>
      <c r="AG1788" s="14">
        <v>0.872330022187913</v>
      </c>
      <c r="AH1788" s="14"/>
      <c r="AI1788" s="14">
        <v>0.88306276756688096</v>
      </c>
      <c r="AJ1788" s="14">
        <v>0.89361062792695001</v>
      </c>
      <c r="AK1788" s="14">
        <v>0.88296071492313899</v>
      </c>
      <c r="AL1788" s="14">
        <v>0.87110961363436901</v>
      </c>
      <c r="AM1788" s="14">
        <v>0.78954138815074604</v>
      </c>
      <c r="AN1788" s="14">
        <v>0.83851000021524802</v>
      </c>
      <c r="AO1788" s="14"/>
      <c r="AP1788" s="14">
        <v>0.86530306556924697</v>
      </c>
      <c r="AQ1788" s="14">
        <v>0.85932789580167102</v>
      </c>
      <c r="AR1788" s="14"/>
      <c r="AS1788" s="14">
        <v>0.84029770956299399</v>
      </c>
      <c r="AT1788" s="14">
        <v>0.82734078205274697</v>
      </c>
      <c r="AU1788" s="14">
        <v>0.87918419683557103</v>
      </c>
      <c r="AV1788" s="14"/>
      <c r="AW1788" s="14">
        <v>0.87571832935838301</v>
      </c>
      <c r="AX1788" s="14">
        <v>0.86317311152918297</v>
      </c>
      <c r="AY1788" s="14"/>
      <c r="AZ1788" s="14">
        <v>0.86564349392794604</v>
      </c>
      <c r="BA1788" s="14">
        <v>0.86742755426753604</v>
      </c>
    </row>
    <row r="1789" spans="2:53" x14ac:dyDescent="0.35">
      <c r="B1789" t="s">
        <v>410</v>
      </c>
      <c r="C1789" s="14">
        <v>1.8008703185753702E-2</v>
      </c>
      <c r="D1789" s="14">
        <v>2.33591733327204E-2</v>
      </c>
      <c r="E1789" s="14">
        <v>1.2671414523648099E-2</v>
      </c>
      <c r="F1789" s="14"/>
      <c r="G1789" s="14">
        <v>0.29454802496975302</v>
      </c>
      <c r="H1789" s="14">
        <v>1.6859695026489901E-2</v>
      </c>
      <c r="I1789" s="14">
        <v>1.9234939862576701E-2</v>
      </c>
      <c r="J1789" s="14">
        <v>1.6015390274014499E-2</v>
      </c>
      <c r="K1789" s="14">
        <v>7.4357109289598204E-3</v>
      </c>
      <c r="L1789" s="14">
        <v>0</v>
      </c>
      <c r="M1789" s="14"/>
      <c r="N1789" s="14">
        <v>1.7391147444307298E-2</v>
      </c>
      <c r="O1789" s="14">
        <v>1.80239226995727E-2</v>
      </c>
      <c r="P1789" s="14">
        <v>1.5672583448164301E-2</v>
      </c>
      <c r="Q1789" s="14">
        <v>2.0924301278767599E-2</v>
      </c>
      <c r="R1789" s="14"/>
      <c r="S1789" s="14">
        <v>1.6142356783718E-2</v>
      </c>
      <c r="T1789" s="14">
        <v>1.3464807760758099E-2</v>
      </c>
      <c r="U1789" s="14">
        <v>1.9179961065706901E-2</v>
      </c>
      <c r="V1789" s="14">
        <v>2.3346217542870001E-2</v>
      </c>
      <c r="W1789" s="14">
        <v>2.8188273804190998E-2</v>
      </c>
      <c r="X1789" s="14">
        <v>1.5119496694844499E-2</v>
      </c>
      <c r="Y1789" s="14">
        <v>2.02468011168347E-2</v>
      </c>
      <c r="Z1789" s="14">
        <v>2.23157742227688E-2</v>
      </c>
      <c r="AA1789" s="14">
        <v>1.2257514247148301E-2</v>
      </c>
      <c r="AB1789" s="14"/>
      <c r="AC1789" s="14">
        <v>1.40759476272794E-2</v>
      </c>
      <c r="AD1789" s="14">
        <v>2.4339452592460401E-2</v>
      </c>
      <c r="AE1789" s="14">
        <v>1.6011414257079599E-2</v>
      </c>
      <c r="AF1789" s="14">
        <v>1.3512079605344399E-2</v>
      </c>
      <c r="AG1789" s="14">
        <v>2.8762395203884399E-2</v>
      </c>
      <c r="AH1789" s="14"/>
      <c r="AI1789" s="14">
        <v>2.2689846653259699E-2</v>
      </c>
      <c r="AJ1789" s="14">
        <v>1.42243093168095E-2</v>
      </c>
      <c r="AK1789" s="14">
        <v>3.5600009949834101E-3</v>
      </c>
      <c r="AL1789" s="14">
        <v>2.11137115420021E-2</v>
      </c>
      <c r="AM1789" s="14">
        <v>0</v>
      </c>
      <c r="AN1789" s="14">
        <v>9.2391277891608094E-3</v>
      </c>
      <c r="AO1789" s="14"/>
      <c r="AP1789" s="14">
        <v>1.6068245621194299E-2</v>
      </c>
      <c r="AQ1789" s="14">
        <v>2.0250027762438901E-2</v>
      </c>
      <c r="AR1789" s="14"/>
      <c r="AS1789" s="14">
        <v>1.9885174660562301E-2</v>
      </c>
      <c r="AT1789" s="14">
        <v>1.5088317068662699E-2</v>
      </c>
      <c r="AU1789" s="14">
        <v>1.8367223473449299E-2</v>
      </c>
      <c r="AV1789" s="14"/>
      <c r="AW1789" s="14">
        <v>1.55004952361531E-2</v>
      </c>
      <c r="AX1789" s="14">
        <v>2.8538475016359598E-2</v>
      </c>
      <c r="AY1789" s="14"/>
      <c r="AZ1789" s="14">
        <v>2.119251432798E-2</v>
      </c>
      <c r="BA1789" s="14">
        <v>4.2404790728415602E-3</v>
      </c>
    </row>
    <row r="1790" spans="2:53" x14ac:dyDescent="0.35">
      <c r="B1790" t="s">
        <v>82</v>
      </c>
      <c r="C1790" s="14">
        <v>0.84469091852237799</v>
      </c>
      <c r="D1790" s="14">
        <v>0.83733045301555298</v>
      </c>
      <c r="E1790" s="14">
        <v>0.85190669502761696</v>
      </c>
      <c r="F1790" s="14"/>
      <c r="G1790" s="14">
        <v>0.41090395006049302</v>
      </c>
      <c r="H1790" s="14">
        <v>0.81327924360039106</v>
      </c>
      <c r="I1790" s="14">
        <v>0.83663263241399999</v>
      </c>
      <c r="J1790" s="14">
        <v>0.88005954007675502</v>
      </c>
      <c r="K1790" s="14">
        <v>0.845906556368067</v>
      </c>
      <c r="L1790" s="14">
        <v>0.83018328072603498</v>
      </c>
      <c r="M1790" s="14"/>
      <c r="N1790" s="14">
        <v>0.89382708568648706</v>
      </c>
      <c r="O1790" s="14">
        <v>0.84384362781396005</v>
      </c>
      <c r="P1790" s="14">
        <v>0.85375861815680898</v>
      </c>
      <c r="Q1790" s="14">
        <v>0.78273765393558803</v>
      </c>
      <c r="R1790" s="14"/>
      <c r="S1790" s="14">
        <v>0.87363463157538401</v>
      </c>
      <c r="T1790" s="14">
        <v>0.87614825531510698</v>
      </c>
      <c r="U1790" s="14">
        <v>0.836938569554317</v>
      </c>
      <c r="V1790" s="14">
        <v>0.83458624282365401</v>
      </c>
      <c r="W1790" s="14">
        <v>0.79321865437184902</v>
      </c>
      <c r="X1790" s="14">
        <v>0.860947453182489</v>
      </c>
      <c r="Y1790" s="14">
        <v>0.82643094795086902</v>
      </c>
      <c r="Z1790" s="14">
        <v>0.84410383600374295</v>
      </c>
      <c r="AA1790" s="14">
        <v>0.822367903336784</v>
      </c>
      <c r="AB1790" s="14"/>
      <c r="AC1790" s="14">
        <v>0.81361822623640401</v>
      </c>
      <c r="AD1790" s="14">
        <v>0.82807855691771604</v>
      </c>
      <c r="AE1790" s="14">
        <v>0.86219941761205898</v>
      </c>
      <c r="AF1790" s="14">
        <v>0.90245954221992397</v>
      </c>
      <c r="AG1790" s="14">
        <v>0.84356762698402799</v>
      </c>
      <c r="AH1790" s="14"/>
      <c r="AI1790" s="14">
        <v>0.86037292091362105</v>
      </c>
      <c r="AJ1790" s="14">
        <v>0.87938631861014105</v>
      </c>
      <c r="AK1790" s="14">
        <v>0.879400713928155</v>
      </c>
      <c r="AL1790" s="14">
        <v>0.84999590209236697</v>
      </c>
      <c r="AM1790" s="14">
        <v>0.78954138815074604</v>
      </c>
      <c r="AN1790" s="14">
        <v>0.82927087242608699</v>
      </c>
      <c r="AO1790" s="14"/>
      <c r="AP1790" s="14">
        <v>0.84923481994805305</v>
      </c>
      <c r="AQ1790" s="14">
        <v>0.83907786803923201</v>
      </c>
      <c r="AR1790" s="14"/>
      <c r="AS1790" s="14">
        <v>0.82041253490243204</v>
      </c>
      <c r="AT1790" s="14">
        <v>0.81225246498408399</v>
      </c>
      <c r="AU1790" s="14">
        <v>0.86081697336212204</v>
      </c>
      <c r="AV1790" s="14"/>
      <c r="AW1790" s="14">
        <v>0.86021783412222996</v>
      </c>
      <c r="AX1790" s="14">
        <v>0.83463463651282399</v>
      </c>
      <c r="AY1790" s="14"/>
      <c r="AZ1790" s="14">
        <v>0.84445097959996596</v>
      </c>
      <c r="BA1790" s="14">
        <v>0.86318707519469395</v>
      </c>
    </row>
    <row r="1791" spans="2:53" x14ac:dyDescent="0.35">
      <c r="C1791" s="14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4"/>
      <c r="AP1791" s="14"/>
      <c r="AQ1791" s="14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</row>
    <row r="1792" spans="2:53" x14ac:dyDescent="0.35">
      <c r="B1792" s="6" t="s">
        <v>415</v>
      </c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/>
      <c r="AO1792" s="14"/>
      <c r="AP1792" s="14"/>
      <c r="AQ1792" s="14"/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</row>
    <row r="1793" spans="2:53" x14ac:dyDescent="0.35">
      <c r="B1793" s="24" t="s">
        <v>118</v>
      </c>
      <c r="C1793" s="14"/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/>
      <c r="AO1793" s="14"/>
      <c r="AP1793" s="14"/>
      <c r="AQ1793" s="14"/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</row>
    <row r="1794" spans="2:53" x14ac:dyDescent="0.35">
      <c r="B1794" t="s">
        <v>404</v>
      </c>
      <c r="C1794" s="14">
        <v>0.48157013939724402</v>
      </c>
      <c r="D1794" s="14">
        <v>0.496541748757582</v>
      </c>
      <c r="E1794" s="14">
        <v>0.46608393356209699</v>
      </c>
      <c r="F1794" s="14"/>
      <c r="G1794" s="14">
        <v>0.35804960317478701</v>
      </c>
      <c r="H1794" s="14">
        <v>0.52483623425906401</v>
      </c>
      <c r="I1794" s="14">
        <v>0.45861315453126</v>
      </c>
      <c r="J1794" s="14">
        <v>0.48720263416972898</v>
      </c>
      <c r="K1794" s="14">
        <v>0.51493763538811999</v>
      </c>
      <c r="L1794" s="14">
        <v>0.44553391177163998</v>
      </c>
      <c r="M1794" s="14"/>
      <c r="N1794" s="14">
        <v>0.58759161860148001</v>
      </c>
      <c r="O1794" s="14">
        <v>0.47006485421014699</v>
      </c>
      <c r="P1794" s="14">
        <v>0.43128499959709898</v>
      </c>
      <c r="Q1794" s="14">
        <v>0.42491813941504097</v>
      </c>
      <c r="R1794" s="14"/>
      <c r="S1794" s="14">
        <v>0.53555322836285701</v>
      </c>
      <c r="T1794" s="14">
        <v>0.54903310646607995</v>
      </c>
      <c r="U1794" s="14">
        <v>0.495468858463398</v>
      </c>
      <c r="V1794" s="14">
        <v>0.46132396422601801</v>
      </c>
      <c r="W1794" s="14">
        <v>0.38781735787284599</v>
      </c>
      <c r="X1794" s="14">
        <v>0.40766551913098997</v>
      </c>
      <c r="Y1794" s="14">
        <v>0.46353521952925902</v>
      </c>
      <c r="Z1794" s="14">
        <v>0.48570044773228599</v>
      </c>
      <c r="AA1794" s="14">
        <v>0.47295705877555</v>
      </c>
      <c r="AB1794" s="14"/>
      <c r="AC1794" s="14">
        <v>0.447660908957419</v>
      </c>
      <c r="AD1794" s="14">
        <v>0.41906126900329299</v>
      </c>
      <c r="AE1794" s="14">
        <v>0.526311898313922</v>
      </c>
      <c r="AF1794" s="14">
        <v>0.55170516102160305</v>
      </c>
      <c r="AG1794" s="14">
        <v>0.67843010154947403</v>
      </c>
      <c r="AH1794" s="14"/>
      <c r="AI1794" s="14">
        <v>0.52572545244940705</v>
      </c>
      <c r="AJ1794" s="14">
        <v>0.479593936428724</v>
      </c>
      <c r="AK1794" s="14">
        <v>0.44262880967000801</v>
      </c>
      <c r="AL1794" s="14">
        <v>0.46631879353929301</v>
      </c>
      <c r="AM1794" s="14">
        <v>0.46774255311501101</v>
      </c>
      <c r="AN1794" s="14">
        <v>0.49138919436390399</v>
      </c>
      <c r="AO1794" s="14"/>
      <c r="AP1794" s="14">
        <v>0.49015717514257401</v>
      </c>
      <c r="AQ1794" s="14">
        <v>0.47159786404402199</v>
      </c>
      <c r="AR1794" s="14"/>
      <c r="AS1794" s="14">
        <v>0.51036113387771997</v>
      </c>
      <c r="AT1794" s="14">
        <v>0.464067563782387</v>
      </c>
      <c r="AU1794" s="14">
        <v>0.47899690673759998</v>
      </c>
      <c r="AV1794" s="14"/>
      <c r="AW1794" s="14">
        <v>0.48207126313265303</v>
      </c>
      <c r="AX1794" s="14">
        <v>0.55777324913191795</v>
      </c>
      <c r="AY1794" s="14"/>
      <c r="AZ1794" s="14">
        <v>0.50774741316213201</v>
      </c>
      <c r="BA1794" s="14">
        <v>0.39408939862840398</v>
      </c>
    </row>
    <row r="1795" spans="2:53" x14ac:dyDescent="0.35">
      <c r="B1795" t="s">
        <v>405</v>
      </c>
      <c r="C1795" s="14">
        <v>0.40177997812814298</v>
      </c>
      <c r="D1795" s="14">
        <v>0.41242101983238699</v>
      </c>
      <c r="E1795" s="14">
        <v>0.39151995938600997</v>
      </c>
      <c r="F1795" s="14"/>
      <c r="G1795" s="14">
        <v>0.37291453015001402</v>
      </c>
      <c r="H1795" s="14">
        <v>0.354747009174671</v>
      </c>
      <c r="I1795" s="14">
        <v>0.42021948785185698</v>
      </c>
      <c r="J1795" s="14">
        <v>0.41875255391511801</v>
      </c>
      <c r="K1795" s="14">
        <v>0.34705893304430002</v>
      </c>
      <c r="L1795" s="14">
        <v>0.33996129393778501</v>
      </c>
      <c r="M1795" s="14"/>
      <c r="N1795" s="14">
        <v>0.34500176090478701</v>
      </c>
      <c r="O1795" s="14">
        <v>0.43631176113221198</v>
      </c>
      <c r="P1795" s="14">
        <v>0.43928822198599499</v>
      </c>
      <c r="Q1795" s="14">
        <v>0.39122732573032898</v>
      </c>
      <c r="R1795" s="14"/>
      <c r="S1795" s="14">
        <v>0.36370040270299298</v>
      </c>
      <c r="T1795" s="14">
        <v>0.37158711048902798</v>
      </c>
      <c r="U1795" s="14">
        <v>0.35932657843212701</v>
      </c>
      <c r="V1795" s="14">
        <v>0.42516564460253897</v>
      </c>
      <c r="W1795" s="14">
        <v>0.44120282679583001</v>
      </c>
      <c r="X1795" s="14">
        <v>0.44487683096244901</v>
      </c>
      <c r="Y1795" s="14">
        <v>0.42666552048631701</v>
      </c>
      <c r="Z1795" s="14">
        <v>0.38223497985815702</v>
      </c>
      <c r="AA1795" s="14">
        <v>0.426457312714702</v>
      </c>
      <c r="AB1795" s="14"/>
      <c r="AC1795" s="14">
        <v>0.38798006026599202</v>
      </c>
      <c r="AD1795" s="14">
        <v>0.447540693726383</v>
      </c>
      <c r="AE1795" s="14">
        <v>0.39966356683738502</v>
      </c>
      <c r="AF1795" s="14">
        <v>0.36801593203885602</v>
      </c>
      <c r="AG1795" s="14">
        <v>0.21125045226987699</v>
      </c>
      <c r="AH1795" s="14"/>
      <c r="AI1795" s="14">
        <v>0.38922414730684401</v>
      </c>
      <c r="AJ1795" s="14">
        <v>0.41174705158640701</v>
      </c>
      <c r="AK1795" s="14">
        <v>0.46711888278192298</v>
      </c>
      <c r="AL1795" s="14">
        <v>0.39943837607390398</v>
      </c>
      <c r="AM1795" s="14">
        <v>0.30578731411485399</v>
      </c>
      <c r="AN1795" s="14">
        <v>0.37631864211496302</v>
      </c>
      <c r="AO1795" s="14"/>
      <c r="AP1795" s="14">
        <v>0.40677004450613302</v>
      </c>
      <c r="AQ1795" s="14">
        <v>0.396100175283361</v>
      </c>
      <c r="AR1795" s="14"/>
      <c r="AS1795" s="14">
        <v>0.39451332947363399</v>
      </c>
      <c r="AT1795" s="14">
        <v>0.43269316726872498</v>
      </c>
      <c r="AU1795" s="14">
        <v>0.39459480468579999</v>
      </c>
      <c r="AV1795" s="14"/>
      <c r="AW1795" s="14">
        <v>0.40990923609900998</v>
      </c>
      <c r="AX1795" s="14">
        <v>0.35321247171562398</v>
      </c>
      <c r="AY1795" s="14"/>
      <c r="AZ1795" s="14">
        <v>0.39263298216597597</v>
      </c>
      <c r="BA1795" s="14">
        <v>0.43618135409764902</v>
      </c>
    </row>
    <row r="1796" spans="2:53" x14ac:dyDescent="0.35">
      <c r="B1796" t="s">
        <v>406</v>
      </c>
      <c r="C1796" s="14">
        <v>8.3859779445253593E-2</v>
      </c>
      <c r="D1796" s="14">
        <v>6.6972153821325597E-2</v>
      </c>
      <c r="E1796" s="14">
        <v>0.100842211610201</v>
      </c>
      <c r="F1796" s="14"/>
      <c r="G1796" s="14">
        <v>0.26903586667520002</v>
      </c>
      <c r="H1796" s="14">
        <v>6.36095694399363E-2</v>
      </c>
      <c r="I1796" s="14">
        <v>9.5857149314723902E-2</v>
      </c>
      <c r="J1796" s="14">
        <v>6.1396952526734203E-2</v>
      </c>
      <c r="K1796" s="14">
        <v>0.114885600184279</v>
      </c>
      <c r="L1796" s="14">
        <v>0.129735870038068</v>
      </c>
      <c r="M1796" s="14"/>
      <c r="N1796" s="14">
        <v>5.33595140213406E-2</v>
      </c>
      <c r="O1796" s="14">
        <v>7.2725467857276002E-2</v>
      </c>
      <c r="P1796" s="14">
        <v>7.58198741099467E-2</v>
      </c>
      <c r="Q1796" s="14">
        <v>0.13640393561653499</v>
      </c>
      <c r="R1796" s="14"/>
      <c r="S1796" s="14">
        <v>6.4133667210463305E-2</v>
      </c>
      <c r="T1796" s="14">
        <v>5.2821468129271701E-2</v>
      </c>
      <c r="U1796" s="14">
        <v>0.104725512375309</v>
      </c>
      <c r="V1796" s="14">
        <v>8.4802040761962794E-2</v>
      </c>
      <c r="W1796" s="14">
        <v>0.122197526367499</v>
      </c>
      <c r="X1796" s="14">
        <v>9.1680104998694903E-2</v>
      </c>
      <c r="Y1796" s="14">
        <v>8.5920804245475796E-2</v>
      </c>
      <c r="Z1796" s="14">
        <v>0.110352605886571</v>
      </c>
      <c r="AA1796" s="14">
        <v>8.5023628989039104E-2</v>
      </c>
      <c r="AB1796" s="14"/>
      <c r="AC1796" s="14">
        <v>0.13516724045825601</v>
      </c>
      <c r="AD1796" s="14">
        <v>8.8241797838508093E-2</v>
      </c>
      <c r="AE1796" s="14">
        <v>5.17582583600492E-2</v>
      </c>
      <c r="AF1796" s="14">
        <v>5.0132325910828002E-2</v>
      </c>
      <c r="AG1796" s="14">
        <v>8.1557053087067399E-2</v>
      </c>
      <c r="AH1796" s="14"/>
      <c r="AI1796" s="14">
        <v>5.7119389093404901E-2</v>
      </c>
      <c r="AJ1796" s="14">
        <v>7.3584317302152896E-2</v>
      </c>
      <c r="AK1796" s="14">
        <v>6.9665677288653194E-2</v>
      </c>
      <c r="AL1796" s="14">
        <v>9.6387284058344194E-2</v>
      </c>
      <c r="AM1796" s="14">
        <v>0.16085149707837301</v>
      </c>
      <c r="AN1796" s="14">
        <v>0.102264667190231</v>
      </c>
      <c r="AO1796" s="14"/>
      <c r="AP1796" s="14">
        <v>7.3272956199031097E-2</v>
      </c>
      <c r="AQ1796" s="14">
        <v>9.6041699965983204E-2</v>
      </c>
      <c r="AR1796" s="14"/>
      <c r="AS1796" s="14">
        <v>6.5660959604321403E-2</v>
      </c>
      <c r="AT1796" s="14">
        <v>6.8408442749809603E-2</v>
      </c>
      <c r="AU1796" s="14">
        <v>9.3326602624241195E-2</v>
      </c>
      <c r="AV1796" s="14"/>
      <c r="AW1796" s="14">
        <v>7.8059731258007498E-2</v>
      </c>
      <c r="AX1796" s="14">
        <v>5.9076268399899698E-2</v>
      </c>
      <c r="AY1796" s="14"/>
      <c r="AZ1796" s="14">
        <v>7.1508257174767498E-2</v>
      </c>
      <c r="BA1796" s="14">
        <v>0.12940192909301601</v>
      </c>
    </row>
    <row r="1797" spans="2:53" x14ac:dyDescent="0.35">
      <c r="B1797" t="s">
        <v>407</v>
      </c>
      <c r="C1797" s="14">
        <v>1.6892131455190699E-2</v>
      </c>
      <c r="D1797" s="14">
        <v>1.49974942556148E-2</v>
      </c>
      <c r="E1797" s="14">
        <v>1.88046607640713E-2</v>
      </c>
      <c r="F1797" s="14"/>
      <c r="G1797" s="14">
        <v>0</v>
      </c>
      <c r="H1797" s="14">
        <v>3.19621603083508E-2</v>
      </c>
      <c r="I1797" s="14">
        <v>1.34332831167889E-2</v>
      </c>
      <c r="J1797" s="14">
        <v>1.7830468129007699E-2</v>
      </c>
      <c r="K1797" s="14">
        <v>7.4357103834002897E-3</v>
      </c>
      <c r="L1797" s="14">
        <v>1.28417253195894E-2</v>
      </c>
      <c r="M1797" s="14"/>
      <c r="N1797" s="14">
        <v>1.06351727548033E-2</v>
      </c>
      <c r="O1797" s="14">
        <v>9.2190598621678301E-3</v>
      </c>
      <c r="P1797" s="14">
        <v>2.9790859197610601E-2</v>
      </c>
      <c r="Q1797" s="14">
        <v>2.0469202390004802E-2</v>
      </c>
      <c r="R1797" s="14"/>
      <c r="S1797" s="14">
        <v>2.2242829337111299E-2</v>
      </c>
      <c r="T1797" s="14">
        <v>1.8112383021641001E-2</v>
      </c>
      <c r="U1797" s="14">
        <v>5.8243803346451099E-3</v>
      </c>
      <c r="V1797" s="14">
        <v>2.2895710441613801E-2</v>
      </c>
      <c r="W1797" s="14">
        <v>2.3172971816705499E-2</v>
      </c>
      <c r="X1797" s="14">
        <v>3.27396554658997E-2</v>
      </c>
      <c r="Y1797" s="14">
        <v>4.9367990524633396E-3</v>
      </c>
      <c r="Z1797" s="14">
        <v>2.1711966522985699E-2</v>
      </c>
      <c r="AA1797" s="14">
        <v>3.0468803996828702E-3</v>
      </c>
      <c r="AB1797" s="14"/>
      <c r="AC1797" s="14">
        <v>1.23019500501478E-2</v>
      </c>
      <c r="AD1797" s="14">
        <v>2.51109375269307E-2</v>
      </c>
      <c r="AE1797" s="14">
        <v>1.39998965311084E-2</v>
      </c>
      <c r="AF1797" s="14">
        <v>1.25697421608048E-2</v>
      </c>
      <c r="AG1797" s="14">
        <v>2.8762393093582E-2</v>
      </c>
      <c r="AH1797" s="14"/>
      <c r="AI1797" s="14">
        <v>1.0981045147321501E-2</v>
      </c>
      <c r="AJ1797" s="14">
        <v>3.1469367051078098E-2</v>
      </c>
      <c r="AK1797" s="14">
        <v>1.6818249923965699E-2</v>
      </c>
      <c r="AL1797" s="14">
        <v>1.61629211611421E-2</v>
      </c>
      <c r="AM1797" s="14">
        <v>3.9643113482768701E-2</v>
      </c>
      <c r="AN1797" s="14">
        <v>0</v>
      </c>
      <c r="AO1797" s="14"/>
      <c r="AP1797" s="14">
        <v>1.6012010379305899E-2</v>
      </c>
      <c r="AQ1797" s="14">
        <v>1.7936830387036098E-2</v>
      </c>
      <c r="AR1797" s="14"/>
      <c r="AS1797" s="14">
        <v>2.13145824131298E-2</v>
      </c>
      <c r="AT1797" s="14">
        <v>1.6588016398352601E-2</v>
      </c>
      <c r="AU1797" s="14">
        <v>1.57918210766145E-2</v>
      </c>
      <c r="AV1797" s="14"/>
      <c r="AW1797" s="14">
        <v>1.4228738462265699E-2</v>
      </c>
      <c r="AX1797" s="14">
        <v>2.6882689380736E-2</v>
      </c>
      <c r="AY1797" s="14"/>
      <c r="AZ1797" s="14">
        <v>1.6289700620368601E-2</v>
      </c>
      <c r="BA1797" s="14">
        <v>1.9493548312964199E-2</v>
      </c>
    </row>
    <row r="1798" spans="2:53" x14ac:dyDescent="0.35">
      <c r="B1798" t="s">
        <v>408</v>
      </c>
      <c r="C1798" s="14">
        <v>2.6832949881324302E-3</v>
      </c>
      <c r="D1798" s="14">
        <v>2.2608708204949202E-3</v>
      </c>
      <c r="E1798" s="14">
        <v>3.1086584175872402E-3</v>
      </c>
      <c r="F1798" s="14"/>
      <c r="G1798" s="14">
        <v>0</v>
      </c>
      <c r="H1798" s="14">
        <v>1.03926622341581E-2</v>
      </c>
      <c r="I1798" s="14">
        <v>3.6644415402993199E-4</v>
      </c>
      <c r="J1798" s="14">
        <v>3.2225477329788301E-3</v>
      </c>
      <c r="K1798" s="14">
        <v>0</v>
      </c>
      <c r="L1798" s="14">
        <v>0</v>
      </c>
      <c r="M1798" s="14"/>
      <c r="N1798" s="14">
        <v>5.9444422971769502E-4</v>
      </c>
      <c r="O1798" s="14">
        <v>1.61726291205271E-3</v>
      </c>
      <c r="P1798" s="14">
        <v>4.4230463225213403E-3</v>
      </c>
      <c r="Q1798" s="14">
        <v>4.5468301710563201E-3</v>
      </c>
      <c r="R1798" s="14"/>
      <c r="S1798" s="14">
        <v>8.6958516844644809E-3</v>
      </c>
      <c r="T1798" s="14">
        <v>1.0015170270321499E-3</v>
      </c>
      <c r="U1798" s="14">
        <v>0</v>
      </c>
      <c r="V1798" s="14">
        <v>5.8126399678665496E-3</v>
      </c>
      <c r="W1798" s="14">
        <v>0</v>
      </c>
      <c r="X1798" s="14">
        <v>0</v>
      </c>
      <c r="Y1798" s="14">
        <v>4.9367968384857403E-3</v>
      </c>
      <c r="Z1798" s="14">
        <v>0</v>
      </c>
      <c r="AA1798" s="14">
        <v>0</v>
      </c>
      <c r="AB1798" s="14"/>
      <c r="AC1798" s="14">
        <v>3.1982142381254399E-3</v>
      </c>
      <c r="AD1798" s="14">
        <v>2.3186991050872601E-3</v>
      </c>
      <c r="AE1798" s="14">
        <v>1.44368355591717E-3</v>
      </c>
      <c r="AF1798" s="14">
        <v>7.5352622147833804E-3</v>
      </c>
      <c r="AG1798" s="14">
        <v>0</v>
      </c>
      <c r="AH1798" s="14"/>
      <c r="AI1798" s="14">
        <v>2.7638927917782801E-3</v>
      </c>
      <c r="AJ1798" s="14">
        <v>3.6053276316378698E-3</v>
      </c>
      <c r="AK1798" s="14">
        <v>0</v>
      </c>
      <c r="AL1798" s="14">
        <v>3.76073804916441E-3</v>
      </c>
      <c r="AM1798" s="14">
        <v>0</v>
      </c>
      <c r="AN1798" s="14">
        <v>6.6719317493672001E-3</v>
      </c>
      <c r="AO1798" s="14"/>
      <c r="AP1798" s="14">
        <v>1.2389575860143E-3</v>
      </c>
      <c r="AQ1798" s="14">
        <v>4.3170246716423902E-3</v>
      </c>
      <c r="AR1798" s="14"/>
      <c r="AS1798" s="14">
        <v>0</v>
      </c>
      <c r="AT1798" s="14">
        <v>6.0009332695983002E-3</v>
      </c>
      <c r="AU1798" s="14">
        <v>2.4244534761255999E-3</v>
      </c>
      <c r="AV1798" s="14"/>
      <c r="AW1798" s="14">
        <v>3.5707413744695401E-3</v>
      </c>
      <c r="AX1798" s="14">
        <v>0</v>
      </c>
      <c r="AY1798" s="14"/>
      <c r="AZ1798" s="14">
        <v>1.5516540798691501E-3</v>
      </c>
      <c r="BA1798" s="14">
        <v>6.9592059116775603E-3</v>
      </c>
    </row>
    <row r="1799" spans="2:53" x14ac:dyDescent="0.35">
      <c r="B1799" t="s">
        <v>80</v>
      </c>
      <c r="C1799" s="14">
        <v>1.3214676586036299E-2</v>
      </c>
      <c r="D1799" s="14">
        <v>6.8067125125955497E-3</v>
      </c>
      <c r="E1799" s="14">
        <v>1.9640576260033401E-2</v>
      </c>
      <c r="F1799" s="14"/>
      <c r="G1799" s="14">
        <v>0</v>
      </c>
      <c r="H1799" s="14">
        <v>1.44523645838197E-2</v>
      </c>
      <c r="I1799" s="14">
        <v>1.1510481031339601E-2</v>
      </c>
      <c r="J1799" s="14">
        <v>1.15948435264322E-2</v>
      </c>
      <c r="K1799" s="14">
        <v>1.56821209999011E-2</v>
      </c>
      <c r="L1799" s="14">
        <v>7.1927198932918504E-2</v>
      </c>
      <c r="M1799" s="14"/>
      <c r="N1799" s="14">
        <v>2.81748948787182E-3</v>
      </c>
      <c r="O1799" s="14">
        <v>1.0061594026144699E-2</v>
      </c>
      <c r="P1799" s="14">
        <v>1.93929987868274E-2</v>
      </c>
      <c r="Q1799" s="14">
        <v>2.2434566677033401E-2</v>
      </c>
      <c r="R1799" s="14"/>
      <c r="S1799" s="14">
        <v>5.6740207021104602E-3</v>
      </c>
      <c r="T1799" s="14">
        <v>7.44441486694706E-3</v>
      </c>
      <c r="U1799" s="14">
        <v>3.4654670394520498E-2</v>
      </c>
      <c r="V1799" s="14">
        <v>0</v>
      </c>
      <c r="W1799" s="14">
        <v>2.5609317147120399E-2</v>
      </c>
      <c r="X1799" s="14">
        <v>2.3037889441966702E-2</v>
      </c>
      <c r="Y1799" s="14">
        <v>1.4004859847998499E-2</v>
      </c>
      <c r="Z1799" s="14">
        <v>0</v>
      </c>
      <c r="AA1799" s="14">
        <v>1.2515119121026E-2</v>
      </c>
      <c r="AB1799" s="14"/>
      <c r="AC1799" s="14">
        <v>1.3691626030058799E-2</v>
      </c>
      <c r="AD1799" s="14">
        <v>1.7726602799797899E-2</v>
      </c>
      <c r="AE1799" s="14">
        <v>6.8226964016188203E-3</v>
      </c>
      <c r="AF1799" s="14">
        <v>1.0041576653124801E-2</v>
      </c>
      <c r="AG1799" s="14">
        <v>0</v>
      </c>
      <c r="AH1799" s="14"/>
      <c r="AI1799" s="14">
        <v>1.41860732112443E-2</v>
      </c>
      <c r="AJ1799" s="14">
        <v>0</v>
      </c>
      <c r="AK1799" s="14">
        <v>3.7683803354501499E-3</v>
      </c>
      <c r="AL1799" s="14">
        <v>1.7931887118152599E-2</v>
      </c>
      <c r="AM1799" s="14">
        <v>2.5975522208994298E-2</v>
      </c>
      <c r="AN1799" s="14">
        <v>2.3355564581534299E-2</v>
      </c>
      <c r="AO1799" s="14"/>
      <c r="AP1799" s="14">
        <v>1.25488561869421E-2</v>
      </c>
      <c r="AQ1799" s="14">
        <v>1.40064056479553E-2</v>
      </c>
      <c r="AR1799" s="14"/>
      <c r="AS1799" s="14">
        <v>8.1499946311949095E-3</v>
      </c>
      <c r="AT1799" s="14">
        <v>1.22418765311278E-2</v>
      </c>
      <c r="AU1799" s="14">
        <v>1.4865411399619E-2</v>
      </c>
      <c r="AV1799" s="14"/>
      <c r="AW1799" s="14">
        <v>1.2160289673594201E-2</v>
      </c>
      <c r="AX1799" s="14">
        <v>3.05532137182236E-3</v>
      </c>
      <c r="AY1799" s="14"/>
      <c r="AZ1799" s="14">
        <v>1.0269992796887201E-2</v>
      </c>
      <c r="BA1799" s="14">
        <v>1.3874563956289099E-2</v>
      </c>
    </row>
    <row r="1800" spans="2:53" x14ac:dyDescent="0.35">
      <c r="B1800" t="s">
        <v>409</v>
      </c>
      <c r="C1800" s="14">
        <v>0.88335011752538695</v>
      </c>
      <c r="D1800" s="14">
        <v>0.90896276858996905</v>
      </c>
      <c r="E1800" s="14">
        <v>0.85760389294810702</v>
      </c>
      <c r="F1800" s="14"/>
      <c r="G1800" s="14">
        <v>0.73096413332480004</v>
      </c>
      <c r="H1800" s="14">
        <v>0.87958324343373495</v>
      </c>
      <c r="I1800" s="14">
        <v>0.87883264238311798</v>
      </c>
      <c r="J1800" s="14">
        <v>0.90595518808484699</v>
      </c>
      <c r="K1800" s="14">
        <v>0.86199656843242001</v>
      </c>
      <c r="L1800" s="14">
        <v>0.78549520570942399</v>
      </c>
      <c r="M1800" s="14"/>
      <c r="N1800" s="14">
        <v>0.93259337950626697</v>
      </c>
      <c r="O1800" s="14">
        <v>0.90637661534235903</v>
      </c>
      <c r="P1800" s="14">
        <v>0.87057322158309403</v>
      </c>
      <c r="Q1800" s="14">
        <v>0.81614546514537101</v>
      </c>
      <c r="R1800" s="14"/>
      <c r="S1800" s="14">
        <v>0.89925363106585099</v>
      </c>
      <c r="T1800" s="14">
        <v>0.92062021695510798</v>
      </c>
      <c r="U1800" s="14">
        <v>0.85479543689552495</v>
      </c>
      <c r="V1800" s="14">
        <v>0.88648960882855699</v>
      </c>
      <c r="W1800" s="14">
        <v>0.829020184668676</v>
      </c>
      <c r="X1800" s="14">
        <v>0.85254235009343904</v>
      </c>
      <c r="Y1800" s="14">
        <v>0.89020074001557703</v>
      </c>
      <c r="Z1800" s="14">
        <v>0.86793542759044295</v>
      </c>
      <c r="AA1800" s="14">
        <v>0.89941437149025205</v>
      </c>
      <c r="AB1800" s="14"/>
      <c r="AC1800" s="14">
        <v>0.83564096922341102</v>
      </c>
      <c r="AD1800" s="14">
        <v>0.86660196272967605</v>
      </c>
      <c r="AE1800" s="14">
        <v>0.92597546515130602</v>
      </c>
      <c r="AF1800" s="14">
        <v>0.91972109306045902</v>
      </c>
      <c r="AG1800" s="14">
        <v>0.88968055381935096</v>
      </c>
      <c r="AH1800" s="14"/>
      <c r="AI1800" s="14">
        <v>0.91494959975625101</v>
      </c>
      <c r="AJ1800" s="14">
        <v>0.89134098801513095</v>
      </c>
      <c r="AK1800" s="14">
        <v>0.90974769245193099</v>
      </c>
      <c r="AL1800" s="14">
        <v>0.86575716961319704</v>
      </c>
      <c r="AM1800" s="14">
        <v>0.77352986722986405</v>
      </c>
      <c r="AN1800" s="14">
        <v>0.86770783647886796</v>
      </c>
      <c r="AO1800" s="14"/>
      <c r="AP1800" s="14">
        <v>0.89692721964870703</v>
      </c>
      <c r="AQ1800" s="14">
        <v>0.86769803932738299</v>
      </c>
      <c r="AR1800" s="14"/>
      <c r="AS1800" s="14">
        <v>0.90487446335135402</v>
      </c>
      <c r="AT1800" s="14">
        <v>0.89676073105111198</v>
      </c>
      <c r="AU1800" s="14">
        <v>0.87359171142339997</v>
      </c>
      <c r="AV1800" s="14"/>
      <c r="AW1800" s="14">
        <v>0.891980499231663</v>
      </c>
      <c r="AX1800" s="14">
        <v>0.91098572084754204</v>
      </c>
      <c r="AY1800" s="14"/>
      <c r="AZ1800" s="14">
        <v>0.90038039532810799</v>
      </c>
      <c r="BA1800" s="14">
        <v>0.830270752726053</v>
      </c>
    </row>
    <row r="1801" spans="2:53" x14ac:dyDescent="0.35">
      <c r="B1801" t="s">
        <v>410</v>
      </c>
      <c r="C1801" s="14">
        <v>1.9575426443323201E-2</v>
      </c>
      <c r="D1801" s="14">
        <v>1.72583650761097E-2</v>
      </c>
      <c r="E1801" s="14">
        <v>2.1913319181658501E-2</v>
      </c>
      <c r="F1801" s="14"/>
      <c r="G1801" s="14">
        <v>0</v>
      </c>
      <c r="H1801" s="14">
        <v>4.2354822542508899E-2</v>
      </c>
      <c r="I1801" s="14">
        <v>1.37997272708189E-2</v>
      </c>
      <c r="J1801" s="14">
        <v>2.1053015861986501E-2</v>
      </c>
      <c r="K1801" s="14">
        <v>7.4357103834002897E-3</v>
      </c>
      <c r="L1801" s="14">
        <v>1.28417253195894E-2</v>
      </c>
      <c r="M1801" s="14"/>
      <c r="N1801" s="14">
        <v>1.1229616984521001E-2</v>
      </c>
      <c r="O1801" s="14">
        <v>1.0836322774220499E-2</v>
      </c>
      <c r="P1801" s="14">
        <v>3.4213905520132003E-2</v>
      </c>
      <c r="Q1801" s="14">
        <v>2.5016032561061101E-2</v>
      </c>
      <c r="R1801" s="14"/>
      <c r="S1801" s="14">
        <v>3.0938681021575799E-2</v>
      </c>
      <c r="T1801" s="14">
        <v>1.91139000486731E-2</v>
      </c>
      <c r="U1801" s="14">
        <v>5.8243803346451099E-3</v>
      </c>
      <c r="V1801" s="14">
        <v>2.8708350409480402E-2</v>
      </c>
      <c r="W1801" s="14">
        <v>2.3172971816705499E-2</v>
      </c>
      <c r="X1801" s="14">
        <v>3.27396554658997E-2</v>
      </c>
      <c r="Y1801" s="14">
        <v>9.8735958909490808E-3</v>
      </c>
      <c r="Z1801" s="14">
        <v>2.1711966522985699E-2</v>
      </c>
      <c r="AA1801" s="14">
        <v>3.0468803996828702E-3</v>
      </c>
      <c r="AB1801" s="14"/>
      <c r="AC1801" s="14">
        <v>1.5500164288273201E-2</v>
      </c>
      <c r="AD1801" s="14">
        <v>2.7429636632018001E-2</v>
      </c>
      <c r="AE1801" s="14">
        <v>1.54435800870256E-2</v>
      </c>
      <c r="AF1801" s="14">
        <v>2.0105004375588199E-2</v>
      </c>
      <c r="AG1801" s="14">
        <v>2.8762393093582E-2</v>
      </c>
      <c r="AH1801" s="14"/>
      <c r="AI1801" s="14">
        <v>1.37449379390998E-2</v>
      </c>
      <c r="AJ1801" s="14">
        <v>3.5074694682715998E-2</v>
      </c>
      <c r="AK1801" s="14">
        <v>1.6818249923965699E-2</v>
      </c>
      <c r="AL1801" s="14">
        <v>1.9923659210306598E-2</v>
      </c>
      <c r="AM1801" s="14">
        <v>3.9643113482768701E-2</v>
      </c>
      <c r="AN1801" s="14">
        <v>6.6719317493672001E-3</v>
      </c>
      <c r="AO1801" s="14"/>
      <c r="AP1801" s="14">
        <v>1.7250967965320201E-2</v>
      </c>
      <c r="AQ1801" s="14">
        <v>2.2253855058678499E-2</v>
      </c>
      <c r="AR1801" s="14"/>
      <c r="AS1801" s="14">
        <v>2.13145824131298E-2</v>
      </c>
      <c r="AT1801" s="14">
        <v>2.25889496679509E-2</v>
      </c>
      <c r="AU1801" s="14">
        <v>1.8216274552740101E-2</v>
      </c>
      <c r="AV1801" s="14"/>
      <c r="AW1801" s="14">
        <v>1.7799479836735299E-2</v>
      </c>
      <c r="AX1801" s="14">
        <v>2.6882689380736E-2</v>
      </c>
      <c r="AY1801" s="14"/>
      <c r="AZ1801" s="14">
        <v>1.7841354700237701E-2</v>
      </c>
      <c r="BA1801" s="14">
        <v>2.64527542246418E-2</v>
      </c>
    </row>
    <row r="1802" spans="2:53" x14ac:dyDescent="0.35">
      <c r="B1802" t="s">
        <v>82</v>
      </c>
      <c r="C1802" s="14">
        <v>0.86377469108206395</v>
      </c>
      <c r="D1802" s="14">
        <v>0.89170440351385905</v>
      </c>
      <c r="E1802" s="14">
        <v>0.83569057376644795</v>
      </c>
      <c r="F1802" s="14"/>
      <c r="G1802" s="14">
        <v>0.73096413332480004</v>
      </c>
      <c r="H1802" s="14">
        <v>0.83722842089122596</v>
      </c>
      <c r="I1802" s="14">
        <v>0.86503291511229896</v>
      </c>
      <c r="J1802" s="14">
        <v>0.88490217222286105</v>
      </c>
      <c r="K1802" s="14">
        <v>0.85456085804901905</v>
      </c>
      <c r="L1802" s="14">
        <v>0.77265348038983495</v>
      </c>
      <c r="M1802" s="14"/>
      <c r="N1802" s="14">
        <v>0.92136376252174601</v>
      </c>
      <c r="O1802" s="14">
        <v>0.89554029256813805</v>
      </c>
      <c r="P1802" s="14">
        <v>0.83635931606296199</v>
      </c>
      <c r="Q1802" s="14">
        <v>0.79112943258430901</v>
      </c>
      <c r="R1802" s="14"/>
      <c r="S1802" s="14">
        <v>0.86831495004427495</v>
      </c>
      <c r="T1802" s="14">
        <v>0.90150631690643501</v>
      </c>
      <c r="U1802" s="14">
        <v>0.84897105656088001</v>
      </c>
      <c r="V1802" s="14">
        <v>0.85778125841907604</v>
      </c>
      <c r="W1802" s="14">
        <v>0.80584721285197003</v>
      </c>
      <c r="X1802" s="14">
        <v>0.81980269462753896</v>
      </c>
      <c r="Y1802" s="14">
        <v>0.88032714412462798</v>
      </c>
      <c r="Z1802" s="14">
        <v>0.84622346106745705</v>
      </c>
      <c r="AA1802" s="14">
        <v>0.89636749109056901</v>
      </c>
      <c r="AB1802" s="14"/>
      <c r="AC1802" s="14">
        <v>0.82014080493513797</v>
      </c>
      <c r="AD1802" s="14">
        <v>0.83917232609765802</v>
      </c>
      <c r="AE1802" s="14">
        <v>0.91053188506428095</v>
      </c>
      <c r="AF1802" s="14">
        <v>0.89961608868487097</v>
      </c>
      <c r="AG1802" s="14">
        <v>0.86091816072576899</v>
      </c>
      <c r="AH1802" s="14"/>
      <c r="AI1802" s="14">
        <v>0.90120466181715098</v>
      </c>
      <c r="AJ1802" s="14">
        <v>0.856266293332415</v>
      </c>
      <c r="AK1802" s="14">
        <v>0.89292944252796502</v>
      </c>
      <c r="AL1802" s="14">
        <v>0.84583351040289001</v>
      </c>
      <c r="AM1802" s="14">
        <v>0.733886753747096</v>
      </c>
      <c r="AN1802" s="14">
        <v>0.86103590472950098</v>
      </c>
      <c r="AO1802" s="14"/>
      <c r="AP1802" s="14">
        <v>0.87967625168338603</v>
      </c>
      <c r="AQ1802" s="14">
        <v>0.84544418426870405</v>
      </c>
      <c r="AR1802" s="14"/>
      <c r="AS1802" s="14">
        <v>0.88355988093822402</v>
      </c>
      <c r="AT1802" s="14">
        <v>0.87417178138316098</v>
      </c>
      <c r="AU1802" s="14">
        <v>0.85537543687065998</v>
      </c>
      <c r="AV1802" s="14"/>
      <c r="AW1802" s="14">
        <v>0.87418101939492798</v>
      </c>
      <c r="AX1802" s="14">
        <v>0.88410303146680602</v>
      </c>
      <c r="AY1802" s="14"/>
      <c r="AZ1802" s="14">
        <v>0.88253904062787003</v>
      </c>
      <c r="BA1802" s="14">
        <v>0.803817998501412</v>
      </c>
    </row>
    <row r="1803" spans="2:53" x14ac:dyDescent="0.35">
      <c r="C1803" s="14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4"/>
      <c r="AP1803" s="14"/>
      <c r="AQ1803" s="14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</row>
    <row r="1804" spans="2:53" x14ac:dyDescent="0.35">
      <c r="B1804" s="6" t="s">
        <v>416</v>
      </c>
      <c r="C1804" s="14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/>
      <c r="AN1804" s="14"/>
      <c r="AO1804" s="14"/>
      <c r="AP1804" s="14"/>
      <c r="AQ1804" s="14"/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</row>
    <row r="1805" spans="2:53" x14ac:dyDescent="0.35">
      <c r="B1805" s="24" t="s">
        <v>118</v>
      </c>
      <c r="C1805" s="14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/>
      <c r="AO1805" s="14"/>
      <c r="AP1805" s="14"/>
      <c r="AQ1805" s="14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</row>
    <row r="1806" spans="2:53" x14ac:dyDescent="0.35">
      <c r="B1806" t="s">
        <v>404</v>
      </c>
      <c r="C1806" s="14">
        <v>0.39286266930574698</v>
      </c>
      <c r="D1806" s="14">
        <v>0.40740350419791699</v>
      </c>
      <c r="E1806" s="14">
        <v>0.37869109365798598</v>
      </c>
      <c r="F1806" s="14"/>
      <c r="G1806" s="14">
        <v>0.34364222191411697</v>
      </c>
      <c r="H1806" s="14">
        <v>0.42140360955136402</v>
      </c>
      <c r="I1806" s="14">
        <v>0.40965137843807298</v>
      </c>
      <c r="J1806" s="14">
        <v>0.37513261373573198</v>
      </c>
      <c r="K1806" s="14">
        <v>0.33777935699197598</v>
      </c>
      <c r="L1806" s="14">
        <v>0.33232901054882602</v>
      </c>
      <c r="M1806" s="14"/>
      <c r="N1806" s="14">
        <v>0.43207634973765502</v>
      </c>
      <c r="O1806" s="14">
        <v>0.38960477454231501</v>
      </c>
      <c r="P1806" s="14">
        <v>0.36942401994102803</v>
      </c>
      <c r="Q1806" s="14">
        <v>0.37656050566958099</v>
      </c>
      <c r="R1806" s="14"/>
      <c r="S1806" s="14">
        <v>0.45519819448242099</v>
      </c>
      <c r="T1806" s="14">
        <v>0.42729133126400498</v>
      </c>
      <c r="U1806" s="14">
        <v>0.38225829721058102</v>
      </c>
      <c r="V1806" s="14">
        <v>0.415829381632777</v>
      </c>
      <c r="W1806" s="14">
        <v>0.356397955168759</v>
      </c>
      <c r="X1806" s="14">
        <v>0.36646703424793903</v>
      </c>
      <c r="Y1806" s="14">
        <v>0.368366423707508</v>
      </c>
      <c r="Z1806" s="14">
        <v>0.35735340094414297</v>
      </c>
      <c r="AA1806" s="14">
        <v>0.340733466888198</v>
      </c>
      <c r="AB1806" s="14"/>
      <c r="AC1806" s="14">
        <v>0.316327938207145</v>
      </c>
      <c r="AD1806" s="14">
        <v>0.36044785507788002</v>
      </c>
      <c r="AE1806" s="14">
        <v>0.41190825441415402</v>
      </c>
      <c r="AF1806" s="14">
        <v>0.546249412110834</v>
      </c>
      <c r="AG1806" s="14">
        <v>0.50643922869853297</v>
      </c>
      <c r="AH1806" s="14"/>
      <c r="AI1806" s="14">
        <v>0.44549397946790398</v>
      </c>
      <c r="AJ1806" s="14">
        <v>0.36426955829583402</v>
      </c>
      <c r="AK1806" s="14">
        <v>0.41962517057701598</v>
      </c>
      <c r="AL1806" s="14">
        <v>0.33294069609925703</v>
      </c>
      <c r="AM1806" s="14">
        <v>0.41908390450854199</v>
      </c>
      <c r="AN1806" s="14">
        <v>0.374412149031432</v>
      </c>
      <c r="AO1806" s="14"/>
      <c r="AP1806" s="14">
        <v>0.42164490155047701</v>
      </c>
      <c r="AQ1806" s="14">
        <v>0.36054889086825298</v>
      </c>
      <c r="AR1806" s="14"/>
      <c r="AS1806" s="14">
        <v>0.42871005153804398</v>
      </c>
      <c r="AT1806" s="14">
        <v>0.39806523729101001</v>
      </c>
      <c r="AU1806" s="14">
        <v>0.38167651447458201</v>
      </c>
      <c r="AV1806" s="14"/>
      <c r="AW1806" s="14">
        <v>0.376744654084679</v>
      </c>
      <c r="AX1806" s="14">
        <v>0.49136979396837499</v>
      </c>
      <c r="AY1806" s="14"/>
      <c r="AZ1806" s="14">
        <v>0.42163341467944898</v>
      </c>
      <c r="BA1806" s="14">
        <v>0.29384667467804299</v>
      </c>
    </row>
    <row r="1807" spans="2:53" x14ac:dyDescent="0.35">
      <c r="B1807" t="s">
        <v>405</v>
      </c>
      <c r="C1807" s="14">
        <v>0.45806496851284001</v>
      </c>
      <c r="D1807" s="14">
        <v>0.45928028266660897</v>
      </c>
      <c r="E1807" s="14">
        <v>0.45632326875634699</v>
      </c>
      <c r="F1807" s="14"/>
      <c r="G1807" s="14">
        <v>0.206042317828671</v>
      </c>
      <c r="H1807" s="14">
        <v>0.43082482056121202</v>
      </c>
      <c r="I1807" s="14">
        <v>0.448483036323849</v>
      </c>
      <c r="J1807" s="14">
        <v>0.479485891545325</v>
      </c>
      <c r="K1807" s="14">
        <v>0.48165849678782002</v>
      </c>
      <c r="L1807" s="14">
        <v>0.52291500037698802</v>
      </c>
      <c r="M1807" s="14"/>
      <c r="N1807" s="14">
        <v>0.46407085872339598</v>
      </c>
      <c r="O1807" s="14">
        <v>0.46735527364889101</v>
      </c>
      <c r="P1807" s="14">
        <v>0.49829734591444502</v>
      </c>
      <c r="Q1807" s="14">
        <v>0.40864983608135202</v>
      </c>
      <c r="R1807" s="14"/>
      <c r="S1807" s="14">
        <v>0.44889825479310602</v>
      </c>
      <c r="T1807" s="14">
        <v>0.43561639314186001</v>
      </c>
      <c r="U1807" s="14">
        <v>0.42631351187166799</v>
      </c>
      <c r="V1807" s="14">
        <v>0.443662963019472</v>
      </c>
      <c r="W1807" s="14">
        <v>0.47864251912755901</v>
      </c>
      <c r="X1807" s="14">
        <v>0.45925778858004401</v>
      </c>
      <c r="Y1807" s="14">
        <v>0.47220128412971901</v>
      </c>
      <c r="Z1807" s="14">
        <v>0.47924681138257103</v>
      </c>
      <c r="AA1807" s="14">
        <v>0.49945543068136</v>
      </c>
      <c r="AB1807" s="14"/>
      <c r="AC1807" s="14">
        <v>0.47708138797012201</v>
      </c>
      <c r="AD1807" s="14">
        <v>0.50723898923565103</v>
      </c>
      <c r="AE1807" s="14">
        <v>0.457152943107549</v>
      </c>
      <c r="AF1807" s="14">
        <v>0.36881616416167501</v>
      </c>
      <c r="AG1807" s="14">
        <v>0.37303820571722501</v>
      </c>
      <c r="AH1807" s="14"/>
      <c r="AI1807" s="14">
        <v>0.43060117886934701</v>
      </c>
      <c r="AJ1807" s="14">
        <v>0.49891620645279899</v>
      </c>
      <c r="AK1807" s="14">
        <v>0.48896685371521398</v>
      </c>
      <c r="AL1807" s="14">
        <v>0.49780630765322798</v>
      </c>
      <c r="AM1807" s="14">
        <v>0.365751490366304</v>
      </c>
      <c r="AN1807" s="14">
        <v>0.38981945307203503</v>
      </c>
      <c r="AO1807" s="14"/>
      <c r="AP1807" s="14">
        <v>0.43728170016926099</v>
      </c>
      <c r="AQ1807" s="14">
        <v>0.480898366284219</v>
      </c>
      <c r="AR1807" s="14"/>
      <c r="AS1807" s="14">
        <v>0.435287431156402</v>
      </c>
      <c r="AT1807" s="14">
        <v>0.43425338573182898</v>
      </c>
      <c r="AU1807" s="14">
        <v>0.47123616893592601</v>
      </c>
      <c r="AV1807" s="14"/>
      <c r="AW1807" s="14">
        <v>0.47789779146745698</v>
      </c>
      <c r="AX1807" s="14">
        <v>0.39202591184258401</v>
      </c>
      <c r="AY1807" s="14"/>
      <c r="AZ1807" s="14">
        <v>0.44662328254406802</v>
      </c>
      <c r="BA1807" s="14">
        <v>0.50483480417161197</v>
      </c>
    </row>
    <row r="1808" spans="2:53" x14ac:dyDescent="0.35">
      <c r="B1808" t="s">
        <v>406</v>
      </c>
      <c r="C1808" s="14">
        <v>0.11442283234363899</v>
      </c>
      <c r="D1808" s="14">
        <v>0.105470421068489</v>
      </c>
      <c r="E1808" s="14">
        <v>0.12349333651767901</v>
      </c>
      <c r="F1808" s="14"/>
      <c r="G1808" s="14">
        <v>0.15576743528745901</v>
      </c>
      <c r="H1808" s="14">
        <v>0.10375476484945099</v>
      </c>
      <c r="I1808" s="14">
        <v>0.118583054555086</v>
      </c>
      <c r="J1808" s="14">
        <v>0.103288474998858</v>
      </c>
      <c r="K1808" s="14">
        <v>0.159155778333777</v>
      </c>
      <c r="L1808" s="14">
        <v>3.4303614182499199E-2</v>
      </c>
      <c r="M1808" s="14"/>
      <c r="N1808" s="14">
        <v>7.4493468315892902E-2</v>
      </c>
      <c r="O1808" s="14">
        <v>0.111300321911688</v>
      </c>
      <c r="P1808" s="14">
        <v>0.106485784666498</v>
      </c>
      <c r="Q1808" s="14">
        <v>0.16465073641345301</v>
      </c>
      <c r="R1808" s="14"/>
      <c r="S1808" s="14">
        <v>7.2038910698102601E-2</v>
      </c>
      <c r="T1808" s="14">
        <v>0.109987963965081</v>
      </c>
      <c r="U1808" s="14">
        <v>0.149650198276646</v>
      </c>
      <c r="V1808" s="14">
        <v>0.115244844532151</v>
      </c>
      <c r="W1808" s="14">
        <v>0.107408210454536</v>
      </c>
      <c r="X1808" s="14">
        <v>0.102902606249092</v>
      </c>
      <c r="Y1808" s="14">
        <v>0.138329406844238</v>
      </c>
      <c r="Z1808" s="14">
        <v>0.14128078092763199</v>
      </c>
      <c r="AA1808" s="14">
        <v>0.12912996337896601</v>
      </c>
      <c r="AB1808" s="14"/>
      <c r="AC1808" s="14">
        <v>0.157285666238525</v>
      </c>
      <c r="AD1808" s="14">
        <v>0.100083733571544</v>
      </c>
      <c r="AE1808" s="14">
        <v>0.10571552210207801</v>
      </c>
      <c r="AF1808" s="14">
        <v>5.6788599382619903E-2</v>
      </c>
      <c r="AG1808" s="14">
        <v>6.2453462115949203E-2</v>
      </c>
      <c r="AH1808" s="14"/>
      <c r="AI1808" s="14">
        <v>8.0639462404317797E-2</v>
      </c>
      <c r="AJ1808" s="14">
        <v>0.10525937482763401</v>
      </c>
      <c r="AK1808" s="14">
        <v>6.8020156407147495E-2</v>
      </c>
      <c r="AL1808" s="14">
        <v>0.13875740347863</v>
      </c>
      <c r="AM1808" s="14">
        <v>0.19271001099771701</v>
      </c>
      <c r="AN1808" s="14">
        <v>0.19053272014879399</v>
      </c>
      <c r="AO1808" s="14"/>
      <c r="AP1808" s="14">
        <v>0.119698073008229</v>
      </c>
      <c r="AQ1808" s="14">
        <v>0.10885620473332699</v>
      </c>
      <c r="AR1808" s="14"/>
      <c r="AS1808" s="14">
        <v>0.108271530338183</v>
      </c>
      <c r="AT1808" s="14">
        <v>0.124925097576044</v>
      </c>
      <c r="AU1808" s="14">
        <v>0.112972892659869</v>
      </c>
      <c r="AV1808" s="14"/>
      <c r="AW1808" s="14">
        <v>0.109172269537339</v>
      </c>
      <c r="AX1808" s="14">
        <v>9.7785144201686894E-2</v>
      </c>
      <c r="AY1808" s="14"/>
      <c r="AZ1808" s="14">
        <v>0.103250414589951</v>
      </c>
      <c r="BA1808" s="14">
        <v>0.15358215986249099</v>
      </c>
    </row>
    <row r="1809" spans="2:53" x14ac:dyDescent="0.35">
      <c r="B1809" t="s">
        <v>407</v>
      </c>
      <c r="C1809" s="14">
        <v>1.43060119645151E-2</v>
      </c>
      <c r="D1809" s="14">
        <v>1.54286888765346E-2</v>
      </c>
      <c r="E1809" s="14">
        <v>1.3196307250123201E-2</v>
      </c>
      <c r="F1809" s="14"/>
      <c r="G1809" s="14">
        <v>0.11326843138774099</v>
      </c>
      <c r="H1809" s="14">
        <v>2.54324243447283E-2</v>
      </c>
      <c r="I1809" s="14">
        <v>1.24269848949565E-2</v>
      </c>
      <c r="J1809" s="14">
        <v>1.04654142509212E-2</v>
      </c>
      <c r="K1809" s="14">
        <v>1.2197435122425101E-2</v>
      </c>
      <c r="L1809" s="14">
        <v>1.28417253195894E-2</v>
      </c>
      <c r="M1809" s="14"/>
      <c r="N1809" s="14">
        <v>1.55152170977923E-2</v>
      </c>
      <c r="O1809" s="14">
        <v>1.1315292520093599E-2</v>
      </c>
      <c r="P1809" s="14">
        <v>1.20418652466175E-2</v>
      </c>
      <c r="Q1809" s="14">
        <v>1.8265645740193199E-2</v>
      </c>
      <c r="R1809" s="14"/>
      <c r="S1809" s="14">
        <v>1.2223512214053E-2</v>
      </c>
      <c r="T1809" s="14">
        <v>2.00039217427156E-3</v>
      </c>
      <c r="U1809" s="14">
        <v>2.5945321364793401E-2</v>
      </c>
      <c r="V1809" s="14">
        <v>9.5637481947267197E-4</v>
      </c>
      <c r="W1809" s="14">
        <v>2.7031455356109999E-2</v>
      </c>
      <c r="X1809" s="14">
        <v>4.3049502297328603E-2</v>
      </c>
      <c r="Y1809" s="14">
        <v>1.13511820275149E-2</v>
      </c>
      <c r="Z1809" s="14">
        <v>0</v>
      </c>
      <c r="AA1809" s="14">
        <v>1.10869552481673E-2</v>
      </c>
      <c r="AB1809" s="14"/>
      <c r="AC1809" s="14">
        <v>1.6272383085889301E-2</v>
      </c>
      <c r="AD1809" s="14">
        <v>1.68823107349893E-2</v>
      </c>
      <c r="AE1809" s="14">
        <v>1.5662846558656299E-2</v>
      </c>
      <c r="AF1809" s="14">
        <v>1.19502720724999E-2</v>
      </c>
      <c r="AG1809" s="14">
        <v>2.52635666428941E-2</v>
      </c>
      <c r="AH1809" s="14"/>
      <c r="AI1809" s="14">
        <v>1.8994205197583498E-2</v>
      </c>
      <c r="AJ1809" s="14">
        <v>9.7138527218080094E-3</v>
      </c>
      <c r="AK1809" s="14">
        <v>1.50106541550815E-2</v>
      </c>
      <c r="AL1809" s="14">
        <v>1.94065174333201E-2</v>
      </c>
      <c r="AM1809" s="14">
        <v>0</v>
      </c>
      <c r="AN1809" s="14">
        <v>1.27225457061093E-2</v>
      </c>
      <c r="AO1809" s="14"/>
      <c r="AP1809" s="14">
        <v>6.9608213630181102E-3</v>
      </c>
      <c r="AQ1809" s="14">
        <v>2.26164860028953E-2</v>
      </c>
      <c r="AR1809" s="14"/>
      <c r="AS1809" s="14">
        <v>1.7759396999273199E-2</v>
      </c>
      <c r="AT1809" s="14">
        <v>1.39793121882591E-2</v>
      </c>
      <c r="AU1809" s="14">
        <v>1.3473189206269401E-2</v>
      </c>
      <c r="AV1809" s="14"/>
      <c r="AW1809" s="14">
        <v>1.4414503733036399E-2</v>
      </c>
      <c r="AX1809" s="14">
        <v>1.4077798238735201E-2</v>
      </c>
      <c r="AY1809" s="14"/>
      <c r="AZ1809" s="14">
        <v>1.43257511277789E-2</v>
      </c>
      <c r="BA1809" s="14">
        <v>1.4533200153780399E-2</v>
      </c>
    </row>
    <row r="1810" spans="2:53" x14ac:dyDescent="0.35">
      <c r="B1810" t="s">
        <v>408</v>
      </c>
      <c r="C1810" s="14">
        <v>1.97963063504982E-3</v>
      </c>
      <c r="D1810" s="14">
        <v>1.94571090192704E-3</v>
      </c>
      <c r="E1810" s="14">
        <v>2.0154967707479501E-3</v>
      </c>
      <c r="F1810" s="14"/>
      <c r="G1810" s="14">
        <v>0.18127959358201301</v>
      </c>
      <c r="H1810" s="14">
        <v>4.2766061212377703E-3</v>
      </c>
      <c r="I1810" s="14">
        <v>0</v>
      </c>
      <c r="J1810" s="14">
        <v>1.2215928670229401E-3</v>
      </c>
      <c r="K1810" s="14">
        <v>0</v>
      </c>
      <c r="L1810" s="14">
        <v>0</v>
      </c>
      <c r="M1810" s="14"/>
      <c r="N1810" s="14">
        <v>0</v>
      </c>
      <c r="O1810" s="14">
        <v>1.4196884004560001E-3</v>
      </c>
      <c r="P1810" s="14">
        <v>0</v>
      </c>
      <c r="Q1810" s="14">
        <v>6.4629203784684203E-3</v>
      </c>
      <c r="R1810" s="14"/>
      <c r="S1810" s="14">
        <v>0</v>
      </c>
      <c r="T1810" s="14">
        <v>6.0870088451657096E-3</v>
      </c>
      <c r="U1810" s="14">
        <v>0</v>
      </c>
      <c r="V1810" s="14">
        <v>5.8126399678665496E-3</v>
      </c>
      <c r="W1810" s="14">
        <v>0</v>
      </c>
      <c r="X1810" s="14">
        <v>0</v>
      </c>
      <c r="Y1810" s="14">
        <v>0</v>
      </c>
      <c r="Z1810" s="14">
        <v>7.3730022847892599E-3</v>
      </c>
      <c r="AA1810" s="14">
        <v>0</v>
      </c>
      <c r="AB1810" s="14"/>
      <c r="AC1810" s="14">
        <v>3.1982142381254399E-3</v>
      </c>
      <c r="AD1810" s="14">
        <v>0</v>
      </c>
      <c r="AE1810" s="14">
        <v>1.2673145367955399E-3</v>
      </c>
      <c r="AF1810" s="14">
        <v>6.4848649057151504E-3</v>
      </c>
      <c r="AG1810" s="14">
        <v>0</v>
      </c>
      <c r="AH1810" s="14"/>
      <c r="AI1810" s="14">
        <v>2.7709775741636298E-3</v>
      </c>
      <c r="AJ1810" s="14">
        <v>3.6053276316378698E-3</v>
      </c>
      <c r="AK1810" s="14">
        <v>0</v>
      </c>
      <c r="AL1810" s="14">
        <v>2.3888051512939499E-3</v>
      </c>
      <c r="AM1810" s="14">
        <v>0</v>
      </c>
      <c r="AN1810" s="14">
        <v>0</v>
      </c>
      <c r="AO1810" s="14"/>
      <c r="AP1810" s="14">
        <v>2.5359086479540202E-3</v>
      </c>
      <c r="AQ1810" s="14">
        <v>1.3601197661568601E-3</v>
      </c>
      <c r="AR1810" s="14"/>
      <c r="AS1810" s="14">
        <v>0</v>
      </c>
      <c r="AT1810" s="14">
        <v>8.5298004233366406E-3</v>
      </c>
      <c r="AU1810" s="14">
        <v>5.7556442957483901E-4</v>
      </c>
      <c r="AV1810" s="14"/>
      <c r="AW1810" s="14">
        <v>2.1448945754941602E-3</v>
      </c>
      <c r="AX1810" s="14">
        <v>2.2310076864743501E-3</v>
      </c>
      <c r="AY1810" s="14"/>
      <c r="AZ1810" s="14">
        <v>2.5217176102080899E-3</v>
      </c>
      <c r="BA1810" s="14">
        <v>0</v>
      </c>
    </row>
    <row r="1811" spans="2:53" x14ac:dyDescent="0.35">
      <c r="B1811" t="s">
        <v>80</v>
      </c>
      <c r="C1811" s="14">
        <v>1.83638872382095E-2</v>
      </c>
      <c r="D1811" s="14">
        <v>1.04713922885235E-2</v>
      </c>
      <c r="E1811" s="14">
        <v>2.62804970471168E-2</v>
      </c>
      <c r="F1811" s="14"/>
      <c r="G1811" s="14">
        <v>0</v>
      </c>
      <c r="H1811" s="14">
        <v>1.4307774572007201E-2</v>
      </c>
      <c r="I1811" s="14">
        <v>1.0855545788034901E-2</v>
      </c>
      <c r="J1811" s="14">
        <v>3.0406012602141302E-2</v>
      </c>
      <c r="K1811" s="14">
        <v>9.2089327640018006E-3</v>
      </c>
      <c r="L1811" s="14">
        <v>9.7610649572097294E-2</v>
      </c>
      <c r="M1811" s="14"/>
      <c r="N1811" s="14">
        <v>1.38441061252634E-2</v>
      </c>
      <c r="O1811" s="14">
        <v>1.9004648976556401E-2</v>
      </c>
      <c r="P1811" s="14">
        <v>1.37509842314115E-2</v>
      </c>
      <c r="Q1811" s="14">
        <v>2.54103557169519E-2</v>
      </c>
      <c r="R1811" s="14"/>
      <c r="S1811" s="14">
        <v>1.16411278123173E-2</v>
      </c>
      <c r="T1811" s="14">
        <v>1.9016910609616799E-2</v>
      </c>
      <c r="U1811" s="14">
        <v>1.5832671276311001E-2</v>
      </c>
      <c r="V1811" s="14">
        <v>1.8493796028261299E-2</v>
      </c>
      <c r="W1811" s="14">
        <v>3.05198598930362E-2</v>
      </c>
      <c r="X1811" s="14">
        <v>2.8323068625596099E-2</v>
      </c>
      <c r="Y1811" s="14">
        <v>9.7517032910197504E-3</v>
      </c>
      <c r="Z1811" s="14">
        <v>1.47460044608652E-2</v>
      </c>
      <c r="AA1811" s="14">
        <v>1.9594183803309101E-2</v>
      </c>
      <c r="AB1811" s="14"/>
      <c r="AC1811" s="14">
        <v>2.98344102601934E-2</v>
      </c>
      <c r="AD1811" s="14">
        <v>1.53471113799358E-2</v>
      </c>
      <c r="AE1811" s="14">
        <v>8.2931192807663198E-3</v>
      </c>
      <c r="AF1811" s="14">
        <v>9.7106873666553094E-3</v>
      </c>
      <c r="AG1811" s="14">
        <v>3.2805536825398697E-2</v>
      </c>
      <c r="AH1811" s="14"/>
      <c r="AI1811" s="14">
        <v>2.15001964866849E-2</v>
      </c>
      <c r="AJ1811" s="14">
        <v>1.8235680070287301E-2</v>
      </c>
      <c r="AK1811" s="14">
        <v>8.3771651455403408E-3</v>
      </c>
      <c r="AL1811" s="14">
        <v>8.7002701842704908E-3</v>
      </c>
      <c r="AM1811" s="14">
        <v>2.2454594127436799E-2</v>
      </c>
      <c r="AN1811" s="14">
        <v>3.2513132041629297E-2</v>
      </c>
      <c r="AO1811" s="14"/>
      <c r="AP1811" s="14">
        <v>1.1878595261061E-2</v>
      </c>
      <c r="AQ1811" s="14">
        <v>2.5719932345149198E-2</v>
      </c>
      <c r="AR1811" s="14"/>
      <c r="AS1811" s="14">
        <v>9.9715899680974506E-3</v>
      </c>
      <c r="AT1811" s="14">
        <v>2.0247166789521799E-2</v>
      </c>
      <c r="AU1811" s="14">
        <v>2.0065670293778499E-2</v>
      </c>
      <c r="AV1811" s="14"/>
      <c r="AW1811" s="14">
        <v>1.96258866019948E-2</v>
      </c>
      <c r="AX1811" s="14">
        <v>2.5103440621440198E-3</v>
      </c>
      <c r="AY1811" s="14"/>
      <c r="AZ1811" s="14">
        <v>1.1645419448544801E-2</v>
      </c>
      <c r="BA1811" s="14">
        <v>3.32031611340739E-2</v>
      </c>
    </row>
    <row r="1812" spans="2:53" x14ac:dyDescent="0.35">
      <c r="B1812" t="s">
        <v>409</v>
      </c>
      <c r="C1812" s="14">
        <v>0.85092763781858705</v>
      </c>
      <c r="D1812" s="14">
        <v>0.86668378686452496</v>
      </c>
      <c r="E1812" s="14">
        <v>0.83501436241433302</v>
      </c>
      <c r="F1812" s="14"/>
      <c r="G1812" s="14">
        <v>0.54968453974278797</v>
      </c>
      <c r="H1812" s="14">
        <v>0.85222843011257599</v>
      </c>
      <c r="I1812" s="14">
        <v>0.85813441476192298</v>
      </c>
      <c r="J1812" s="14">
        <v>0.85461850528105698</v>
      </c>
      <c r="K1812" s="14">
        <v>0.81943785377979605</v>
      </c>
      <c r="L1812" s="14">
        <v>0.85524401092581404</v>
      </c>
      <c r="M1812" s="14"/>
      <c r="N1812" s="14">
        <v>0.896147208461052</v>
      </c>
      <c r="O1812" s="14">
        <v>0.85696004819120597</v>
      </c>
      <c r="P1812" s="14">
        <v>0.86772136585547299</v>
      </c>
      <c r="Q1812" s="14">
        <v>0.78521034175093296</v>
      </c>
      <c r="R1812" s="14"/>
      <c r="S1812" s="14">
        <v>0.90409644927552701</v>
      </c>
      <c r="T1812" s="14">
        <v>0.86290772440586505</v>
      </c>
      <c r="U1812" s="14">
        <v>0.80857180908225001</v>
      </c>
      <c r="V1812" s="14">
        <v>0.859492344652249</v>
      </c>
      <c r="W1812" s="14">
        <v>0.835040474296318</v>
      </c>
      <c r="X1812" s="14">
        <v>0.82572482282798298</v>
      </c>
      <c r="Y1812" s="14">
        <v>0.84056770783722701</v>
      </c>
      <c r="Z1812" s="14">
        <v>0.836600212326714</v>
      </c>
      <c r="AA1812" s="14">
        <v>0.84018889756955795</v>
      </c>
      <c r="AB1812" s="14"/>
      <c r="AC1812" s="14">
        <v>0.793409326177267</v>
      </c>
      <c r="AD1812" s="14">
        <v>0.86768684431353105</v>
      </c>
      <c r="AE1812" s="14">
        <v>0.86906119752170397</v>
      </c>
      <c r="AF1812" s="14">
        <v>0.91506557627250995</v>
      </c>
      <c r="AG1812" s="14">
        <v>0.87947743441575799</v>
      </c>
      <c r="AH1812" s="14"/>
      <c r="AI1812" s="14">
        <v>0.87609515833725005</v>
      </c>
      <c r="AJ1812" s="14">
        <v>0.86318576474863296</v>
      </c>
      <c r="AK1812" s="14">
        <v>0.90859202429223096</v>
      </c>
      <c r="AL1812" s="14">
        <v>0.830747003752485</v>
      </c>
      <c r="AM1812" s="14">
        <v>0.78483539487484599</v>
      </c>
      <c r="AN1812" s="14">
        <v>0.76423160210346697</v>
      </c>
      <c r="AO1812" s="14"/>
      <c r="AP1812" s="14">
        <v>0.858926601719738</v>
      </c>
      <c r="AQ1812" s="14">
        <v>0.84144725715247204</v>
      </c>
      <c r="AR1812" s="14"/>
      <c r="AS1812" s="14">
        <v>0.86399748269444598</v>
      </c>
      <c r="AT1812" s="14">
        <v>0.83231862302283899</v>
      </c>
      <c r="AU1812" s="14">
        <v>0.85291268341050797</v>
      </c>
      <c r="AV1812" s="14"/>
      <c r="AW1812" s="14">
        <v>0.85464244555213598</v>
      </c>
      <c r="AX1812" s="14">
        <v>0.88339570581095905</v>
      </c>
      <c r="AY1812" s="14"/>
      <c r="AZ1812" s="14">
        <v>0.86825669722351695</v>
      </c>
      <c r="BA1812" s="14">
        <v>0.79868147884965401</v>
      </c>
    </row>
    <row r="1813" spans="2:53" x14ac:dyDescent="0.35">
      <c r="B1813" t="s">
        <v>410</v>
      </c>
      <c r="C1813" s="14">
        <v>1.6285642599564901E-2</v>
      </c>
      <c r="D1813" s="14">
        <v>1.7374399778461599E-2</v>
      </c>
      <c r="E1813" s="14">
        <v>1.5211804020871101E-2</v>
      </c>
      <c r="F1813" s="14"/>
      <c r="G1813" s="14">
        <v>0.29454802496975302</v>
      </c>
      <c r="H1813" s="14">
        <v>2.97090304659661E-2</v>
      </c>
      <c r="I1813" s="14">
        <v>1.24269848949565E-2</v>
      </c>
      <c r="J1813" s="14">
        <v>1.16870071179441E-2</v>
      </c>
      <c r="K1813" s="14">
        <v>1.2197435122425101E-2</v>
      </c>
      <c r="L1813" s="14">
        <v>1.28417253195894E-2</v>
      </c>
      <c r="M1813" s="14"/>
      <c r="N1813" s="14">
        <v>1.55152170977923E-2</v>
      </c>
      <c r="O1813" s="14">
        <v>1.27349809205496E-2</v>
      </c>
      <c r="P1813" s="14">
        <v>1.20418652466175E-2</v>
      </c>
      <c r="Q1813" s="14">
        <v>2.4728566118661598E-2</v>
      </c>
      <c r="R1813" s="14"/>
      <c r="S1813" s="14">
        <v>1.2223512214053E-2</v>
      </c>
      <c r="T1813" s="14">
        <v>8.0874010194372705E-3</v>
      </c>
      <c r="U1813" s="14">
        <v>2.5945321364793401E-2</v>
      </c>
      <c r="V1813" s="14">
        <v>6.7690147873392297E-3</v>
      </c>
      <c r="W1813" s="14">
        <v>2.7031455356109999E-2</v>
      </c>
      <c r="X1813" s="14">
        <v>4.3049502297328603E-2</v>
      </c>
      <c r="Y1813" s="14">
        <v>1.13511820275149E-2</v>
      </c>
      <c r="Z1813" s="14">
        <v>7.3730022847892599E-3</v>
      </c>
      <c r="AA1813" s="14">
        <v>1.10869552481673E-2</v>
      </c>
      <c r="AB1813" s="14"/>
      <c r="AC1813" s="14">
        <v>1.94705973240148E-2</v>
      </c>
      <c r="AD1813" s="14">
        <v>1.68823107349893E-2</v>
      </c>
      <c r="AE1813" s="14">
        <v>1.6930161095451798E-2</v>
      </c>
      <c r="AF1813" s="14">
        <v>1.8435136978215E-2</v>
      </c>
      <c r="AG1813" s="14">
        <v>2.52635666428941E-2</v>
      </c>
      <c r="AH1813" s="14"/>
      <c r="AI1813" s="14">
        <v>2.1765182771747101E-2</v>
      </c>
      <c r="AJ1813" s="14">
        <v>1.3319180353445899E-2</v>
      </c>
      <c r="AK1813" s="14">
        <v>1.50106541550815E-2</v>
      </c>
      <c r="AL1813" s="14">
        <v>2.1795322584614099E-2</v>
      </c>
      <c r="AM1813" s="14">
        <v>0</v>
      </c>
      <c r="AN1813" s="14">
        <v>1.27225457061093E-2</v>
      </c>
      <c r="AO1813" s="14"/>
      <c r="AP1813" s="14">
        <v>9.4967300109721296E-3</v>
      </c>
      <c r="AQ1813" s="14">
        <v>2.3976605769052198E-2</v>
      </c>
      <c r="AR1813" s="14"/>
      <c r="AS1813" s="14">
        <v>1.7759396999273199E-2</v>
      </c>
      <c r="AT1813" s="14">
        <v>2.2509112611595699E-2</v>
      </c>
      <c r="AU1813" s="14">
        <v>1.40487536358443E-2</v>
      </c>
      <c r="AV1813" s="14"/>
      <c r="AW1813" s="14">
        <v>1.6559398308530499E-2</v>
      </c>
      <c r="AX1813" s="14">
        <v>1.6308805925209599E-2</v>
      </c>
      <c r="AY1813" s="14"/>
      <c r="AZ1813" s="14">
        <v>1.6847468737986999E-2</v>
      </c>
      <c r="BA1813" s="14">
        <v>1.4533200153780399E-2</v>
      </c>
    </row>
    <row r="1814" spans="2:53" x14ac:dyDescent="0.35">
      <c r="B1814" t="s">
        <v>82</v>
      </c>
      <c r="C1814" s="14">
        <v>0.83464199521902205</v>
      </c>
      <c r="D1814" s="14">
        <v>0.84930938708606396</v>
      </c>
      <c r="E1814" s="14">
        <v>0.81980255839346206</v>
      </c>
      <c r="F1814" s="14"/>
      <c r="G1814" s="14">
        <v>0.25513651477303501</v>
      </c>
      <c r="H1814" s="14">
        <v>0.82251939964660903</v>
      </c>
      <c r="I1814" s="14">
        <v>0.84570742986696601</v>
      </c>
      <c r="J1814" s="14">
        <v>0.84293149816311297</v>
      </c>
      <c r="K1814" s="14">
        <v>0.80724041865737095</v>
      </c>
      <c r="L1814" s="14">
        <v>0.84240228560622499</v>
      </c>
      <c r="M1814" s="14"/>
      <c r="N1814" s="14">
        <v>0.88063199136325898</v>
      </c>
      <c r="O1814" s="14">
        <v>0.84422506727065705</v>
      </c>
      <c r="P1814" s="14">
        <v>0.855679500608855</v>
      </c>
      <c r="Q1814" s="14">
        <v>0.76048177563227204</v>
      </c>
      <c r="R1814" s="14"/>
      <c r="S1814" s="14">
        <v>0.89187293706147397</v>
      </c>
      <c r="T1814" s="14">
        <v>0.85482032338642799</v>
      </c>
      <c r="U1814" s="14">
        <v>0.78262648771745602</v>
      </c>
      <c r="V1814" s="14">
        <v>0.85272332986490995</v>
      </c>
      <c r="W1814" s="14">
        <v>0.80800901894020805</v>
      </c>
      <c r="X1814" s="14">
        <v>0.78267532053065503</v>
      </c>
      <c r="Y1814" s="14">
        <v>0.82921652580971195</v>
      </c>
      <c r="Z1814" s="14">
        <v>0.82922721004192401</v>
      </c>
      <c r="AA1814" s="14">
        <v>0.82910194232139001</v>
      </c>
      <c r="AB1814" s="14"/>
      <c r="AC1814" s="14">
        <v>0.77393872885325199</v>
      </c>
      <c r="AD1814" s="14">
        <v>0.85080453357854202</v>
      </c>
      <c r="AE1814" s="14">
        <v>0.85213103642625199</v>
      </c>
      <c r="AF1814" s="14">
        <v>0.89663043929429498</v>
      </c>
      <c r="AG1814" s="14">
        <v>0.85421386777286401</v>
      </c>
      <c r="AH1814" s="14"/>
      <c r="AI1814" s="14">
        <v>0.85432997556550305</v>
      </c>
      <c r="AJ1814" s="14">
        <v>0.84986658439518703</v>
      </c>
      <c r="AK1814" s="14">
        <v>0.893581370137149</v>
      </c>
      <c r="AL1814" s="14">
        <v>0.80895168116787097</v>
      </c>
      <c r="AM1814" s="14">
        <v>0.78483539487484599</v>
      </c>
      <c r="AN1814" s="14">
        <v>0.75150905639735799</v>
      </c>
      <c r="AO1814" s="14"/>
      <c r="AP1814" s="14">
        <v>0.84942987170876605</v>
      </c>
      <c r="AQ1814" s="14">
        <v>0.81747065138342001</v>
      </c>
      <c r="AR1814" s="14"/>
      <c r="AS1814" s="14">
        <v>0.846238085695173</v>
      </c>
      <c r="AT1814" s="14">
        <v>0.80980951041124305</v>
      </c>
      <c r="AU1814" s="14">
        <v>0.83886392977466395</v>
      </c>
      <c r="AV1814" s="14"/>
      <c r="AW1814" s="14">
        <v>0.83808304724360505</v>
      </c>
      <c r="AX1814" s="14">
        <v>0.86708689988575005</v>
      </c>
      <c r="AY1814" s="14"/>
      <c r="AZ1814" s="14">
        <v>0.85140922848553002</v>
      </c>
      <c r="BA1814" s="14">
        <v>0.784148278695874</v>
      </c>
    </row>
    <row r="1815" spans="2:53" x14ac:dyDescent="0.35">
      <c r="C1815" s="14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  <c r="AL1815" s="14"/>
      <c r="AM1815" s="14"/>
      <c r="AN1815" s="14"/>
      <c r="AO1815" s="14"/>
      <c r="AP1815" s="14"/>
      <c r="AQ1815" s="14"/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</row>
    <row r="1816" spans="2:53" x14ac:dyDescent="0.35">
      <c r="B1816" s="6" t="s">
        <v>417</v>
      </c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</row>
    <row r="1817" spans="2:53" x14ac:dyDescent="0.35">
      <c r="B1817" s="24" t="s">
        <v>118</v>
      </c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</row>
    <row r="1818" spans="2:53" x14ac:dyDescent="0.35">
      <c r="B1818" t="s">
        <v>404</v>
      </c>
      <c r="C1818" s="14">
        <v>0.37337405510313099</v>
      </c>
      <c r="D1818" s="14">
        <v>0.378470838733521</v>
      </c>
      <c r="E1818" s="14">
        <v>0.36863518764713898</v>
      </c>
      <c r="F1818" s="14"/>
      <c r="G1818" s="14">
        <v>0.48636907307314597</v>
      </c>
      <c r="H1818" s="14">
        <v>0.41411217514739301</v>
      </c>
      <c r="I1818" s="14">
        <v>0.383016258655276</v>
      </c>
      <c r="J1818" s="14">
        <v>0.34912075831434802</v>
      </c>
      <c r="K1818" s="14">
        <v>0.315683750070614</v>
      </c>
      <c r="L1818" s="14">
        <v>0.486399007212798</v>
      </c>
      <c r="M1818" s="14"/>
      <c r="N1818" s="14">
        <v>0.42072638506776699</v>
      </c>
      <c r="O1818" s="14">
        <v>0.35484939668113902</v>
      </c>
      <c r="P1818" s="14">
        <v>0.33709102808172597</v>
      </c>
      <c r="Q1818" s="14">
        <v>0.37377696516736397</v>
      </c>
      <c r="R1818" s="14"/>
      <c r="S1818" s="14">
        <v>0.46355624358654401</v>
      </c>
      <c r="T1818" s="14">
        <v>0.37000495933112698</v>
      </c>
      <c r="U1818" s="14">
        <v>0.31125100271779099</v>
      </c>
      <c r="V1818" s="14">
        <v>0.29983764050536899</v>
      </c>
      <c r="W1818" s="14">
        <v>0.37322326028873498</v>
      </c>
      <c r="X1818" s="14">
        <v>0.36457792696416702</v>
      </c>
      <c r="Y1818" s="14">
        <v>0.35976769359393401</v>
      </c>
      <c r="Z1818" s="14">
        <v>0.29686655147749302</v>
      </c>
      <c r="AA1818" s="14">
        <v>0.423606221528181</v>
      </c>
      <c r="AB1818" s="14"/>
      <c r="AC1818" s="14">
        <v>0.35680633458588801</v>
      </c>
      <c r="AD1818" s="14">
        <v>0.330838525110975</v>
      </c>
      <c r="AE1818" s="14">
        <v>0.38197096473178499</v>
      </c>
      <c r="AF1818" s="14">
        <v>0.45663299815679798</v>
      </c>
      <c r="AG1818" s="14">
        <v>0.50416275600629001</v>
      </c>
      <c r="AH1818" s="14"/>
      <c r="AI1818" s="14">
        <v>0.44942510212548797</v>
      </c>
      <c r="AJ1818" s="14">
        <v>0.37776511543020103</v>
      </c>
      <c r="AK1818" s="14">
        <v>0.37248302836904201</v>
      </c>
      <c r="AL1818" s="14">
        <v>0.31397687270887298</v>
      </c>
      <c r="AM1818" s="14">
        <v>0.31783895012005797</v>
      </c>
      <c r="AN1818" s="14">
        <v>0.30864607862307902</v>
      </c>
      <c r="AO1818" s="14"/>
      <c r="AP1818" s="14">
        <v>0.39805610043414003</v>
      </c>
      <c r="AQ1818" s="14">
        <v>0.34613978272041002</v>
      </c>
      <c r="AR1818" s="14"/>
      <c r="AS1818" s="14">
        <v>0.38623482921166402</v>
      </c>
      <c r="AT1818" s="14">
        <v>0.34677577226672202</v>
      </c>
      <c r="AU1818" s="14">
        <v>0.37777775721805501</v>
      </c>
      <c r="AV1818" s="14"/>
      <c r="AW1818" s="14">
        <v>0.37025374258315102</v>
      </c>
      <c r="AX1818" s="14">
        <v>0.45271958310693799</v>
      </c>
      <c r="AY1818" s="14"/>
      <c r="AZ1818" s="14">
        <v>0.40162577188086501</v>
      </c>
      <c r="BA1818" s="14">
        <v>0.27588358229312798</v>
      </c>
    </row>
    <row r="1819" spans="2:53" x14ac:dyDescent="0.35">
      <c r="B1819" t="s">
        <v>405</v>
      </c>
      <c r="C1819" s="14">
        <v>0.40428557052909198</v>
      </c>
      <c r="D1819" s="14">
        <v>0.41999816947985802</v>
      </c>
      <c r="E1819" s="14">
        <v>0.38895236855297199</v>
      </c>
      <c r="F1819" s="14"/>
      <c r="G1819" s="14">
        <v>0.418135287267827</v>
      </c>
      <c r="H1819" s="14">
        <v>0.34262923612606999</v>
      </c>
      <c r="I1819" s="14">
        <v>0.40913127718286701</v>
      </c>
      <c r="J1819" s="14">
        <v>0.42436539436874099</v>
      </c>
      <c r="K1819" s="14">
        <v>0.43385545789255298</v>
      </c>
      <c r="L1819" s="14">
        <v>0.288990448093073</v>
      </c>
      <c r="M1819" s="14"/>
      <c r="N1819" s="14">
        <v>0.43313187510520301</v>
      </c>
      <c r="O1819" s="14">
        <v>0.38909182988345498</v>
      </c>
      <c r="P1819" s="14">
        <v>0.44759992565971701</v>
      </c>
      <c r="Q1819" s="14">
        <v>0.34976406291368101</v>
      </c>
      <c r="R1819" s="14"/>
      <c r="S1819" s="14">
        <v>0.39340329426558102</v>
      </c>
      <c r="T1819" s="14">
        <v>0.42206677363377398</v>
      </c>
      <c r="U1819" s="14">
        <v>0.38399441886542701</v>
      </c>
      <c r="V1819" s="14">
        <v>0.43743270280193802</v>
      </c>
      <c r="W1819" s="14">
        <v>0.36886227571651198</v>
      </c>
      <c r="X1819" s="14">
        <v>0.43003399153893201</v>
      </c>
      <c r="Y1819" s="14">
        <v>0.41404166859472202</v>
      </c>
      <c r="Z1819" s="14">
        <v>0.43062359330364602</v>
      </c>
      <c r="AA1819" s="14">
        <v>0.37041410988287299</v>
      </c>
      <c r="AB1819" s="14"/>
      <c r="AC1819" s="14">
        <v>0.35625928848687799</v>
      </c>
      <c r="AD1819" s="14">
        <v>0.41256336144355199</v>
      </c>
      <c r="AE1819" s="14">
        <v>0.43670175964846403</v>
      </c>
      <c r="AF1819" s="14">
        <v>0.411861796853703</v>
      </c>
      <c r="AG1819" s="14">
        <v>0.334111833156224</v>
      </c>
      <c r="AH1819" s="14"/>
      <c r="AI1819" s="14">
        <v>0.37305584997447599</v>
      </c>
      <c r="AJ1819" s="14">
        <v>0.43449869459097801</v>
      </c>
      <c r="AK1819" s="14">
        <v>0.44981593497946198</v>
      </c>
      <c r="AL1819" s="14">
        <v>0.43640518214761198</v>
      </c>
      <c r="AM1819" s="14">
        <v>0.41204298510493997</v>
      </c>
      <c r="AN1819" s="14">
        <v>0.403720474666317</v>
      </c>
      <c r="AO1819" s="14"/>
      <c r="AP1819" s="14">
        <v>0.39743507018271901</v>
      </c>
      <c r="AQ1819" s="14">
        <v>0.41210042492674298</v>
      </c>
      <c r="AR1819" s="14"/>
      <c r="AS1819" s="14">
        <v>0.38241660078538298</v>
      </c>
      <c r="AT1819" s="14">
        <v>0.444174862221489</v>
      </c>
      <c r="AU1819" s="14">
        <v>0.398376200282334</v>
      </c>
      <c r="AV1819" s="14"/>
      <c r="AW1819" s="14">
        <v>0.41265506645535499</v>
      </c>
      <c r="AX1819" s="14">
        <v>0.39346453549767002</v>
      </c>
      <c r="AY1819" s="14"/>
      <c r="AZ1819" s="14">
        <v>0.39558684306882502</v>
      </c>
      <c r="BA1819" s="14">
        <v>0.43969714215820799</v>
      </c>
    </row>
    <row r="1820" spans="2:53" x14ac:dyDescent="0.35">
      <c r="B1820" t="s">
        <v>406</v>
      </c>
      <c r="C1820" s="14">
        <v>0.16138473568077399</v>
      </c>
      <c r="D1820" s="14">
        <v>0.14594283363288699</v>
      </c>
      <c r="E1820" s="14">
        <v>0.17602593539275099</v>
      </c>
      <c r="F1820" s="14"/>
      <c r="G1820" s="14">
        <v>9.5495639659026202E-2</v>
      </c>
      <c r="H1820" s="14">
        <v>0.183156731483097</v>
      </c>
      <c r="I1820" s="14">
        <v>0.15562202377307199</v>
      </c>
      <c r="J1820" s="14">
        <v>0.15673145350103199</v>
      </c>
      <c r="K1820" s="14">
        <v>0.18657653843959501</v>
      </c>
      <c r="L1820" s="14">
        <v>7.5447386470151603E-2</v>
      </c>
      <c r="M1820" s="14"/>
      <c r="N1820" s="14">
        <v>9.9922610881845605E-2</v>
      </c>
      <c r="O1820" s="14">
        <v>0.18936056083387001</v>
      </c>
      <c r="P1820" s="14">
        <v>0.15116604720985599</v>
      </c>
      <c r="Q1820" s="14">
        <v>0.20765268852225</v>
      </c>
      <c r="R1820" s="14"/>
      <c r="S1820" s="14">
        <v>0.115134053576102</v>
      </c>
      <c r="T1820" s="14">
        <v>0.155837144299838</v>
      </c>
      <c r="U1820" s="14">
        <v>0.21813731661540101</v>
      </c>
      <c r="V1820" s="14">
        <v>0.163172317779406</v>
      </c>
      <c r="W1820" s="14">
        <v>0.163797670326114</v>
      </c>
      <c r="X1820" s="14">
        <v>0.14530480949580099</v>
      </c>
      <c r="Y1820" s="14">
        <v>0.19310928174120601</v>
      </c>
      <c r="Z1820" s="14">
        <v>0.19101454369680201</v>
      </c>
      <c r="AA1820" s="14">
        <v>0.15465135312810899</v>
      </c>
      <c r="AB1820" s="14"/>
      <c r="AC1820" s="14">
        <v>0.22031264991657401</v>
      </c>
      <c r="AD1820" s="14">
        <v>0.191018356731049</v>
      </c>
      <c r="AE1820" s="14">
        <v>0.141013894646945</v>
      </c>
      <c r="AF1820" s="14">
        <v>8.2243748728588001E-2</v>
      </c>
      <c r="AG1820" s="14">
        <v>7.7622879965179706E-2</v>
      </c>
      <c r="AH1820" s="14"/>
      <c r="AI1820" s="14">
        <v>0.13895403761198799</v>
      </c>
      <c r="AJ1820" s="14">
        <v>0.12857491032985799</v>
      </c>
      <c r="AK1820" s="14">
        <v>0.144034678005865</v>
      </c>
      <c r="AL1820" s="14">
        <v>0.15150619460776801</v>
      </c>
      <c r="AM1820" s="14">
        <v>0.19885717501421499</v>
      </c>
      <c r="AN1820" s="14">
        <v>0.19593109236318901</v>
      </c>
      <c r="AO1820" s="14"/>
      <c r="AP1820" s="14">
        <v>0.15208760435233701</v>
      </c>
      <c r="AQ1820" s="14">
        <v>0.17100529628033401</v>
      </c>
      <c r="AR1820" s="14"/>
      <c r="AS1820" s="14">
        <v>0.159971243966475</v>
      </c>
      <c r="AT1820" s="14">
        <v>0.16053981403916001</v>
      </c>
      <c r="AU1820" s="14">
        <v>0.16201499486547</v>
      </c>
      <c r="AV1820" s="14"/>
      <c r="AW1820" s="14">
        <v>0.163569823692643</v>
      </c>
      <c r="AX1820" s="14">
        <v>0.110728892552416</v>
      </c>
      <c r="AY1820" s="14"/>
      <c r="AZ1820" s="14">
        <v>0.146562889924783</v>
      </c>
      <c r="BA1820" s="14">
        <v>0.21513889533587099</v>
      </c>
    </row>
    <row r="1821" spans="2:53" x14ac:dyDescent="0.35">
      <c r="B1821" t="s">
        <v>407</v>
      </c>
      <c r="C1821" s="14">
        <v>3.5656333332198503E-2</v>
      </c>
      <c r="D1821" s="14">
        <v>4.0578451750292802E-2</v>
      </c>
      <c r="E1821" s="14">
        <v>3.0764848539570799E-2</v>
      </c>
      <c r="F1821" s="14"/>
      <c r="G1821" s="14">
        <v>0</v>
      </c>
      <c r="H1821" s="14">
        <v>4.0074160924703402E-2</v>
      </c>
      <c r="I1821" s="14">
        <v>3.1325760823706E-2</v>
      </c>
      <c r="J1821" s="14">
        <v>3.8319134313772298E-2</v>
      </c>
      <c r="K1821" s="14">
        <v>3.5550020109063302E-2</v>
      </c>
      <c r="L1821" s="14">
        <v>7.7235959291058906E-2</v>
      </c>
      <c r="M1821" s="14"/>
      <c r="N1821" s="14">
        <v>2.6312995406005301E-2</v>
      </c>
      <c r="O1821" s="14">
        <v>4.0787381941315398E-2</v>
      </c>
      <c r="P1821" s="14">
        <v>3.8014397049369097E-2</v>
      </c>
      <c r="Q1821" s="14">
        <v>3.8754430512714502E-2</v>
      </c>
      <c r="R1821" s="14"/>
      <c r="S1821" s="14">
        <v>1.18160769854416E-2</v>
      </c>
      <c r="T1821" s="14">
        <v>2.9586388893015601E-2</v>
      </c>
      <c r="U1821" s="14">
        <v>5.1938527237540298E-2</v>
      </c>
      <c r="V1821" s="14">
        <v>7.7734002447316E-2</v>
      </c>
      <c r="W1821" s="14">
        <v>5.3257077376381697E-2</v>
      </c>
      <c r="X1821" s="14">
        <v>2.8390800207488801E-2</v>
      </c>
      <c r="Y1821" s="14">
        <v>1.3483233701513501E-2</v>
      </c>
      <c r="Z1821" s="14">
        <v>5.7048531020312397E-2</v>
      </c>
      <c r="AA1821" s="14">
        <v>2.65581404842756E-2</v>
      </c>
      <c r="AB1821" s="14"/>
      <c r="AC1821" s="14">
        <v>2.1346917710736799E-2</v>
      </c>
      <c r="AD1821" s="14">
        <v>4.8129939012909198E-2</v>
      </c>
      <c r="AE1821" s="14">
        <v>2.8553537911641499E-2</v>
      </c>
      <c r="AF1821" s="14">
        <v>3.5141369386064103E-2</v>
      </c>
      <c r="AG1821" s="14">
        <v>5.3923334371574101E-2</v>
      </c>
      <c r="AH1821" s="14"/>
      <c r="AI1821" s="14">
        <v>1.78795879887861E-2</v>
      </c>
      <c r="AJ1821" s="14">
        <v>3.2188419260072598E-2</v>
      </c>
      <c r="AK1821" s="14">
        <v>2.0090700459946199E-2</v>
      </c>
      <c r="AL1821" s="14">
        <v>5.7525954760473799E-2</v>
      </c>
      <c r="AM1821" s="14">
        <v>5.2229975732217798E-2</v>
      </c>
      <c r="AN1821" s="14">
        <v>6.4054717032839603E-2</v>
      </c>
      <c r="AO1821" s="14"/>
      <c r="AP1821" s="14">
        <v>3.3109460392832898E-2</v>
      </c>
      <c r="AQ1821" s="14">
        <v>3.8636834349370902E-2</v>
      </c>
      <c r="AR1821" s="14"/>
      <c r="AS1821" s="14">
        <v>4.5133642270653598E-2</v>
      </c>
      <c r="AT1821" s="14">
        <v>2.6972090163776299E-2</v>
      </c>
      <c r="AU1821" s="14">
        <v>3.5673548171315003E-2</v>
      </c>
      <c r="AV1821" s="14"/>
      <c r="AW1821" s="14">
        <v>2.8244058934883499E-2</v>
      </c>
      <c r="AX1821" s="14">
        <v>4.0131025203793899E-2</v>
      </c>
      <c r="AY1821" s="14"/>
      <c r="AZ1821" s="14">
        <v>3.4153791880000402E-2</v>
      </c>
      <c r="BA1821" s="14">
        <v>4.2008471902127302E-2</v>
      </c>
    </row>
    <row r="1822" spans="2:53" x14ac:dyDescent="0.35">
      <c r="B1822" t="s">
        <v>408</v>
      </c>
      <c r="C1822" s="14">
        <v>5.07146309598429E-3</v>
      </c>
      <c r="D1822" s="14">
        <v>6.44261865195591E-3</v>
      </c>
      <c r="E1822" s="14">
        <v>3.70412802663289E-3</v>
      </c>
      <c r="F1822" s="14"/>
      <c r="G1822" s="14">
        <v>0</v>
      </c>
      <c r="H1822" s="14">
        <v>1.1758702802612099E-3</v>
      </c>
      <c r="I1822" s="14">
        <v>2.7911501920937299E-3</v>
      </c>
      <c r="J1822" s="14">
        <v>7.6236235686067601E-3</v>
      </c>
      <c r="K1822" s="14">
        <v>1.4985918063316001E-2</v>
      </c>
      <c r="L1822" s="14">
        <v>0</v>
      </c>
      <c r="M1822" s="14"/>
      <c r="N1822" s="14">
        <v>6.8548990799584203E-3</v>
      </c>
      <c r="O1822" s="14">
        <v>4.3164946473980099E-3</v>
      </c>
      <c r="P1822" s="14">
        <v>9.6068934694814902E-3</v>
      </c>
      <c r="Q1822" s="14">
        <v>0</v>
      </c>
      <c r="R1822" s="14"/>
      <c r="S1822" s="14">
        <v>4.5861952894098003E-3</v>
      </c>
      <c r="T1822" s="14">
        <v>8.1635298768727195E-3</v>
      </c>
      <c r="U1822" s="14">
        <v>8.2914898080735898E-3</v>
      </c>
      <c r="V1822" s="14">
        <v>5.9160240069183103E-3</v>
      </c>
      <c r="W1822" s="14">
        <v>6.9201738219462402E-3</v>
      </c>
      <c r="X1822" s="14">
        <v>7.7255229412305504E-4</v>
      </c>
      <c r="Y1822" s="14">
        <v>0</v>
      </c>
      <c r="Z1822" s="14">
        <v>1.7073778271313799E-2</v>
      </c>
      <c r="AA1822" s="14">
        <v>0</v>
      </c>
      <c r="AB1822" s="14"/>
      <c r="AC1822" s="14">
        <v>3.2550979101777502E-3</v>
      </c>
      <c r="AD1822" s="14">
        <v>8.2774782799285105E-3</v>
      </c>
      <c r="AE1822" s="14">
        <v>5.4044997834032003E-4</v>
      </c>
      <c r="AF1822" s="14">
        <v>5.6537636262004804E-3</v>
      </c>
      <c r="AG1822" s="14">
        <v>4.12371804303884E-3</v>
      </c>
      <c r="AH1822" s="14"/>
      <c r="AI1822" s="14">
        <v>2.3916646597455199E-3</v>
      </c>
      <c r="AJ1822" s="14">
        <v>1.0370509666131801E-2</v>
      </c>
      <c r="AK1822" s="14">
        <v>1.74672821582208E-3</v>
      </c>
      <c r="AL1822" s="14">
        <v>1.38891600251447E-2</v>
      </c>
      <c r="AM1822" s="14">
        <v>0</v>
      </c>
      <c r="AN1822" s="14">
        <v>1.32463091811486E-3</v>
      </c>
      <c r="AO1822" s="14"/>
      <c r="AP1822" s="14">
        <v>5.2064489486589802E-3</v>
      </c>
      <c r="AQ1822" s="14">
        <v>4.9359292118464401E-3</v>
      </c>
      <c r="AR1822" s="14"/>
      <c r="AS1822" s="14">
        <v>4.0191174095563298E-3</v>
      </c>
      <c r="AT1822" s="14">
        <v>5.1998711091699496E-4</v>
      </c>
      <c r="AU1822" s="14">
        <v>6.7005356575624399E-3</v>
      </c>
      <c r="AV1822" s="14"/>
      <c r="AW1822" s="14">
        <v>5.1727480817607401E-3</v>
      </c>
      <c r="AX1822" s="14">
        <v>1.42119882466071E-3</v>
      </c>
      <c r="AY1822" s="14"/>
      <c r="AZ1822" s="14">
        <v>6.2120547104020998E-3</v>
      </c>
      <c r="BA1822" s="14">
        <v>9.2522446991834197E-4</v>
      </c>
    </row>
    <row r="1823" spans="2:53" x14ac:dyDescent="0.35">
      <c r="B1823" t="s">
        <v>80</v>
      </c>
      <c r="C1823" s="14">
        <v>2.0227842258819701E-2</v>
      </c>
      <c r="D1823" s="14">
        <v>8.5670877514847504E-3</v>
      </c>
      <c r="E1823" s="14">
        <v>3.1917531840934599E-2</v>
      </c>
      <c r="F1823" s="14"/>
      <c r="G1823" s="14">
        <v>0</v>
      </c>
      <c r="H1823" s="14">
        <v>1.88518260384751E-2</v>
      </c>
      <c r="I1823" s="14">
        <v>1.8113529372985E-2</v>
      </c>
      <c r="J1823" s="14">
        <v>2.3839635933499501E-2</v>
      </c>
      <c r="K1823" s="14">
        <v>1.33483154248593E-2</v>
      </c>
      <c r="L1823" s="14">
        <v>7.1927198932918504E-2</v>
      </c>
      <c r="M1823" s="14"/>
      <c r="N1823" s="14">
        <v>1.30512344592213E-2</v>
      </c>
      <c r="O1823" s="14">
        <v>2.1594336012823401E-2</v>
      </c>
      <c r="P1823" s="14">
        <v>1.6521708529850201E-2</v>
      </c>
      <c r="Q1823" s="14">
        <v>3.005185288399E-2</v>
      </c>
      <c r="R1823" s="14"/>
      <c r="S1823" s="14">
        <v>1.15041362969221E-2</v>
      </c>
      <c r="T1823" s="14">
        <v>1.43412039653729E-2</v>
      </c>
      <c r="U1823" s="14">
        <v>2.63872447557667E-2</v>
      </c>
      <c r="V1823" s="14">
        <v>1.5907312459053E-2</v>
      </c>
      <c r="W1823" s="14">
        <v>3.3939542470310897E-2</v>
      </c>
      <c r="X1823" s="14">
        <v>3.0919919499487501E-2</v>
      </c>
      <c r="Y1823" s="14">
        <v>1.9598122368625098E-2</v>
      </c>
      <c r="Z1823" s="14">
        <v>7.3730022304325802E-3</v>
      </c>
      <c r="AA1823" s="14">
        <v>2.4770174976561098E-2</v>
      </c>
      <c r="AB1823" s="14"/>
      <c r="AC1823" s="14">
        <v>4.20197113897453E-2</v>
      </c>
      <c r="AD1823" s="14">
        <v>9.1723394215865901E-3</v>
      </c>
      <c r="AE1823" s="14">
        <v>1.12193930828247E-2</v>
      </c>
      <c r="AF1823" s="14">
        <v>8.4663232486469897E-3</v>
      </c>
      <c r="AG1823" s="14">
        <v>2.6055478457694001E-2</v>
      </c>
      <c r="AH1823" s="14"/>
      <c r="AI1823" s="14">
        <v>1.8293757639516701E-2</v>
      </c>
      <c r="AJ1823" s="14">
        <v>1.6602350722759E-2</v>
      </c>
      <c r="AK1823" s="14">
        <v>1.18289299698631E-2</v>
      </c>
      <c r="AL1823" s="14">
        <v>2.6696635750128799E-2</v>
      </c>
      <c r="AM1823" s="14">
        <v>1.9030914028568699E-2</v>
      </c>
      <c r="AN1823" s="14">
        <v>2.6323006396460801E-2</v>
      </c>
      <c r="AO1823" s="14"/>
      <c r="AP1823" s="14">
        <v>1.41053156893128E-2</v>
      </c>
      <c r="AQ1823" s="14">
        <v>2.7181732511296901E-2</v>
      </c>
      <c r="AR1823" s="14"/>
      <c r="AS1823" s="14">
        <v>2.2224566356267201E-2</v>
      </c>
      <c r="AT1823" s="14">
        <v>2.1017474197935301E-2</v>
      </c>
      <c r="AU1823" s="14">
        <v>1.9456963805263398E-2</v>
      </c>
      <c r="AV1823" s="14"/>
      <c r="AW1823" s="14">
        <v>2.0104560252206E-2</v>
      </c>
      <c r="AX1823" s="14">
        <v>1.5347648145217099E-3</v>
      </c>
      <c r="AY1823" s="14"/>
      <c r="AZ1823" s="14">
        <v>1.5858648535124299E-2</v>
      </c>
      <c r="BA1823" s="14">
        <v>2.6346683840746999E-2</v>
      </c>
    </row>
    <row r="1824" spans="2:53" x14ac:dyDescent="0.35">
      <c r="B1824" t="s">
        <v>409</v>
      </c>
      <c r="C1824" s="14">
        <v>0.77765962563222302</v>
      </c>
      <c r="D1824" s="14">
        <v>0.79846900821337896</v>
      </c>
      <c r="E1824" s="14">
        <v>0.75758755620011098</v>
      </c>
      <c r="F1824" s="14"/>
      <c r="G1824" s="14">
        <v>0.90450436034097403</v>
      </c>
      <c r="H1824" s="14">
        <v>0.75674141127346295</v>
      </c>
      <c r="I1824" s="14">
        <v>0.79214753583814401</v>
      </c>
      <c r="J1824" s="14">
        <v>0.77348615268308896</v>
      </c>
      <c r="K1824" s="14">
        <v>0.74953920796316598</v>
      </c>
      <c r="L1824" s="14">
        <v>0.775389455305871</v>
      </c>
      <c r="M1824" s="14"/>
      <c r="N1824" s="14">
        <v>0.85385826017296995</v>
      </c>
      <c r="O1824" s="14">
        <v>0.74394122656459305</v>
      </c>
      <c r="P1824" s="14">
        <v>0.78469095374144304</v>
      </c>
      <c r="Q1824" s="14">
        <v>0.72354102808104503</v>
      </c>
      <c r="R1824" s="14"/>
      <c r="S1824" s="14">
        <v>0.85695953785212498</v>
      </c>
      <c r="T1824" s="14">
        <v>0.79207173296490097</v>
      </c>
      <c r="U1824" s="14">
        <v>0.695245421583219</v>
      </c>
      <c r="V1824" s="14">
        <v>0.73727034330730701</v>
      </c>
      <c r="W1824" s="14">
        <v>0.74208553600524696</v>
      </c>
      <c r="X1824" s="14">
        <v>0.79461191850309898</v>
      </c>
      <c r="Y1824" s="14">
        <v>0.77380936218865504</v>
      </c>
      <c r="Z1824" s="14">
        <v>0.72749014478113905</v>
      </c>
      <c r="AA1824" s="14">
        <v>0.79402033141105499</v>
      </c>
      <c r="AB1824" s="14"/>
      <c r="AC1824" s="14">
        <v>0.713065623072766</v>
      </c>
      <c r="AD1824" s="14">
        <v>0.74340188655452699</v>
      </c>
      <c r="AE1824" s="14">
        <v>0.81867272438024896</v>
      </c>
      <c r="AF1824" s="14">
        <v>0.86849479501049998</v>
      </c>
      <c r="AG1824" s="14">
        <v>0.83827458916251296</v>
      </c>
      <c r="AH1824" s="14"/>
      <c r="AI1824" s="14">
        <v>0.82248095209996397</v>
      </c>
      <c r="AJ1824" s="14">
        <v>0.81226381002117898</v>
      </c>
      <c r="AK1824" s="14">
        <v>0.82229896334850305</v>
      </c>
      <c r="AL1824" s="14">
        <v>0.75038205485648501</v>
      </c>
      <c r="AM1824" s="14">
        <v>0.729881935224999</v>
      </c>
      <c r="AN1824" s="14">
        <v>0.71236655328939602</v>
      </c>
      <c r="AO1824" s="14"/>
      <c r="AP1824" s="14">
        <v>0.79549117061685903</v>
      </c>
      <c r="AQ1824" s="14">
        <v>0.75824020764715205</v>
      </c>
      <c r="AR1824" s="14"/>
      <c r="AS1824" s="14">
        <v>0.76865142999704805</v>
      </c>
      <c r="AT1824" s="14">
        <v>0.79095063448821101</v>
      </c>
      <c r="AU1824" s="14">
        <v>0.77615395750038996</v>
      </c>
      <c r="AV1824" s="14"/>
      <c r="AW1824" s="14">
        <v>0.78290880903850701</v>
      </c>
      <c r="AX1824" s="14">
        <v>0.84618411860460796</v>
      </c>
      <c r="AY1824" s="14"/>
      <c r="AZ1824" s="14">
        <v>0.79721261494968998</v>
      </c>
      <c r="BA1824" s="14">
        <v>0.71558072445133603</v>
      </c>
    </row>
    <row r="1825" spans="2:53" x14ac:dyDescent="0.35">
      <c r="B1825" t="s">
        <v>410</v>
      </c>
      <c r="C1825" s="14">
        <v>4.0727796428182701E-2</v>
      </c>
      <c r="D1825" s="14">
        <v>4.7021070402248698E-2</v>
      </c>
      <c r="E1825" s="14">
        <v>3.44689765662037E-2</v>
      </c>
      <c r="F1825" s="14"/>
      <c r="G1825" s="14">
        <v>0</v>
      </c>
      <c r="H1825" s="14">
        <v>4.12500312049646E-2</v>
      </c>
      <c r="I1825" s="14">
        <v>3.4116911015799702E-2</v>
      </c>
      <c r="J1825" s="14">
        <v>4.5942757882378997E-2</v>
      </c>
      <c r="K1825" s="14">
        <v>5.0535938172379301E-2</v>
      </c>
      <c r="L1825" s="14">
        <v>7.7235959291058906E-2</v>
      </c>
      <c r="M1825" s="14"/>
      <c r="N1825" s="14">
        <v>3.3167894485963703E-2</v>
      </c>
      <c r="O1825" s="14">
        <v>4.5103876588713399E-2</v>
      </c>
      <c r="P1825" s="14">
        <v>4.7621290518850501E-2</v>
      </c>
      <c r="Q1825" s="14">
        <v>3.8754430512714502E-2</v>
      </c>
      <c r="R1825" s="14"/>
      <c r="S1825" s="14">
        <v>1.6402272274851401E-2</v>
      </c>
      <c r="T1825" s="14">
        <v>3.7749918769888299E-2</v>
      </c>
      <c r="U1825" s="14">
        <v>6.0230017045613898E-2</v>
      </c>
      <c r="V1825" s="14">
        <v>8.3650026454234305E-2</v>
      </c>
      <c r="W1825" s="14">
        <v>6.0177251198328001E-2</v>
      </c>
      <c r="X1825" s="14">
        <v>2.9163352501611801E-2</v>
      </c>
      <c r="Y1825" s="14">
        <v>1.3483233701513501E-2</v>
      </c>
      <c r="Z1825" s="14">
        <v>7.4122309291626207E-2</v>
      </c>
      <c r="AA1825" s="14">
        <v>2.65581404842756E-2</v>
      </c>
      <c r="AB1825" s="14"/>
      <c r="AC1825" s="14">
        <v>2.4602015620914599E-2</v>
      </c>
      <c r="AD1825" s="14">
        <v>5.64074172928377E-2</v>
      </c>
      <c r="AE1825" s="14">
        <v>2.9093987889981798E-2</v>
      </c>
      <c r="AF1825" s="14">
        <v>4.0795133012264603E-2</v>
      </c>
      <c r="AG1825" s="14">
        <v>5.8047052414612901E-2</v>
      </c>
      <c r="AH1825" s="14"/>
      <c r="AI1825" s="14">
        <v>2.02712526485316E-2</v>
      </c>
      <c r="AJ1825" s="14">
        <v>4.2558928926204401E-2</v>
      </c>
      <c r="AK1825" s="14">
        <v>2.1837428675768301E-2</v>
      </c>
      <c r="AL1825" s="14">
        <v>7.1415114785618503E-2</v>
      </c>
      <c r="AM1825" s="14">
        <v>5.2229975732217798E-2</v>
      </c>
      <c r="AN1825" s="14">
        <v>6.53793479509545E-2</v>
      </c>
      <c r="AO1825" s="14"/>
      <c r="AP1825" s="14">
        <v>3.8315909341491899E-2</v>
      </c>
      <c r="AQ1825" s="14">
        <v>4.3572763561217399E-2</v>
      </c>
      <c r="AR1825" s="14"/>
      <c r="AS1825" s="14">
        <v>4.91527596802099E-2</v>
      </c>
      <c r="AT1825" s="14">
        <v>2.74920772746933E-2</v>
      </c>
      <c r="AU1825" s="14">
        <v>4.2374083828877397E-2</v>
      </c>
      <c r="AV1825" s="14"/>
      <c r="AW1825" s="14">
        <v>3.34168070166442E-2</v>
      </c>
      <c r="AX1825" s="14">
        <v>4.1552224028454599E-2</v>
      </c>
      <c r="AY1825" s="14"/>
      <c r="AZ1825" s="14">
        <v>4.0365846590402502E-2</v>
      </c>
      <c r="BA1825" s="14">
        <v>4.29336963720457E-2</v>
      </c>
    </row>
    <row r="1826" spans="2:53" x14ac:dyDescent="0.35">
      <c r="B1826" t="s">
        <v>82</v>
      </c>
      <c r="C1826" s="14">
        <v>0.73693182920404099</v>
      </c>
      <c r="D1826" s="14">
        <v>0.75144793781113095</v>
      </c>
      <c r="E1826" s="14">
        <v>0.72311857963390702</v>
      </c>
      <c r="F1826" s="14"/>
      <c r="G1826" s="14">
        <v>0.90450436034097403</v>
      </c>
      <c r="H1826" s="14">
        <v>0.715491380068498</v>
      </c>
      <c r="I1826" s="14">
        <v>0.75803062482234396</v>
      </c>
      <c r="J1826" s="14">
        <v>0.72754339480070995</v>
      </c>
      <c r="K1826" s="14">
        <v>0.69900326979078697</v>
      </c>
      <c r="L1826" s="14">
        <v>0.69815349601481203</v>
      </c>
      <c r="M1826" s="14"/>
      <c r="N1826" s="14">
        <v>0.82069036568700604</v>
      </c>
      <c r="O1826" s="14">
        <v>0.69883734997587998</v>
      </c>
      <c r="P1826" s="14">
        <v>0.73706966322259204</v>
      </c>
      <c r="Q1826" s="14">
        <v>0.68478659756833105</v>
      </c>
      <c r="R1826" s="14"/>
      <c r="S1826" s="14">
        <v>0.84055726557727395</v>
      </c>
      <c r="T1826" s="14">
        <v>0.75432181419501199</v>
      </c>
      <c r="U1826" s="14">
        <v>0.63501540453760497</v>
      </c>
      <c r="V1826" s="14">
        <v>0.65362031685307298</v>
      </c>
      <c r="W1826" s="14">
        <v>0.68190828480691901</v>
      </c>
      <c r="X1826" s="14">
        <v>0.76544856600148703</v>
      </c>
      <c r="Y1826" s="14">
        <v>0.76032612848714198</v>
      </c>
      <c r="Z1826" s="14">
        <v>0.65336783548951305</v>
      </c>
      <c r="AA1826" s="14">
        <v>0.76746219092677903</v>
      </c>
      <c r="AB1826" s="14"/>
      <c r="AC1826" s="14">
        <v>0.68846360745185198</v>
      </c>
      <c r="AD1826" s="14">
        <v>0.68699446926168894</v>
      </c>
      <c r="AE1826" s="14">
        <v>0.789578736490267</v>
      </c>
      <c r="AF1826" s="14">
        <v>0.82769966199823597</v>
      </c>
      <c r="AG1826" s="14">
        <v>0.78022753674790102</v>
      </c>
      <c r="AH1826" s="14"/>
      <c r="AI1826" s="14">
        <v>0.80220969945143195</v>
      </c>
      <c r="AJ1826" s="14">
        <v>0.76970488109497404</v>
      </c>
      <c r="AK1826" s="14">
        <v>0.80046153467273495</v>
      </c>
      <c r="AL1826" s="14">
        <v>0.678966940070867</v>
      </c>
      <c r="AM1826" s="14">
        <v>0.67765195949278101</v>
      </c>
      <c r="AN1826" s="14">
        <v>0.64698720533844201</v>
      </c>
      <c r="AO1826" s="14"/>
      <c r="AP1826" s="14">
        <v>0.75717526127536705</v>
      </c>
      <c r="AQ1826" s="14">
        <v>0.71466744408593497</v>
      </c>
      <c r="AR1826" s="14"/>
      <c r="AS1826" s="14">
        <v>0.71949867031683801</v>
      </c>
      <c r="AT1826" s="14">
        <v>0.76345855721351796</v>
      </c>
      <c r="AU1826" s="14">
        <v>0.73377987367151198</v>
      </c>
      <c r="AV1826" s="14"/>
      <c r="AW1826" s="14">
        <v>0.74949200202186295</v>
      </c>
      <c r="AX1826" s="14">
        <v>0.80463189457615303</v>
      </c>
      <c r="AY1826" s="14"/>
      <c r="AZ1826" s="14">
        <v>0.75684676835928699</v>
      </c>
      <c r="BA1826" s="14">
        <v>0.67264702807929</v>
      </c>
    </row>
    <row r="1827" spans="2:53" x14ac:dyDescent="0.35">
      <c r="C1827" s="14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/>
      <c r="AQ1827" s="14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</row>
    <row r="1828" spans="2:53" x14ac:dyDescent="0.35">
      <c r="B1828" s="6" t="s">
        <v>418</v>
      </c>
      <c r="C1828" s="14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4"/>
      <c r="AP1828" s="14"/>
      <c r="AQ1828" s="14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</row>
    <row r="1829" spans="2:53" x14ac:dyDescent="0.35">
      <c r="B1829" s="24" t="s">
        <v>118</v>
      </c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4"/>
      <c r="AP1829" s="14"/>
      <c r="AQ1829" s="14"/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</row>
    <row r="1830" spans="2:53" x14ac:dyDescent="0.35">
      <c r="B1830" t="s">
        <v>404</v>
      </c>
      <c r="C1830" s="14">
        <v>0.32653947307599201</v>
      </c>
      <c r="D1830" s="14">
        <v>0.36111701252803502</v>
      </c>
      <c r="E1830" s="14">
        <v>0.29225087030807001</v>
      </c>
      <c r="F1830" s="14"/>
      <c r="G1830" s="14">
        <v>0.45030956481519002</v>
      </c>
      <c r="H1830" s="14">
        <v>0.42973332053320101</v>
      </c>
      <c r="I1830" s="14">
        <v>0.33860000270843499</v>
      </c>
      <c r="J1830" s="14">
        <v>0.26803884089619001</v>
      </c>
      <c r="K1830" s="14">
        <v>0.278040064129214</v>
      </c>
      <c r="L1830" s="14">
        <v>0.37481345930973298</v>
      </c>
      <c r="M1830" s="14"/>
      <c r="N1830" s="14">
        <v>0.36521363813616903</v>
      </c>
      <c r="O1830" s="14">
        <v>0.31090684488981601</v>
      </c>
      <c r="P1830" s="14">
        <v>0.31942882457584199</v>
      </c>
      <c r="Q1830" s="14">
        <v>0.30664638822585899</v>
      </c>
      <c r="R1830" s="14"/>
      <c r="S1830" s="14">
        <v>0.40629573088288601</v>
      </c>
      <c r="T1830" s="14">
        <v>0.33313614025371802</v>
      </c>
      <c r="U1830" s="14">
        <v>0.33537443301285502</v>
      </c>
      <c r="V1830" s="14">
        <v>0.30287530368931298</v>
      </c>
      <c r="W1830" s="14">
        <v>0.32656999992476399</v>
      </c>
      <c r="X1830" s="14">
        <v>0.27131270907187499</v>
      </c>
      <c r="Y1830" s="14">
        <v>0.32658939465103698</v>
      </c>
      <c r="Z1830" s="14">
        <v>0.24202070015508201</v>
      </c>
      <c r="AA1830" s="14">
        <v>0.30854479037567301</v>
      </c>
      <c r="AB1830" s="14"/>
      <c r="AC1830" s="14">
        <v>0.29111284378079899</v>
      </c>
      <c r="AD1830" s="14">
        <v>0.266910479137691</v>
      </c>
      <c r="AE1830" s="14">
        <v>0.34548766825273203</v>
      </c>
      <c r="AF1830" s="14">
        <v>0.45502713181706</v>
      </c>
      <c r="AG1830" s="14">
        <v>0.50614479962887104</v>
      </c>
      <c r="AH1830" s="14"/>
      <c r="AI1830" s="14">
        <v>0.36757156660326901</v>
      </c>
      <c r="AJ1830" s="14">
        <v>0.33030093337371003</v>
      </c>
      <c r="AK1830" s="14">
        <v>0.378892934473123</v>
      </c>
      <c r="AL1830" s="14">
        <v>0.28010655364167703</v>
      </c>
      <c r="AM1830" s="14">
        <v>0.31554969042480302</v>
      </c>
      <c r="AN1830" s="14">
        <v>0.26724409182452902</v>
      </c>
      <c r="AO1830" s="14"/>
      <c r="AP1830" s="14">
        <v>0.36197828939693</v>
      </c>
      <c r="AQ1830" s="14">
        <v>0.28705138857372497</v>
      </c>
      <c r="AR1830" s="14"/>
      <c r="AS1830" s="14">
        <v>0.39755377621986498</v>
      </c>
      <c r="AT1830" s="14">
        <v>0.35508010267832202</v>
      </c>
      <c r="AU1830" s="14">
        <v>0.29898772068385798</v>
      </c>
      <c r="AV1830" s="14"/>
      <c r="AW1830" s="14">
        <v>0.32052799068708698</v>
      </c>
      <c r="AX1830" s="14">
        <v>0.42665306369226103</v>
      </c>
      <c r="AY1830" s="14"/>
      <c r="AZ1830" s="14">
        <v>0.363779764573188</v>
      </c>
      <c r="BA1830" s="14">
        <v>0.19454903151601799</v>
      </c>
    </row>
    <row r="1831" spans="2:53" x14ac:dyDescent="0.35">
      <c r="B1831" t="s">
        <v>405</v>
      </c>
      <c r="C1831" s="14">
        <v>0.379872263865418</v>
      </c>
      <c r="D1831" s="14">
        <v>0.396542386259498</v>
      </c>
      <c r="E1831" s="14">
        <v>0.36355710376080602</v>
      </c>
      <c r="F1831" s="14"/>
      <c r="G1831" s="14">
        <v>0.14459573204541201</v>
      </c>
      <c r="H1831" s="14">
        <v>0.38552810406676802</v>
      </c>
      <c r="I1831" s="14">
        <v>0.38586892994792799</v>
      </c>
      <c r="J1831" s="14">
        <v>0.39177408140305298</v>
      </c>
      <c r="K1831" s="14">
        <v>0.34334673400658899</v>
      </c>
      <c r="L1831" s="14">
        <v>0.220413195291009</v>
      </c>
      <c r="M1831" s="14"/>
      <c r="N1831" s="14">
        <v>0.40741744792087498</v>
      </c>
      <c r="O1831" s="14">
        <v>0.40472142605744799</v>
      </c>
      <c r="P1831" s="14">
        <v>0.35628440750475998</v>
      </c>
      <c r="Q1831" s="14">
        <v>0.34550984629800302</v>
      </c>
      <c r="R1831" s="14"/>
      <c r="S1831" s="14">
        <v>0.34498106732830103</v>
      </c>
      <c r="T1831" s="14">
        <v>0.38992743102465499</v>
      </c>
      <c r="U1831" s="14">
        <v>0.37335624929867001</v>
      </c>
      <c r="V1831" s="14">
        <v>0.34166726407605702</v>
      </c>
      <c r="W1831" s="14">
        <v>0.37921707961963602</v>
      </c>
      <c r="X1831" s="14">
        <v>0.415071969523572</v>
      </c>
      <c r="Y1831" s="14">
        <v>0.33804519563145702</v>
      </c>
      <c r="Z1831" s="14">
        <v>0.46957955392930201</v>
      </c>
      <c r="AA1831" s="14">
        <v>0.41893224858904499</v>
      </c>
      <c r="AB1831" s="14"/>
      <c r="AC1831" s="14">
        <v>0.35741822879671598</v>
      </c>
      <c r="AD1831" s="14">
        <v>0.39062332831171498</v>
      </c>
      <c r="AE1831" s="14">
        <v>0.40805076540410301</v>
      </c>
      <c r="AF1831" s="14">
        <v>0.37373606760341999</v>
      </c>
      <c r="AG1831" s="14">
        <v>0.36632873749431499</v>
      </c>
      <c r="AH1831" s="14"/>
      <c r="AI1831" s="14">
        <v>0.39520894746540902</v>
      </c>
      <c r="AJ1831" s="14">
        <v>0.39319968302139802</v>
      </c>
      <c r="AK1831" s="14">
        <v>0.350888075509871</v>
      </c>
      <c r="AL1831" s="14">
        <v>0.38881240113210902</v>
      </c>
      <c r="AM1831" s="14">
        <v>0.34634440616170498</v>
      </c>
      <c r="AN1831" s="14">
        <v>0.32388071307190303</v>
      </c>
      <c r="AO1831" s="14"/>
      <c r="AP1831" s="14">
        <v>0.39588915508483502</v>
      </c>
      <c r="AQ1831" s="14">
        <v>0.363075254122528</v>
      </c>
      <c r="AR1831" s="14"/>
      <c r="AS1831" s="14">
        <v>0.415964416833974</v>
      </c>
      <c r="AT1831" s="14">
        <v>0.42844377225452002</v>
      </c>
      <c r="AU1831" s="14">
        <v>0.35579624475968102</v>
      </c>
      <c r="AV1831" s="14"/>
      <c r="AW1831" s="14">
        <v>0.38552654464944203</v>
      </c>
      <c r="AX1831" s="14">
        <v>0.39807045254754098</v>
      </c>
      <c r="AY1831" s="14"/>
      <c r="AZ1831" s="14">
        <v>0.39601106070012998</v>
      </c>
      <c r="BA1831" s="14">
        <v>0.32216008323765999</v>
      </c>
    </row>
    <row r="1832" spans="2:53" x14ac:dyDescent="0.35">
      <c r="B1832" t="s">
        <v>406</v>
      </c>
      <c r="C1832" s="14">
        <v>0.15707756950548499</v>
      </c>
      <c r="D1832" s="14">
        <v>0.15228168735620801</v>
      </c>
      <c r="E1832" s="14">
        <v>0.161060060947008</v>
      </c>
      <c r="F1832" s="14"/>
      <c r="G1832" s="14">
        <v>0.29182627175165798</v>
      </c>
      <c r="H1832" s="14">
        <v>8.73034040641361E-2</v>
      </c>
      <c r="I1832" s="14">
        <v>0.14680515539911501</v>
      </c>
      <c r="J1832" s="14">
        <v>0.174161149276234</v>
      </c>
      <c r="K1832" s="14">
        <v>0.23194290003963999</v>
      </c>
      <c r="L1832" s="14">
        <v>0.29854253228383998</v>
      </c>
      <c r="M1832" s="14"/>
      <c r="N1832" s="14">
        <v>0.11588309460044401</v>
      </c>
      <c r="O1832" s="14">
        <v>0.16996845916760001</v>
      </c>
      <c r="P1832" s="14">
        <v>0.172977172075957</v>
      </c>
      <c r="Q1832" s="14">
        <v>0.17600465245730501</v>
      </c>
      <c r="R1832" s="14"/>
      <c r="S1832" s="14">
        <v>0.14402306874292101</v>
      </c>
      <c r="T1832" s="14">
        <v>0.119665489809239</v>
      </c>
      <c r="U1832" s="14">
        <v>0.201944719289223</v>
      </c>
      <c r="V1832" s="14">
        <v>0.18640361382596901</v>
      </c>
      <c r="W1832" s="14">
        <v>0.16452427059302799</v>
      </c>
      <c r="X1832" s="14">
        <v>0.12970036095057599</v>
      </c>
      <c r="Y1832" s="14">
        <v>0.199321753557444</v>
      </c>
      <c r="Z1832" s="14">
        <v>0.145819351458045</v>
      </c>
      <c r="AA1832" s="14">
        <v>0.14739271970092099</v>
      </c>
      <c r="AB1832" s="14"/>
      <c r="AC1832" s="14">
        <v>0.20643956544936801</v>
      </c>
      <c r="AD1832" s="14">
        <v>0.142182800377576</v>
      </c>
      <c r="AE1832" s="14">
        <v>0.145359771902449</v>
      </c>
      <c r="AF1832" s="14">
        <v>9.4329956592122802E-2</v>
      </c>
      <c r="AG1832" s="14">
        <v>0.106050619232562</v>
      </c>
      <c r="AH1832" s="14"/>
      <c r="AI1832" s="14">
        <v>0.12346981763010299</v>
      </c>
      <c r="AJ1832" s="14">
        <v>0.14942090637177999</v>
      </c>
      <c r="AK1832" s="14">
        <v>0.14293587331642801</v>
      </c>
      <c r="AL1832" s="14">
        <v>0.17763535234439301</v>
      </c>
      <c r="AM1832" s="14">
        <v>0.149031885305458</v>
      </c>
      <c r="AN1832" s="14">
        <v>0.24068805672813301</v>
      </c>
      <c r="AO1832" s="14"/>
      <c r="AP1832" s="14">
        <v>0.13637525221560901</v>
      </c>
      <c r="AQ1832" s="14">
        <v>0.17968096704643399</v>
      </c>
      <c r="AR1832" s="14"/>
      <c r="AS1832" s="14">
        <v>0.13955125135110999</v>
      </c>
      <c r="AT1832" s="14">
        <v>0.107956098134386</v>
      </c>
      <c r="AU1832" s="14">
        <v>0.17631949657335499</v>
      </c>
      <c r="AV1832" s="14"/>
      <c r="AW1832" s="14">
        <v>0.15902135555394101</v>
      </c>
      <c r="AX1832" s="14">
        <v>0.104422979099232</v>
      </c>
      <c r="AY1832" s="14"/>
      <c r="AZ1832" s="14">
        <v>0.13639336251713</v>
      </c>
      <c r="BA1832" s="14">
        <v>0.23259986736447699</v>
      </c>
    </row>
    <row r="1833" spans="2:53" x14ac:dyDescent="0.35">
      <c r="B1833" t="s">
        <v>407</v>
      </c>
      <c r="C1833" s="14">
        <v>7.4105786362680295E-2</v>
      </c>
      <c r="D1833" s="14">
        <v>4.6183371393444202E-2</v>
      </c>
      <c r="E1833" s="14">
        <v>0.10212237460611701</v>
      </c>
      <c r="F1833" s="14"/>
      <c r="G1833" s="14">
        <v>0</v>
      </c>
      <c r="H1833" s="14">
        <v>5.9390844359048997E-2</v>
      </c>
      <c r="I1833" s="14">
        <v>8.0763976715770902E-2</v>
      </c>
      <c r="J1833" s="14">
        <v>8.4158036013899096E-2</v>
      </c>
      <c r="K1833" s="14">
        <v>4.44369022107894E-2</v>
      </c>
      <c r="L1833" s="14">
        <v>3.4303614182499199E-2</v>
      </c>
      <c r="M1833" s="14"/>
      <c r="N1833" s="14">
        <v>6.2045950828628203E-2</v>
      </c>
      <c r="O1833" s="14">
        <v>6.7213660229871103E-2</v>
      </c>
      <c r="P1833" s="14">
        <v>9.4230748767895806E-2</v>
      </c>
      <c r="Q1833" s="14">
        <v>7.4218903724554794E-2</v>
      </c>
      <c r="R1833" s="14"/>
      <c r="S1833" s="14">
        <v>5.3901662862507499E-2</v>
      </c>
      <c r="T1833" s="14">
        <v>9.348721735493E-2</v>
      </c>
      <c r="U1833" s="14">
        <v>6.7864980489135598E-2</v>
      </c>
      <c r="V1833" s="14">
        <v>7.9080561047116193E-2</v>
      </c>
      <c r="W1833" s="14">
        <v>7.2715612909584906E-2</v>
      </c>
      <c r="X1833" s="14">
        <v>8.5984344898078602E-2</v>
      </c>
      <c r="Y1833" s="14">
        <v>8.0474246041124506E-2</v>
      </c>
      <c r="Z1833" s="14">
        <v>8.6161392749236704E-2</v>
      </c>
      <c r="AA1833" s="14">
        <v>5.7952990332439502E-2</v>
      </c>
      <c r="AB1833" s="14"/>
      <c r="AC1833" s="14">
        <v>8.7609947271166999E-2</v>
      </c>
      <c r="AD1833" s="14">
        <v>0.108304481999806</v>
      </c>
      <c r="AE1833" s="14">
        <v>6.1468453451676001E-2</v>
      </c>
      <c r="AF1833" s="14">
        <v>2.8662975693013099E-2</v>
      </c>
      <c r="AG1833" s="14">
        <v>0</v>
      </c>
      <c r="AH1833" s="14"/>
      <c r="AI1833" s="14">
        <v>5.7966357466410802E-2</v>
      </c>
      <c r="AJ1833" s="14">
        <v>7.8564898170416897E-2</v>
      </c>
      <c r="AK1833" s="14">
        <v>7.1984237070983198E-2</v>
      </c>
      <c r="AL1833" s="14">
        <v>7.8278699405461005E-2</v>
      </c>
      <c r="AM1833" s="14">
        <v>0.13940404715225799</v>
      </c>
      <c r="AN1833" s="14">
        <v>9.82318647206884E-2</v>
      </c>
      <c r="AO1833" s="14"/>
      <c r="AP1833" s="14">
        <v>6.4676951546706704E-2</v>
      </c>
      <c r="AQ1833" s="14">
        <v>8.4953372752117298E-2</v>
      </c>
      <c r="AR1833" s="14"/>
      <c r="AS1833" s="14">
        <v>1.34015041117207E-2</v>
      </c>
      <c r="AT1833" s="14">
        <v>7.0096712635530106E-2</v>
      </c>
      <c r="AU1833" s="14">
        <v>9.1628889104171302E-2</v>
      </c>
      <c r="AV1833" s="14"/>
      <c r="AW1833" s="14">
        <v>7.7514974709530393E-2</v>
      </c>
      <c r="AX1833" s="14">
        <v>3.7338203719910201E-2</v>
      </c>
      <c r="AY1833" s="14"/>
      <c r="AZ1833" s="14">
        <v>5.7669240944291301E-2</v>
      </c>
      <c r="BA1833" s="14">
        <v>0.136950022985424</v>
      </c>
    </row>
    <row r="1834" spans="2:53" x14ac:dyDescent="0.35">
      <c r="B1834" t="s">
        <v>408</v>
      </c>
      <c r="C1834" s="14">
        <v>4.1188461601842599E-2</v>
      </c>
      <c r="D1834" s="14">
        <v>2.40100021416088E-2</v>
      </c>
      <c r="E1834" s="14">
        <v>5.8420589693438399E-2</v>
      </c>
      <c r="F1834" s="14"/>
      <c r="G1834" s="14">
        <v>0.11326843138774099</v>
      </c>
      <c r="H1834" s="14">
        <v>1.6544714072393302E-2</v>
      </c>
      <c r="I1834" s="14">
        <v>3.483951175905E-2</v>
      </c>
      <c r="J1834" s="14">
        <v>5.8199788106072702E-2</v>
      </c>
      <c r="K1834" s="14">
        <v>5.8239219579397698E-2</v>
      </c>
      <c r="L1834" s="14">
        <v>0</v>
      </c>
      <c r="M1834" s="14"/>
      <c r="N1834" s="14">
        <v>4.19732708430113E-2</v>
      </c>
      <c r="O1834" s="14">
        <v>2.6981816173543199E-2</v>
      </c>
      <c r="P1834" s="14">
        <v>4.6085388041422502E-2</v>
      </c>
      <c r="Q1834" s="14">
        <v>5.12720043636858E-2</v>
      </c>
      <c r="R1834" s="14"/>
      <c r="S1834" s="14">
        <v>2.8280216961571802E-2</v>
      </c>
      <c r="T1834" s="14">
        <v>4.29795630986664E-2</v>
      </c>
      <c r="U1834" s="14">
        <v>2.14596179101171E-2</v>
      </c>
      <c r="V1834" s="14">
        <v>6.51836393560941E-2</v>
      </c>
      <c r="W1834" s="14">
        <v>3.2282472940327302E-2</v>
      </c>
      <c r="X1834" s="14">
        <v>4.2728245572793699E-2</v>
      </c>
      <c r="Y1834" s="14">
        <v>3.6659664104194099E-2</v>
      </c>
      <c r="Z1834" s="14">
        <v>5.6419001708334998E-2</v>
      </c>
      <c r="AA1834" s="14">
        <v>5.24215274859662E-2</v>
      </c>
      <c r="AB1834" s="14"/>
      <c r="AC1834" s="14">
        <v>2.85083504034335E-2</v>
      </c>
      <c r="AD1834" s="14">
        <v>7.44036461403845E-2</v>
      </c>
      <c r="AE1834" s="14">
        <v>2.8864151809752599E-2</v>
      </c>
      <c r="AF1834" s="14">
        <v>3.3667033291868903E-2</v>
      </c>
      <c r="AG1834" s="14">
        <v>2.1475843644251699E-2</v>
      </c>
      <c r="AH1834" s="14"/>
      <c r="AI1834" s="14">
        <v>3.2633539342412803E-2</v>
      </c>
      <c r="AJ1834" s="14">
        <v>3.38938727693072E-2</v>
      </c>
      <c r="AK1834" s="14">
        <v>4.6864530373980598E-2</v>
      </c>
      <c r="AL1834" s="14">
        <v>4.9275145543056197E-2</v>
      </c>
      <c r="AM1834" s="14">
        <v>2.2734157674643499E-2</v>
      </c>
      <c r="AN1834" s="14">
        <v>4.1932245758042802E-2</v>
      </c>
      <c r="AO1834" s="14"/>
      <c r="AP1834" s="14">
        <v>2.2543879350490001E-2</v>
      </c>
      <c r="AQ1834" s="14">
        <v>6.0938850802370298E-2</v>
      </c>
      <c r="AR1834" s="14"/>
      <c r="AS1834" s="14">
        <v>1.36167232847836E-2</v>
      </c>
      <c r="AT1834" s="14">
        <v>2.1566446050872799E-2</v>
      </c>
      <c r="AU1834" s="14">
        <v>5.4411113694641397E-2</v>
      </c>
      <c r="AV1834" s="14"/>
      <c r="AW1834" s="14">
        <v>3.7836528817191101E-2</v>
      </c>
      <c r="AX1834" s="14">
        <v>2.3280581017093599E-2</v>
      </c>
      <c r="AY1834" s="14"/>
      <c r="AZ1834" s="14">
        <v>2.9054779428716E-2</v>
      </c>
      <c r="BA1834" s="14">
        <v>8.4378631001710905E-2</v>
      </c>
    </row>
    <row r="1835" spans="2:53" x14ac:dyDescent="0.35">
      <c r="B1835" t="s">
        <v>80</v>
      </c>
      <c r="C1835" s="14">
        <v>2.1216445588581798E-2</v>
      </c>
      <c r="D1835" s="14">
        <v>1.9865540321206399E-2</v>
      </c>
      <c r="E1835" s="14">
        <v>2.2589000684561201E-2</v>
      </c>
      <c r="F1835" s="14"/>
      <c r="G1835" s="14">
        <v>0</v>
      </c>
      <c r="H1835" s="14">
        <v>2.1499612904453302E-2</v>
      </c>
      <c r="I1835" s="14">
        <v>1.3122423469701701E-2</v>
      </c>
      <c r="J1835" s="14">
        <v>2.36681043045513E-2</v>
      </c>
      <c r="K1835" s="14">
        <v>4.3994180034369397E-2</v>
      </c>
      <c r="L1835" s="14">
        <v>7.1927198932918504E-2</v>
      </c>
      <c r="M1835" s="14"/>
      <c r="N1835" s="14">
        <v>7.4665976708723197E-3</v>
      </c>
      <c r="O1835" s="14">
        <v>2.0207793481721099E-2</v>
      </c>
      <c r="P1835" s="14">
        <v>1.0993459034121999E-2</v>
      </c>
      <c r="Q1835" s="14">
        <v>4.63482049305926E-2</v>
      </c>
      <c r="R1835" s="14"/>
      <c r="S1835" s="14">
        <v>2.25182532218124E-2</v>
      </c>
      <c r="T1835" s="14">
        <v>2.0804158458791602E-2</v>
      </c>
      <c r="U1835" s="14">
        <v>0</v>
      </c>
      <c r="V1835" s="14">
        <v>2.4789618005451101E-2</v>
      </c>
      <c r="W1835" s="14">
        <v>2.4690564012660201E-2</v>
      </c>
      <c r="X1835" s="14">
        <v>5.52023699831043E-2</v>
      </c>
      <c r="Y1835" s="14">
        <v>1.8909746014742601E-2</v>
      </c>
      <c r="Z1835" s="14">
        <v>0</v>
      </c>
      <c r="AA1835" s="14">
        <v>1.4755723515955299E-2</v>
      </c>
      <c r="AB1835" s="14"/>
      <c r="AC1835" s="14">
        <v>2.8911064298516798E-2</v>
      </c>
      <c r="AD1835" s="14">
        <v>1.75752640328268E-2</v>
      </c>
      <c r="AE1835" s="14">
        <v>1.07691891792875E-2</v>
      </c>
      <c r="AF1835" s="14">
        <v>1.4576835002515399E-2</v>
      </c>
      <c r="AG1835" s="14">
        <v>0</v>
      </c>
      <c r="AH1835" s="14"/>
      <c r="AI1835" s="14">
        <v>2.3149771492395301E-2</v>
      </c>
      <c r="AJ1835" s="14">
        <v>1.4619706293386801E-2</v>
      </c>
      <c r="AK1835" s="14">
        <v>8.4343492556134894E-3</v>
      </c>
      <c r="AL1835" s="14">
        <v>2.5891847933303201E-2</v>
      </c>
      <c r="AM1835" s="14">
        <v>2.6935813281133699E-2</v>
      </c>
      <c r="AN1835" s="14">
        <v>2.8023027896704099E-2</v>
      </c>
      <c r="AO1835" s="14"/>
      <c r="AP1835" s="14">
        <v>1.8536472405429001E-2</v>
      </c>
      <c r="AQ1835" s="14">
        <v>2.43001667028254E-2</v>
      </c>
      <c r="AR1835" s="14"/>
      <c r="AS1835" s="14">
        <v>1.9912328198547002E-2</v>
      </c>
      <c r="AT1835" s="14">
        <v>1.6856868246369498E-2</v>
      </c>
      <c r="AU1835" s="14">
        <v>2.2856535184292801E-2</v>
      </c>
      <c r="AV1835" s="14"/>
      <c r="AW1835" s="14">
        <v>1.9572605582807798E-2</v>
      </c>
      <c r="AX1835" s="14">
        <v>1.02347199239617E-2</v>
      </c>
      <c r="AY1835" s="14"/>
      <c r="AZ1835" s="14">
        <v>1.7091791836544301E-2</v>
      </c>
      <c r="BA1835" s="14">
        <v>2.9362363894709601E-2</v>
      </c>
    </row>
    <row r="1836" spans="2:53" x14ac:dyDescent="0.35">
      <c r="B1836" t="s">
        <v>409</v>
      </c>
      <c r="C1836" s="14">
        <v>0.70641173694141002</v>
      </c>
      <c r="D1836" s="14">
        <v>0.75765939878753297</v>
      </c>
      <c r="E1836" s="14">
        <v>0.65580797406887503</v>
      </c>
      <c r="F1836" s="14"/>
      <c r="G1836" s="14">
        <v>0.59490529686060201</v>
      </c>
      <c r="H1836" s="14">
        <v>0.81526142459996798</v>
      </c>
      <c r="I1836" s="14">
        <v>0.72446893265636303</v>
      </c>
      <c r="J1836" s="14">
        <v>0.65981292229924304</v>
      </c>
      <c r="K1836" s="14">
        <v>0.621386798135804</v>
      </c>
      <c r="L1836" s="14">
        <v>0.59522665460074298</v>
      </c>
      <c r="M1836" s="14"/>
      <c r="N1836" s="14">
        <v>0.772631086057044</v>
      </c>
      <c r="O1836" s="14">
        <v>0.715628270947264</v>
      </c>
      <c r="P1836" s="14">
        <v>0.67571323208060197</v>
      </c>
      <c r="Q1836" s="14">
        <v>0.65215623452386196</v>
      </c>
      <c r="R1836" s="14"/>
      <c r="S1836" s="14">
        <v>0.75127679821118698</v>
      </c>
      <c r="T1836" s="14">
        <v>0.72306357127837295</v>
      </c>
      <c r="U1836" s="14">
        <v>0.70873068231152503</v>
      </c>
      <c r="V1836" s="14">
        <v>0.64454256776537</v>
      </c>
      <c r="W1836" s="14">
        <v>0.70578707954440001</v>
      </c>
      <c r="X1836" s="14">
        <v>0.68638467859544705</v>
      </c>
      <c r="Y1836" s="14">
        <v>0.66463459028249405</v>
      </c>
      <c r="Z1836" s="14">
        <v>0.71160025408438399</v>
      </c>
      <c r="AA1836" s="14">
        <v>0.72747703896471805</v>
      </c>
      <c r="AB1836" s="14"/>
      <c r="AC1836" s="14">
        <v>0.64853107257751497</v>
      </c>
      <c r="AD1836" s="14">
        <v>0.65753380744940604</v>
      </c>
      <c r="AE1836" s="14">
        <v>0.75353843365683504</v>
      </c>
      <c r="AF1836" s="14">
        <v>0.82876319942048005</v>
      </c>
      <c r="AG1836" s="14">
        <v>0.87247353712318598</v>
      </c>
      <c r="AH1836" s="14"/>
      <c r="AI1836" s="14">
        <v>0.76278051406867797</v>
      </c>
      <c r="AJ1836" s="14">
        <v>0.72350061639510899</v>
      </c>
      <c r="AK1836" s="14">
        <v>0.729781009982994</v>
      </c>
      <c r="AL1836" s="14">
        <v>0.66891895477378704</v>
      </c>
      <c r="AM1836" s="14">
        <v>0.661894096586507</v>
      </c>
      <c r="AN1836" s="14">
        <v>0.59112480489643204</v>
      </c>
      <c r="AO1836" s="14"/>
      <c r="AP1836" s="14">
        <v>0.75786744448176502</v>
      </c>
      <c r="AQ1836" s="14">
        <v>0.65012664269625298</v>
      </c>
      <c r="AR1836" s="14"/>
      <c r="AS1836" s="14">
        <v>0.81351819305383899</v>
      </c>
      <c r="AT1836" s="14">
        <v>0.78352387493284203</v>
      </c>
      <c r="AU1836" s="14">
        <v>0.65478396544353901</v>
      </c>
      <c r="AV1836" s="14"/>
      <c r="AW1836" s="14">
        <v>0.70605453533652895</v>
      </c>
      <c r="AX1836" s="14">
        <v>0.824723516239802</v>
      </c>
      <c r="AY1836" s="14"/>
      <c r="AZ1836" s="14">
        <v>0.75979082527331798</v>
      </c>
      <c r="BA1836" s="14">
        <v>0.51670911475367798</v>
      </c>
    </row>
    <row r="1837" spans="2:53" x14ac:dyDescent="0.35">
      <c r="B1837" t="s">
        <v>410</v>
      </c>
      <c r="C1837" s="14">
        <v>0.11529424796452301</v>
      </c>
      <c r="D1837" s="14">
        <v>7.0193373535053005E-2</v>
      </c>
      <c r="E1837" s="14">
        <v>0.160542964299555</v>
      </c>
      <c r="F1837" s="14"/>
      <c r="G1837" s="14">
        <v>0.11326843138774099</v>
      </c>
      <c r="H1837" s="14">
        <v>7.5935558431442299E-2</v>
      </c>
      <c r="I1837" s="14">
        <v>0.11560348847482101</v>
      </c>
      <c r="J1837" s="14">
        <v>0.142357824119972</v>
      </c>
      <c r="K1837" s="14">
        <v>0.10267612179018699</v>
      </c>
      <c r="L1837" s="14">
        <v>3.4303614182499199E-2</v>
      </c>
      <c r="M1837" s="14"/>
      <c r="N1837" s="14">
        <v>0.10401922167164</v>
      </c>
      <c r="O1837" s="14">
        <v>9.4195476403414205E-2</v>
      </c>
      <c r="P1837" s="14">
        <v>0.14031613680931801</v>
      </c>
      <c r="Q1837" s="14">
        <v>0.12549090808824101</v>
      </c>
      <c r="R1837" s="14"/>
      <c r="S1837" s="14">
        <v>8.2181879824079304E-2</v>
      </c>
      <c r="T1837" s="14">
        <v>0.136466780453596</v>
      </c>
      <c r="U1837" s="14">
        <v>8.9324598399252594E-2</v>
      </c>
      <c r="V1837" s="14">
        <v>0.14426420040321</v>
      </c>
      <c r="W1837" s="14">
        <v>0.10499808584991201</v>
      </c>
      <c r="X1837" s="14">
        <v>0.128712590470872</v>
      </c>
      <c r="Y1837" s="14">
        <v>0.117133910145319</v>
      </c>
      <c r="Z1837" s="14">
        <v>0.14258039445757201</v>
      </c>
      <c r="AA1837" s="14">
        <v>0.110374517818406</v>
      </c>
      <c r="AB1837" s="14"/>
      <c r="AC1837" s="14">
        <v>0.1161182976746</v>
      </c>
      <c r="AD1837" s="14">
        <v>0.182708128140191</v>
      </c>
      <c r="AE1837" s="14">
        <v>9.0332605261428597E-2</v>
      </c>
      <c r="AF1837" s="14">
        <v>6.2330008984882002E-2</v>
      </c>
      <c r="AG1837" s="14">
        <v>2.1475843644251699E-2</v>
      </c>
      <c r="AH1837" s="14"/>
      <c r="AI1837" s="14">
        <v>9.0599896808823605E-2</v>
      </c>
      <c r="AJ1837" s="14">
        <v>0.11245877093972401</v>
      </c>
      <c r="AK1837" s="14">
        <v>0.118848767444964</v>
      </c>
      <c r="AL1837" s="14">
        <v>0.12755384494851699</v>
      </c>
      <c r="AM1837" s="14">
        <v>0.162138204826901</v>
      </c>
      <c r="AN1837" s="14">
        <v>0.14016411047873101</v>
      </c>
      <c r="AO1837" s="14"/>
      <c r="AP1837" s="14">
        <v>8.7220830897196705E-2</v>
      </c>
      <c r="AQ1837" s="14">
        <v>0.145892223554488</v>
      </c>
      <c r="AR1837" s="14"/>
      <c r="AS1837" s="14">
        <v>2.7018227396504401E-2</v>
      </c>
      <c r="AT1837" s="14">
        <v>9.1663158686402901E-2</v>
      </c>
      <c r="AU1837" s="14">
        <v>0.14604000279881299</v>
      </c>
      <c r="AV1837" s="14"/>
      <c r="AW1837" s="14">
        <v>0.11535150352672199</v>
      </c>
      <c r="AX1837" s="14">
        <v>6.06187847370038E-2</v>
      </c>
      <c r="AY1837" s="14"/>
      <c r="AZ1837" s="14">
        <v>8.6724020373007304E-2</v>
      </c>
      <c r="BA1837" s="14">
        <v>0.221328653987135</v>
      </c>
    </row>
    <row r="1838" spans="2:53" x14ac:dyDescent="0.35">
      <c r="B1838" t="s">
        <v>82</v>
      </c>
      <c r="C1838" s="14">
        <v>0.59111748897688698</v>
      </c>
      <c r="D1838" s="14">
        <v>0.68746602525248002</v>
      </c>
      <c r="E1838" s="14">
        <v>0.49526500976931997</v>
      </c>
      <c r="F1838" s="14"/>
      <c r="G1838" s="14">
        <v>0.481636865472861</v>
      </c>
      <c r="H1838" s="14">
        <v>0.73932586616852602</v>
      </c>
      <c r="I1838" s="14">
        <v>0.60886544418154198</v>
      </c>
      <c r="J1838" s="14">
        <v>0.51745509817927104</v>
      </c>
      <c r="K1838" s="14">
        <v>0.51871067634561696</v>
      </c>
      <c r="L1838" s="14">
        <v>0.56092304041824403</v>
      </c>
      <c r="M1838" s="14"/>
      <c r="N1838" s="14">
        <v>0.66861186438540399</v>
      </c>
      <c r="O1838" s="14">
        <v>0.62143279454385003</v>
      </c>
      <c r="P1838" s="14">
        <v>0.53539709527128398</v>
      </c>
      <c r="Q1838" s="14">
        <v>0.52666532643562103</v>
      </c>
      <c r="R1838" s="14"/>
      <c r="S1838" s="14">
        <v>0.669094918387108</v>
      </c>
      <c r="T1838" s="14">
        <v>0.586596790824777</v>
      </c>
      <c r="U1838" s="14">
        <v>0.61940608391227203</v>
      </c>
      <c r="V1838" s="14">
        <v>0.50027836736216003</v>
      </c>
      <c r="W1838" s="14">
        <v>0.60078899369448802</v>
      </c>
      <c r="X1838" s="14">
        <v>0.55767208812457503</v>
      </c>
      <c r="Y1838" s="14">
        <v>0.54750068013717601</v>
      </c>
      <c r="Z1838" s="14">
        <v>0.56901985962681201</v>
      </c>
      <c r="AA1838" s="14">
        <v>0.61710252114631203</v>
      </c>
      <c r="AB1838" s="14"/>
      <c r="AC1838" s="14">
        <v>0.53241277490291405</v>
      </c>
      <c r="AD1838" s="14">
        <v>0.47482567930921499</v>
      </c>
      <c r="AE1838" s="14">
        <v>0.66320582839540698</v>
      </c>
      <c r="AF1838" s="14">
        <v>0.76643319043559799</v>
      </c>
      <c r="AG1838" s="14">
        <v>0.85099769347893495</v>
      </c>
      <c r="AH1838" s="14"/>
      <c r="AI1838" s="14">
        <v>0.67218061725985401</v>
      </c>
      <c r="AJ1838" s="14">
        <v>0.61104184545538398</v>
      </c>
      <c r="AK1838" s="14">
        <v>0.61093224253803102</v>
      </c>
      <c r="AL1838" s="14">
        <v>0.54136510982526898</v>
      </c>
      <c r="AM1838" s="14">
        <v>0.499755891759606</v>
      </c>
      <c r="AN1838" s="14">
        <v>0.45096069441769998</v>
      </c>
      <c r="AO1838" s="14"/>
      <c r="AP1838" s="14">
        <v>0.67064661358456801</v>
      </c>
      <c r="AQ1838" s="14">
        <v>0.50423441914176503</v>
      </c>
      <c r="AR1838" s="14"/>
      <c r="AS1838" s="14">
        <v>0.78649996565733404</v>
      </c>
      <c r="AT1838" s="14">
        <v>0.69186071624643897</v>
      </c>
      <c r="AU1838" s="14">
        <v>0.50874396264472699</v>
      </c>
      <c r="AV1838" s="14"/>
      <c r="AW1838" s="14">
        <v>0.59070303180980799</v>
      </c>
      <c r="AX1838" s="14">
        <v>0.76410473150279801</v>
      </c>
      <c r="AY1838" s="14"/>
      <c r="AZ1838" s="14">
        <v>0.67306680490031101</v>
      </c>
      <c r="BA1838" s="14">
        <v>0.29538046076654301</v>
      </c>
    </row>
    <row r="1839" spans="2:53" x14ac:dyDescent="0.35">
      <c r="C1839" s="14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  <c r="AO1839" s="14"/>
      <c r="AP1839" s="14"/>
      <c r="AQ1839" s="14"/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</row>
    <row r="1840" spans="2:53" x14ac:dyDescent="0.35">
      <c r="B1840" s="6" t="s">
        <v>427</v>
      </c>
      <c r="C1840" s="14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/>
      <c r="AM1840" s="14"/>
      <c r="AN1840" s="14"/>
      <c r="AO1840" s="14"/>
      <c r="AP1840" s="14"/>
      <c r="AQ1840" s="14"/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</row>
    <row r="1841" spans="2:53" x14ac:dyDescent="0.35">
      <c r="B1841" s="24" t="s">
        <v>118</v>
      </c>
      <c r="C1841" s="14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  <c r="AO1841" s="14"/>
      <c r="AP1841" s="14"/>
      <c r="AQ1841" s="14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</row>
    <row r="1842" spans="2:53" x14ac:dyDescent="0.35">
      <c r="B1842" t="s">
        <v>422</v>
      </c>
      <c r="C1842" s="14">
        <v>0.244096231748029</v>
      </c>
      <c r="D1842" s="14">
        <v>0.26306073774514099</v>
      </c>
      <c r="E1842" s="14">
        <v>0.225353216636277</v>
      </c>
      <c r="F1842" s="14"/>
      <c r="G1842" s="14">
        <v>0.439078325645195</v>
      </c>
      <c r="H1842" s="14">
        <v>0.28153140091964302</v>
      </c>
      <c r="I1842" s="14">
        <v>0.24528643912447501</v>
      </c>
      <c r="J1842" s="14">
        <v>0.22594987857110099</v>
      </c>
      <c r="K1842" s="14">
        <v>0.21202313891882199</v>
      </c>
      <c r="L1842" s="14">
        <v>0.32714982418581001</v>
      </c>
      <c r="M1842" s="14"/>
      <c r="N1842" s="14">
        <v>0.27565001945603701</v>
      </c>
      <c r="O1842" s="14">
        <v>0.239028183031185</v>
      </c>
      <c r="P1842" s="14">
        <v>0.22590306189537099</v>
      </c>
      <c r="Q1842" s="14">
        <v>0.232248327409805</v>
      </c>
      <c r="R1842" s="14"/>
      <c r="S1842" s="14">
        <v>0.31319439689607498</v>
      </c>
      <c r="T1842" s="14">
        <v>0.27301297984189299</v>
      </c>
      <c r="U1842" s="14">
        <v>0.26057276357256998</v>
      </c>
      <c r="V1842" s="14">
        <v>0.221525930081201</v>
      </c>
      <c r="W1842" s="14">
        <v>0.18711584680437399</v>
      </c>
      <c r="X1842" s="14">
        <v>0.17859470704779801</v>
      </c>
      <c r="Y1842" s="14">
        <v>0.21707310400694599</v>
      </c>
      <c r="Z1842" s="14">
        <v>0.18684489160381301</v>
      </c>
      <c r="AA1842" s="14">
        <v>0.262845017154619</v>
      </c>
      <c r="AB1842" s="14"/>
      <c r="AC1842" s="14">
        <v>0.191914621963894</v>
      </c>
      <c r="AD1842" s="14">
        <v>0.20599156378688699</v>
      </c>
      <c r="AE1842" s="14">
        <v>0.25681547271729499</v>
      </c>
      <c r="AF1842" s="14">
        <v>0.34578910895222298</v>
      </c>
      <c r="AG1842" s="14">
        <v>0.40312701704516002</v>
      </c>
      <c r="AH1842" s="14"/>
      <c r="AI1842" s="14">
        <v>0.29266992382352702</v>
      </c>
      <c r="AJ1842" s="14">
        <v>0.20948371972305199</v>
      </c>
      <c r="AK1842" s="14">
        <v>0.26507792143028203</v>
      </c>
      <c r="AL1842" s="14">
        <v>0.19806857621413201</v>
      </c>
      <c r="AM1842" s="14">
        <v>0.259341051325231</v>
      </c>
      <c r="AN1842" s="14">
        <v>0.22229377789931301</v>
      </c>
      <c r="AO1842" s="14"/>
      <c r="AP1842" s="14">
        <v>0.266285717062961</v>
      </c>
      <c r="AQ1842" s="14">
        <v>0.219249807024957</v>
      </c>
      <c r="AR1842" s="14"/>
      <c r="AS1842" s="14">
        <v>0.30537304682057598</v>
      </c>
      <c r="AT1842" s="14">
        <v>0.28764316039719701</v>
      </c>
      <c r="AU1842" s="14">
        <v>0.214727886152836</v>
      </c>
      <c r="AV1842" s="14"/>
      <c r="AW1842" s="14">
        <v>0.24208306307498301</v>
      </c>
      <c r="AX1842" s="14">
        <v>0.32529137405049002</v>
      </c>
      <c r="AY1842" s="14"/>
      <c r="AZ1842" s="14">
        <v>0.26534330772259801</v>
      </c>
      <c r="BA1842" s="14">
        <v>0.16482327693773499</v>
      </c>
    </row>
    <row r="1843" spans="2:53" x14ac:dyDescent="0.35">
      <c r="B1843" t="s">
        <v>423</v>
      </c>
      <c r="C1843" s="14">
        <v>0.35368981179277698</v>
      </c>
      <c r="D1843" s="14">
        <v>0.37793445947683801</v>
      </c>
      <c r="E1843" s="14">
        <v>0.329768685574576</v>
      </c>
      <c r="F1843" s="14"/>
      <c r="G1843" s="14">
        <v>0.37964208077279299</v>
      </c>
      <c r="H1843" s="14">
        <v>0.36689145538592299</v>
      </c>
      <c r="I1843" s="14">
        <v>0.34976663955611698</v>
      </c>
      <c r="J1843" s="14">
        <v>0.35726588195313602</v>
      </c>
      <c r="K1843" s="14">
        <v>0.35046466685558603</v>
      </c>
      <c r="L1843" s="14">
        <v>0.27603939950873302</v>
      </c>
      <c r="M1843" s="14"/>
      <c r="N1843" s="14">
        <v>0.39791583024927202</v>
      </c>
      <c r="O1843" s="14">
        <v>0.38595513042373902</v>
      </c>
      <c r="P1843" s="14">
        <v>0.32550677031605302</v>
      </c>
      <c r="Q1843" s="14">
        <v>0.29624537262803402</v>
      </c>
      <c r="R1843" s="14"/>
      <c r="S1843" s="14">
        <v>0.32454109800353198</v>
      </c>
      <c r="T1843" s="14">
        <v>0.33258094299486601</v>
      </c>
      <c r="U1843" s="14">
        <v>0.340705309308587</v>
      </c>
      <c r="V1843" s="14">
        <v>0.30851100813307197</v>
      </c>
      <c r="W1843" s="14">
        <v>0.39479021967493599</v>
      </c>
      <c r="X1843" s="14">
        <v>0.35790825019420203</v>
      </c>
      <c r="Y1843" s="14">
        <v>0.36401887060555499</v>
      </c>
      <c r="Z1843" s="14">
        <v>0.46250584306831399</v>
      </c>
      <c r="AA1843" s="14">
        <v>0.38227855489694901</v>
      </c>
      <c r="AB1843" s="14"/>
      <c r="AC1843" s="14">
        <v>0.31799081886479502</v>
      </c>
      <c r="AD1843" s="14">
        <v>0.38074956627274298</v>
      </c>
      <c r="AE1843" s="14">
        <v>0.389679513445159</v>
      </c>
      <c r="AF1843" s="14">
        <v>0.32780593739376801</v>
      </c>
      <c r="AG1843" s="14">
        <v>0.39800914271924298</v>
      </c>
      <c r="AH1843" s="14"/>
      <c r="AI1843" s="14">
        <v>0.34655587826305501</v>
      </c>
      <c r="AJ1843" s="14">
        <v>0.40329198594899601</v>
      </c>
      <c r="AK1843" s="14">
        <v>0.40861221565588601</v>
      </c>
      <c r="AL1843" s="14">
        <v>0.36079365549938702</v>
      </c>
      <c r="AM1843" s="14">
        <v>0.19147543735537101</v>
      </c>
      <c r="AN1843" s="14">
        <v>0.31542844860846297</v>
      </c>
      <c r="AO1843" s="14"/>
      <c r="AP1843" s="14">
        <v>0.37409037578662702</v>
      </c>
      <c r="AQ1843" s="14">
        <v>0.33187617579099599</v>
      </c>
      <c r="AR1843" s="14"/>
      <c r="AS1843" s="14">
        <v>0.40582808101058798</v>
      </c>
      <c r="AT1843" s="14">
        <v>0.32256654883830099</v>
      </c>
      <c r="AU1843" s="14">
        <v>0.34886058548655302</v>
      </c>
      <c r="AV1843" s="14"/>
      <c r="AW1843" s="14">
        <v>0.33864014873063403</v>
      </c>
      <c r="AX1843" s="14">
        <v>0.43732269097016702</v>
      </c>
      <c r="AY1843" s="14"/>
      <c r="AZ1843" s="14">
        <v>0.38203010386060898</v>
      </c>
      <c r="BA1843" s="14">
        <v>0.24701392652462401</v>
      </c>
    </row>
    <row r="1844" spans="2:53" x14ac:dyDescent="0.35">
      <c r="B1844" t="s">
        <v>87</v>
      </c>
      <c r="C1844" s="14">
        <v>0.16395524582664001</v>
      </c>
      <c r="D1844" s="14">
        <v>0.15179611765588499</v>
      </c>
      <c r="E1844" s="14">
        <v>0.17531353891624901</v>
      </c>
      <c r="F1844" s="14"/>
      <c r="G1844" s="14">
        <v>0</v>
      </c>
      <c r="H1844" s="14">
        <v>0.104463321432525</v>
      </c>
      <c r="I1844" s="14">
        <v>0.16464152770757201</v>
      </c>
      <c r="J1844" s="14">
        <v>0.17651415529280801</v>
      </c>
      <c r="K1844" s="14">
        <v>0.22022345998534601</v>
      </c>
      <c r="L1844" s="14">
        <v>0.19706588607471501</v>
      </c>
      <c r="M1844" s="14"/>
      <c r="N1844" s="14">
        <v>0.13840946789606301</v>
      </c>
      <c r="O1844" s="14">
        <v>0.16397097785791201</v>
      </c>
      <c r="P1844" s="14">
        <v>0.17552537674846799</v>
      </c>
      <c r="Q1844" s="14">
        <v>0.178584532914009</v>
      </c>
      <c r="R1844" s="14"/>
      <c r="S1844" s="14">
        <v>0.13598117542941099</v>
      </c>
      <c r="T1844" s="14">
        <v>0.14940128077819601</v>
      </c>
      <c r="U1844" s="14">
        <v>0.189084815054154</v>
      </c>
      <c r="V1844" s="14">
        <v>0.221455453203072</v>
      </c>
      <c r="W1844" s="14">
        <v>0.15659824929104299</v>
      </c>
      <c r="X1844" s="14">
        <v>0.19941807346922</v>
      </c>
      <c r="Y1844" s="14">
        <v>0.18954061297413199</v>
      </c>
      <c r="Z1844" s="14">
        <v>0.124015905420266</v>
      </c>
      <c r="AA1844" s="14">
        <v>0.12149258251787499</v>
      </c>
      <c r="AB1844" s="14"/>
      <c r="AC1844" s="14">
        <v>0.20972041965838401</v>
      </c>
      <c r="AD1844" s="14">
        <v>0.14366182511043701</v>
      </c>
      <c r="AE1844" s="14">
        <v>0.16922694608106401</v>
      </c>
      <c r="AF1844" s="14">
        <v>0.10078966483160499</v>
      </c>
      <c r="AG1844" s="14">
        <v>0.120988027348647</v>
      </c>
      <c r="AH1844" s="14"/>
      <c r="AI1844" s="14">
        <v>0.116913402112752</v>
      </c>
      <c r="AJ1844" s="14">
        <v>0.17013175631363101</v>
      </c>
      <c r="AK1844" s="14">
        <v>0.123464158779458</v>
      </c>
      <c r="AL1844" s="14">
        <v>0.167117121324667</v>
      </c>
      <c r="AM1844" s="14">
        <v>0.221243797271472</v>
      </c>
      <c r="AN1844" s="14">
        <v>0.26273330531570899</v>
      </c>
      <c r="AO1844" s="14"/>
      <c r="AP1844" s="14">
        <v>0.16292553438509899</v>
      </c>
      <c r="AQ1844" s="14">
        <v>0.16444636899923201</v>
      </c>
      <c r="AR1844" s="14"/>
      <c r="AS1844" s="14">
        <v>0.13413046132790599</v>
      </c>
      <c r="AT1844" s="14">
        <v>0.15215882342534201</v>
      </c>
      <c r="AU1844" s="14">
        <v>0.17547028079181301</v>
      </c>
      <c r="AV1844" s="14"/>
      <c r="AW1844" s="14">
        <v>0.17433460909863699</v>
      </c>
      <c r="AX1844" s="14">
        <v>9.0169045113689797E-2</v>
      </c>
      <c r="AY1844" s="14"/>
      <c r="AZ1844" s="14">
        <v>0.14709557971318901</v>
      </c>
      <c r="BA1844" s="14">
        <v>0.22549339770164101</v>
      </c>
    </row>
    <row r="1845" spans="2:53" x14ac:dyDescent="0.35">
      <c r="B1845" t="s">
        <v>424</v>
      </c>
      <c r="C1845" s="14">
        <v>0.16745396260158299</v>
      </c>
      <c r="D1845" s="14">
        <v>0.156777907039445</v>
      </c>
      <c r="E1845" s="14">
        <v>0.178300903728178</v>
      </c>
      <c r="F1845" s="14"/>
      <c r="G1845" s="14">
        <v>0</v>
      </c>
      <c r="H1845" s="14">
        <v>0.173258807912059</v>
      </c>
      <c r="I1845" s="14">
        <v>0.175355940271441</v>
      </c>
      <c r="J1845" s="14">
        <v>0.16125805564662099</v>
      </c>
      <c r="K1845" s="14">
        <v>0.14527186078732299</v>
      </c>
      <c r="L1845" s="14">
        <v>0.19974489023074199</v>
      </c>
      <c r="M1845" s="14"/>
      <c r="N1845" s="14">
        <v>0.117699015510382</v>
      </c>
      <c r="O1845" s="14">
        <v>0.15864026219911601</v>
      </c>
      <c r="P1845" s="14">
        <v>0.214835654768193</v>
      </c>
      <c r="Q1845" s="14">
        <v>0.19059939532669301</v>
      </c>
      <c r="R1845" s="14"/>
      <c r="S1845" s="14">
        <v>0.14004023949178901</v>
      </c>
      <c r="T1845" s="14">
        <v>0.177156051567565</v>
      </c>
      <c r="U1845" s="14">
        <v>0.156607284061064</v>
      </c>
      <c r="V1845" s="14">
        <v>0.16086769286299099</v>
      </c>
      <c r="W1845" s="14">
        <v>0.19507803438360999</v>
      </c>
      <c r="X1845" s="14">
        <v>0.21210582874213099</v>
      </c>
      <c r="Y1845" s="14">
        <v>0.15699999944621501</v>
      </c>
      <c r="Z1845" s="14">
        <v>0.14688989809431799</v>
      </c>
      <c r="AA1845" s="14">
        <v>0.165527178690276</v>
      </c>
      <c r="AB1845" s="14"/>
      <c r="AC1845" s="14">
        <v>0.22661492006943401</v>
      </c>
      <c r="AD1845" s="14">
        <v>0.18243643225928499</v>
      </c>
      <c r="AE1845" s="14">
        <v>0.127917182073604</v>
      </c>
      <c r="AF1845" s="14">
        <v>0.13194251975414401</v>
      </c>
      <c r="AG1845" s="14">
        <v>2.6479700470006501E-2</v>
      </c>
      <c r="AH1845" s="14"/>
      <c r="AI1845" s="14">
        <v>0.165570806436977</v>
      </c>
      <c r="AJ1845" s="14">
        <v>0.17283584831978199</v>
      </c>
      <c r="AK1845" s="14">
        <v>0.13691153160206701</v>
      </c>
      <c r="AL1845" s="14">
        <v>0.22141408316615899</v>
      </c>
      <c r="AM1845" s="14">
        <v>0.21780161477646701</v>
      </c>
      <c r="AN1845" s="14">
        <v>0.11326311868594</v>
      </c>
      <c r="AO1845" s="14"/>
      <c r="AP1845" s="14">
        <v>0.14026112110748401</v>
      </c>
      <c r="AQ1845" s="14">
        <v>0.19858938589921901</v>
      </c>
      <c r="AR1845" s="14"/>
      <c r="AS1845" s="14">
        <v>0.112034042859025</v>
      </c>
      <c r="AT1845" s="14">
        <v>0.17370316178072501</v>
      </c>
      <c r="AU1845" s="14">
        <v>0.180521536989529</v>
      </c>
      <c r="AV1845" s="14"/>
      <c r="AW1845" s="14">
        <v>0.17741545567162501</v>
      </c>
      <c r="AX1845" s="14">
        <v>9.8216454249777804E-2</v>
      </c>
      <c r="AY1845" s="14"/>
      <c r="AZ1845" s="14">
        <v>0.14826866771522401</v>
      </c>
      <c r="BA1845" s="14">
        <v>0.23988105092605599</v>
      </c>
    </row>
    <row r="1846" spans="2:53" x14ac:dyDescent="0.35">
      <c r="B1846" t="s">
        <v>425</v>
      </c>
      <c r="C1846" s="14">
        <v>7.0804748030970796E-2</v>
      </c>
      <c r="D1846" s="14">
        <v>5.0430778082691398E-2</v>
      </c>
      <c r="E1846" s="14">
        <v>9.1263655144719902E-2</v>
      </c>
      <c r="F1846" s="14"/>
      <c r="G1846" s="14">
        <v>0.18127959358201301</v>
      </c>
      <c r="H1846" s="14">
        <v>7.3855014349850895E-2</v>
      </c>
      <c r="I1846" s="14">
        <v>6.4949453340394606E-2</v>
      </c>
      <c r="J1846" s="14">
        <v>7.9012028536333198E-2</v>
      </c>
      <c r="K1846" s="14">
        <v>7.2016873452923E-2</v>
      </c>
      <c r="L1846" s="14">
        <v>0</v>
      </c>
      <c r="M1846" s="14"/>
      <c r="N1846" s="14">
        <v>7.0325666888245805E-2</v>
      </c>
      <c r="O1846" s="14">
        <v>5.2405446488049102E-2</v>
      </c>
      <c r="P1846" s="14">
        <v>5.8229136271915199E-2</v>
      </c>
      <c r="Q1846" s="14">
        <v>0.102322371721459</v>
      </c>
      <c r="R1846" s="14"/>
      <c r="S1846" s="14">
        <v>8.6243090179193002E-2</v>
      </c>
      <c r="T1846" s="14">
        <v>6.7848744817479503E-2</v>
      </c>
      <c r="U1846" s="14">
        <v>5.3029828003623797E-2</v>
      </c>
      <c r="V1846" s="14">
        <v>8.7639915719664396E-2</v>
      </c>
      <c r="W1846" s="14">
        <v>6.6417649846037499E-2</v>
      </c>
      <c r="X1846" s="14">
        <v>5.1973140546649303E-2</v>
      </c>
      <c r="Y1846" s="14">
        <v>7.2367412967152198E-2</v>
      </c>
      <c r="Z1846" s="14">
        <v>7.9743461813288799E-2</v>
      </c>
      <c r="AA1846" s="14">
        <v>6.7856666740281305E-2</v>
      </c>
      <c r="AB1846" s="14"/>
      <c r="AC1846" s="14">
        <v>5.37592194434941E-2</v>
      </c>
      <c r="AD1846" s="14">
        <v>8.7160612570647694E-2</v>
      </c>
      <c r="AE1846" s="14">
        <v>5.63608856828779E-2</v>
      </c>
      <c r="AF1846" s="14">
        <v>9.36727690682609E-2</v>
      </c>
      <c r="AG1846" s="14">
        <v>5.1396112416944098E-2</v>
      </c>
      <c r="AH1846" s="14"/>
      <c r="AI1846" s="14">
        <v>7.8289989363690402E-2</v>
      </c>
      <c r="AJ1846" s="14">
        <v>4.4256689694539601E-2</v>
      </c>
      <c r="AK1846" s="14">
        <v>6.5934172532306698E-2</v>
      </c>
      <c r="AL1846" s="14">
        <v>5.2606563795655301E-2</v>
      </c>
      <c r="AM1846" s="14">
        <v>0.110138099271459</v>
      </c>
      <c r="AN1846" s="14">
        <v>8.6281349490574297E-2</v>
      </c>
      <c r="AO1846" s="14"/>
      <c r="AP1846" s="14">
        <v>5.64372516578283E-2</v>
      </c>
      <c r="AQ1846" s="14">
        <v>8.5838262285596503E-2</v>
      </c>
      <c r="AR1846" s="14"/>
      <c r="AS1846" s="14">
        <v>4.2634367981905397E-2</v>
      </c>
      <c r="AT1846" s="14">
        <v>6.3928305558434401E-2</v>
      </c>
      <c r="AU1846" s="14">
        <v>8.0419710579268694E-2</v>
      </c>
      <c r="AV1846" s="14"/>
      <c r="AW1846" s="14">
        <v>6.7526723424121304E-2</v>
      </c>
      <c r="AX1846" s="14">
        <v>4.90004356158752E-2</v>
      </c>
      <c r="AY1846" s="14"/>
      <c r="AZ1846" s="14">
        <v>5.72623409883792E-2</v>
      </c>
      <c r="BA1846" s="14">
        <v>0.122788347909944</v>
      </c>
    </row>
    <row r="1847" spans="2:53" x14ac:dyDescent="0.35">
      <c r="C1847" s="14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/>
      <c r="AM1847" s="14"/>
      <c r="AN1847" s="14"/>
      <c r="AO1847" s="14"/>
      <c r="AP1847" s="14"/>
      <c r="AQ1847" s="14"/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</row>
    <row r="1848" spans="2:53" x14ac:dyDescent="0.35">
      <c r="B1848" s="6" t="s">
        <v>428</v>
      </c>
      <c r="C1848" s="14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  <c r="AL1848" s="14"/>
      <c r="AM1848" s="14"/>
      <c r="AN1848" s="14"/>
      <c r="AO1848" s="14"/>
      <c r="AP1848" s="14"/>
      <c r="AQ1848" s="14"/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</row>
    <row r="1849" spans="2:53" x14ac:dyDescent="0.35">
      <c r="B1849" s="24" t="s">
        <v>118</v>
      </c>
      <c r="C1849" s="14"/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  <c r="AL1849" s="14"/>
      <c r="AM1849" s="14"/>
      <c r="AN1849" s="14"/>
      <c r="AO1849" s="14"/>
      <c r="AP1849" s="14"/>
      <c r="AQ1849" s="14"/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</row>
    <row r="1850" spans="2:53" x14ac:dyDescent="0.35">
      <c r="B1850" t="s">
        <v>422</v>
      </c>
      <c r="C1850" s="14">
        <v>0.26831984829557598</v>
      </c>
      <c r="D1850" s="14">
        <v>0.29417697564046802</v>
      </c>
      <c r="E1850" s="14">
        <v>0.242702185671691</v>
      </c>
      <c r="F1850" s="14"/>
      <c r="G1850" s="14">
        <v>0.18970316391389799</v>
      </c>
      <c r="H1850" s="14">
        <v>0.26795760180421102</v>
      </c>
      <c r="I1850" s="14">
        <v>0.26509856291801998</v>
      </c>
      <c r="J1850" s="14">
        <v>0.265076798044247</v>
      </c>
      <c r="K1850" s="14">
        <v>0.28006602589832802</v>
      </c>
      <c r="L1850" s="14">
        <v>0.38545309985651899</v>
      </c>
      <c r="M1850" s="14"/>
      <c r="N1850" s="14">
        <v>0.26606240413481203</v>
      </c>
      <c r="O1850" s="14">
        <v>0.25605635879475702</v>
      </c>
      <c r="P1850" s="14">
        <v>0.26745157591892998</v>
      </c>
      <c r="Q1850" s="14">
        <v>0.28484157048369702</v>
      </c>
      <c r="R1850" s="14"/>
      <c r="S1850" s="14">
        <v>0.333901054894997</v>
      </c>
      <c r="T1850" s="14">
        <v>0.273515704868729</v>
      </c>
      <c r="U1850" s="14">
        <v>0.247886312450119</v>
      </c>
      <c r="V1850" s="14">
        <v>0.211607562837763</v>
      </c>
      <c r="W1850" s="14">
        <v>0.28504405851469</v>
      </c>
      <c r="X1850" s="14">
        <v>0.23648184259612301</v>
      </c>
      <c r="Y1850" s="14">
        <v>0.25810091823598402</v>
      </c>
      <c r="Z1850" s="14">
        <v>0.273051946756803</v>
      </c>
      <c r="AA1850" s="14">
        <v>0.26407632837954698</v>
      </c>
      <c r="AB1850" s="14"/>
      <c r="AC1850" s="14">
        <v>0.275155234412229</v>
      </c>
      <c r="AD1850" s="14">
        <v>0.227264412035487</v>
      </c>
      <c r="AE1850" s="14">
        <v>0.245689670937736</v>
      </c>
      <c r="AF1850" s="14">
        <v>0.36026516248159302</v>
      </c>
      <c r="AG1850" s="14">
        <v>0.37084625471001897</v>
      </c>
      <c r="AH1850" s="14"/>
      <c r="AI1850" s="14">
        <v>0.29681974138976402</v>
      </c>
      <c r="AJ1850" s="14">
        <v>0.28610781379832101</v>
      </c>
      <c r="AK1850" s="14">
        <v>0.28689661417478102</v>
      </c>
      <c r="AL1850" s="14">
        <v>0.24274409609522099</v>
      </c>
      <c r="AM1850" s="14">
        <v>0.211206375684239</v>
      </c>
      <c r="AN1850" s="14">
        <v>0.27004643184701099</v>
      </c>
      <c r="AO1850" s="14"/>
      <c r="AP1850" s="14">
        <v>0.27717818992337001</v>
      </c>
      <c r="AQ1850" s="14">
        <v>0.25855089609477899</v>
      </c>
      <c r="AR1850" s="14"/>
      <c r="AS1850" s="14">
        <v>0.21910195130391999</v>
      </c>
      <c r="AT1850" s="14">
        <v>0.27613963842364297</v>
      </c>
      <c r="AU1850" s="14">
        <v>0.279253825903788</v>
      </c>
      <c r="AV1850" s="14"/>
      <c r="AW1850" s="14">
        <v>0.263611449050622</v>
      </c>
      <c r="AX1850" s="14">
        <v>0.346465853933283</v>
      </c>
      <c r="AY1850" s="14"/>
      <c r="AZ1850" s="14">
        <v>0.29387617421088302</v>
      </c>
      <c r="BA1850" s="14">
        <v>0.17348851487468001</v>
      </c>
    </row>
    <row r="1851" spans="2:53" x14ac:dyDescent="0.35">
      <c r="B1851" t="s">
        <v>423</v>
      </c>
      <c r="C1851" s="14">
        <v>0.43929856663595401</v>
      </c>
      <c r="D1851" s="14">
        <v>0.43933384910709899</v>
      </c>
      <c r="E1851" s="14">
        <v>0.43871964781262401</v>
      </c>
      <c r="F1851" s="14"/>
      <c r="G1851" s="14">
        <v>0.65259762814454003</v>
      </c>
      <c r="H1851" s="14">
        <v>0.38779408446660901</v>
      </c>
      <c r="I1851" s="14">
        <v>0.44071631799904898</v>
      </c>
      <c r="J1851" s="14">
        <v>0.462259334687672</v>
      </c>
      <c r="K1851" s="14">
        <v>0.43772210427788499</v>
      </c>
      <c r="L1851" s="14">
        <v>0.38421044861829801</v>
      </c>
      <c r="M1851" s="14"/>
      <c r="N1851" s="14">
        <v>0.45571789689840297</v>
      </c>
      <c r="O1851" s="14">
        <v>0.45622517531501799</v>
      </c>
      <c r="P1851" s="14">
        <v>0.45727144733658198</v>
      </c>
      <c r="Q1851" s="14">
        <v>0.38775707150277</v>
      </c>
      <c r="R1851" s="14"/>
      <c r="S1851" s="14">
        <v>0.35161279977486798</v>
      </c>
      <c r="T1851" s="14">
        <v>0.47390215496007598</v>
      </c>
      <c r="U1851" s="14">
        <v>0.45491077380741601</v>
      </c>
      <c r="V1851" s="14">
        <v>0.47857473701977898</v>
      </c>
      <c r="W1851" s="14">
        <v>0.40601444330967601</v>
      </c>
      <c r="X1851" s="14">
        <v>0.41658546428546001</v>
      </c>
      <c r="Y1851" s="14">
        <v>0.44862968273798198</v>
      </c>
      <c r="Z1851" s="14">
        <v>0.51089754698933298</v>
      </c>
      <c r="AA1851" s="14">
        <v>0.46521727011052599</v>
      </c>
      <c r="AB1851" s="14"/>
      <c r="AC1851" s="14">
        <v>0.41566845678243303</v>
      </c>
      <c r="AD1851" s="14">
        <v>0.47032775419880102</v>
      </c>
      <c r="AE1851" s="14">
        <v>0.47327575745029898</v>
      </c>
      <c r="AF1851" s="14">
        <v>0.37244425331307501</v>
      </c>
      <c r="AG1851" s="14">
        <v>0.39371923236788797</v>
      </c>
      <c r="AH1851" s="14"/>
      <c r="AI1851" s="14">
        <v>0.40193375494854799</v>
      </c>
      <c r="AJ1851" s="14">
        <v>0.48462559670259098</v>
      </c>
      <c r="AK1851" s="14">
        <v>0.41491990462634998</v>
      </c>
      <c r="AL1851" s="14">
        <v>0.50778247507272201</v>
      </c>
      <c r="AM1851" s="14">
        <v>0.38049283567382203</v>
      </c>
      <c r="AN1851" s="14">
        <v>0.39074690316250499</v>
      </c>
      <c r="AO1851" s="14"/>
      <c r="AP1851" s="14">
        <v>0.44122458273805798</v>
      </c>
      <c r="AQ1851" s="14">
        <v>0.43854728369748902</v>
      </c>
      <c r="AR1851" s="14"/>
      <c r="AS1851" s="14">
        <v>0.468060817667041</v>
      </c>
      <c r="AT1851" s="14">
        <v>0.42642257877294298</v>
      </c>
      <c r="AU1851" s="14">
        <v>0.43536501000434702</v>
      </c>
      <c r="AV1851" s="14"/>
      <c r="AW1851" s="14">
        <v>0.43671866309480001</v>
      </c>
      <c r="AX1851" s="14">
        <v>0.42188610480211403</v>
      </c>
      <c r="AY1851" s="14"/>
      <c r="AZ1851" s="14">
        <v>0.43812611655691203</v>
      </c>
      <c r="BA1851" s="14">
        <v>0.44183639142645598</v>
      </c>
    </row>
    <row r="1852" spans="2:53" x14ac:dyDescent="0.35">
      <c r="B1852" t="s">
        <v>87</v>
      </c>
      <c r="C1852" s="14">
        <v>0.163255233429282</v>
      </c>
      <c r="D1852" s="14">
        <v>0.14575302435739901</v>
      </c>
      <c r="E1852" s="14">
        <v>0.18092971550019901</v>
      </c>
      <c r="F1852" s="14"/>
      <c r="G1852" s="14">
        <v>0.157699207941562</v>
      </c>
      <c r="H1852" s="14">
        <v>0.15237612783465601</v>
      </c>
      <c r="I1852" s="14">
        <v>0.150851360900813</v>
      </c>
      <c r="J1852" s="14">
        <v>0.17911853150686399</v>
      </c>
      <c r="K1852" s="14">
        <v>0.17713498333525901</v>
      </c>
      <c r="L1852" s="14">
        <v>0.23033645152518301</v>
      </c>
      <c r="M1852" s="14"/>
      <c r="N1852" s="14">
        <v>0.17307049787412099</v>
      </c>
      <c r="O1852" s="14">
        <v>0.172970646365042</v>
      </c>
      <c r="P1852" s="14">
        <v>0.13415790781703399</v>
      </c>
      <c r="Q1852" s="14">
        <v>0.16649662228207401</v>
      </c>
      <c r="R1852" s="14"/>
      <c r="S1852" s="14">
        <v>0.13709773313922</v>
      </c>
      <c r="T1852" s="14">
        <v>0.165426364299087</v>
      </c>
      <c r="U1852" s="14">
        <v>0.145436980549765</v>
      </c>
      <c r="V1852" s="14">
        <v>0.20673837739342199</v>
      </c>
      <c r="W1852" s="14">
        <v>0.180474849908457</v>
      </c>
      <c r="X1852" s="14">
        <v>0.18387401572689399</v>
      </c>
      <c r="Y1852" s="14">
        <v>0.18597522742234299</v>
      </c>
      <c r="Z1852" s="14">
        <v>0.128011900463008</v>
      </c>
      <c r="AA1852" s="14">
        <v>0.13782805153410699</v>
      </c>
      <c r="AB1852" s="14"/>
      <c r="AC1852" s="14">
        <v>0.163829024437469</v>
      </c>
      <c r="AD1852" s="14">
        <v>0.18433119457865199</v>
      </c>
      <c r="AE1852" s="14">
        <v>0.17021299938835999</v>
      </c>
      <c r="AF1852" s="14">
        <v>0.116576829444487</v>
      </c>
      <c r="AG1852" s="14">
        <v>0.13664396106948001</v>
      </c>
      <c r="AH1852" s="14"/>
      <c r="AI1852" s="14">
        <v>0.134733105238661</v>
      </c>
      <c r="AJ1852" s="14">
        <v>0.109100828855922</v>
      </c>
      <c r="AK1852" s="14">
        <v>0.22154449778257801</v>
      </c>
      <c r="AL1852" s="14">
        <v>0.14876344086169899</v>
      </c>
      <c r="AM1852" s="14">
        <v>0.223471618838122</v>
      </c>
      <c r="AN1852" s="14">
        <v>0.223957040209673</v>
      </c>
      <c r="AO1852" s="14"/>
      <c r="AP1852" s="14">
        <v>0.15076018433308599</v>
      </c>
      <c r="AQ1852" s="14">
        <v>0.17528409254417801</v>
      </c>
      <c r="AR1852" s="14"/>
      <c r="AS1852" s="14">
        <v>0.17457188010492999</v>
      </c>
      <c r="AT1852" s="14">
        <v>0.14761743876206099</v>
      </c>
      <c r="AU1852" s="14">
        <v>0.16483355022363699</v>
      </c>
      <c r="AV1852" s="14"/>
      <c r="AW1852" s="14">
        <v>0.180918761074118</v>
      </c>
      <c r="AX1852" s="14">
        <v>9.2492727194510196E-2</v>
      </c>
      <c r="AY1852" s="14"/>
      <c r="AZ1852" s="14">
        <v>0.146826333216099</v>
      </c>
      <c r="BA1852" s="14">
        <v>0.22544803484998499</v>
      </c>
    </row>
    <row r="1853" spans="2:53" x14ac:dyDescent="0.35">
      <c r="B1853" t="s">
        <v>424</v>
      </c>
      <c r="C1853" s="14">
        <v>0.105783060394329</v>
      </c>
      <c r="D1853" s="14">
        <v>9.8081507056864803E-2</v>
      </c>
      <c r="E1853" s="14">
        <v>0.113593330066295</v>
      </c>
      <c r="F1853" s="14"/>
      <c r="G1853" s="14">
        <v>0</v>
      </c>
      <c r="H1853" s="14">
        <v>0.14299520023967099</v>
      </c>
      <c r="I1853" s="14">
        <v>0.121515626516427</v>
      </c>
      <c r="J1853" s="14">
        <v>7.6439079292999507E-2</v>
      </c>
      <c r="K1853" s="14">
        <v>9.0326676890892896E-2</v>
      </c>
      <c r="L1853" s="14">
        <v>0</v>
      </c>
      <c r="M1853" s="14"/>
      <c r="N1853" s="14">
        <v>8.3951432421039293E-2</v>
      </c>
      <c r="O1853" s="14">
        <v>9.6203628071697703E-2</v>
      </c>
      <c r="P1853" s="14">
        <v>0.124959432606377</v>
      </c>
      <c r="Q1853" s="14">
        <v>0.123668853353852</v>
      </c>
      <c r="R1853" s="14"/>
      <c r="S1853" s="14">
        <v>0.13225109075146099</v>
      </c>
      <c r="T1853" s="14">
        <v>7.7688557518955897E-2</v>
      </c>
      <c r="U1853" s="14">
        <v>0.13648035550825399</v>
      </c>
      <c r="V1853" s="14">
        <v>7.7293047244722995E-2</v>
      </c>
      <c r="W1853" s="14">
        <v>9.8379550624043896E-2</v>
      </c>
      <c r="X1853" s="14">
        <v>0.13299236842072301</v>
      </c>
      <c r="Y1853" s="14">
        <v>9.2135240738470195E-2</v>
      </c>
      <c r="Z1853" s="14">
        <v>7.5912631239931597E-2</v>
      </c>
      <c r="AA1853" s="14">
        <v>0.114362825178922</v>
      </c>
      <c r="AB1853" s="14"/>
      <c r="AC1853" s="14">
        <v>0.108542816451041</v>
      </c>
      <c r="AD1853" s="14">
        <v>0.109971457797217</v>
      </c>
      <c r="AE1853" s="14">
        <v>9.2181855001802496E-2</v>
      </c>
      <c r="AF1853" s="14">
        <v>0.115548829733103</v>
      </c>
      <c r="AG1853" s="14">
        <v>8.8083935769417102E-2</v>
      </c>
      <c r="AH1853" s="14"/>
      <c r="AI1853" s="14">
        <v>0.13701815287727401</v>
      </c>
      <c r="AJ1853" s="14">
        <v>0.101692775033647</v>
      </c>
      <c r="AK1853" s="14">
        <v>6.5492526848039703E-2</v>
      </c>
      <c r="AL1853" s="14">
        <v>8.5032047216698103E-2</v>
      </c>
      <c r="AM1853" s="14">
        <v>0.17483327820088401</v>
      </c>
      <c r="AN1853" s="14">
        <v>7.22651271921122E-2</v>
      </c>
      <c r="AO1853" s="14"/>
      <c r="AP1853" s="14">
        <v>0.10723375963680699</v>
      </c>
      <c r="AQ1853" s="14">
        <v>0.104491734110064</v>
      </c>
      <c r="AR1853" s="14"/>
      <c r="AS1853" s="14">
        <v>0.11379558751026</v>
      </c>
      <c r="AT1853" s="14">
        <v>0.126895913796473</v>
      </c>
      <c r="AU1853" s="14">
        <v>9.7383640367857197E-2</v>
      </c>
      <c r="AV1853" s="14"/>
      <c r="AW1853" s="14">
        <v>9.8554210377807899E-2</v>
      </c>
      <c r="AX1853" s="14">
        <v>0.10298594735434299</v>
      </c>
      <c r="AY1853" s="14"/>
      <c r="AZ1853" s="14">
        <v>0.100379169309031</v>
      </c>
      <c r="BA1853" s="14">
        <v>0.12588086382184599</v>
      </c>
    </row>
    <row r="1854" spans="2:53" x14ac:dyDescent="0.35">
      <c r="B1854" t="s">
        <v>425</v>
      </c>
      <c r="C1854" s="14">
        <v>2.3343291244859499E-2</v>
      </c>
      <c r="D1854" s="14">
        <v>2.2654643838169099E-2</v>
      </c>
      <c r="E1854" s="14">
        <v>2.4055120949190802E-2</v>
      </c>
      <c r="F1854" s="14"/>
      <c r="G1854" s="14">
        <v>0</v>
      </c>
      <c r="H1854" s="14">
        <v>4.8876985654853398E-2</v>
      </c>
      <c r="I1854" s="14">
        <v>2.1818131665690001E-2</v>
      </c>
      <c r="J1854" s="14">
        <v>1.7106256468218398E-2</v>
      </c>
      <c r="K1854" s="14">
        <v>1.47502095976348E-2</v>
      </c>
      <c r="L1854" s="14">
        <v>0</v>
      </c>
      <c r="M1854" s="14"/>
      <c r="N1854" s="14">
        <v>2.1197768671625698E-2</v>
      </c>
      <c r="O1854" s="14">
        <v>1.8544191453485698E-2</v>
      </c>
      <c r="P1854" s="14">
        <v>1.6159636321077399E-2</v>
      </c>
      <c r="Q1854" s="14">
        <v>3.7235882377607402E-2</v>
      </c>
      <c r="R1854" s="14"/>
      <c r="S1854" s="14">
        <v>4.5137321439454002E-2</v>
      </c>
      <c r="T1854" s="14">
        <v>9.4672183531514294E-3</v>
      </c>
      <c r="U1854" s="14">
        <v>1.5285577684446E-2</v>
      </c>
      <c r="V1854" s="14">
        <v>2.5786275504312901E-2</v>
      </c>
      <c r="W1854" s="14">
        <v>3.00870976431327E-2</v>
      </c>
      <c r="X1854" s="14">
        <v>3.0066308970799701E-2</v>
      </c>
      <c r="Y1854" s="14">
        <v>1.5158930865221E-2</v>
      </c>
      <c r="Z1854" s="14">
        <v>1.2125974550924601E-2</v>
      </c>
      <c r="AA1854" s="14">
        <v>1.8515524796897501E-2</v>
      </c>
      <c r="AB1854" s="14"/>
      <c r="AC1854" s="14">
        <v>3.6804467916828003E-2</v>
      </c>
      <c r="AD1854" s="14">
        <v>8.1051813898426698E-3</v>
      </c>
      <c r="AE1854" s="14">
        <v>1.8639717221802E-2</v>
      </c>
      <c r="AF1854" s="14">
        <v>3.5164925027741302E-2</v>
      </c>
      <c r="AG1854" s="14">
        <v>1.07066160831959E-2</v>
      </c>
      <c r="AH1854" s="14"/>
      <c r="AI1854" s="14">
        <v>2.9495245545753699E-2</v>
      </c>
      <c r="AJ1854" s="14">
        <v>1.84729856095187E-2</v>
      </c>
      <c r="AK1854" s="14">
        <v>1.11464565682517E-2</v>
      </c>
      <c r="AL1854" s="14">
        <v>1.5677940753660299E-2</v>
      </c>
      <c r="AM1854" s="14">
        <v>9.9958916029331598E-3</v>
      </c>
      <c r="AN1854" s="14">
        <v>4.29844975886991E-2</v>
      </c>
      <c r="AO1854" s="14"/>
      <c r="AP1854" s="14">
        <v>2.3603283368679999E-2</v>
      </c>
      <c r="AQ1854" s="14">
        <v>2.3125993553489502E-2</v>
      </c>
      <c r="AR1854" s="14"/>
      <c r="AS1854" s="14">
        <v>2.4469763413849401E-2</v>
      </c>
      <c r="AT1854" s="14">
        <v>2.2924430244880601E-2</v>
      </c>
      <c r="AU1854" s="14">
        <v>2.31639735003717E-2</v>
      </c>
      <c r="AV1854" s="14"/>
      <c r="AW1854" s="14">
        <v>2.0196916402652601E-2</v>
      </c>
      <c r="AX1854" s="14">
        <v>3.6169366715748698E-2</v>
      </c>
      <c r="AY1854" s="14"/>
      <c r="AZ1854" s="14">
        <v>2.07922067070751E-2</v>
      </c>
      <c r="BA1854" s="14">
        <v>3.3346195027033197E-2</v>
      </c>
    </row>
    <row r="1855" spans="2:53" x14ac:dyDescent="0.35">
      <c r="C1855" s="14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/>
      <c r="AO1855" s="14"/>
      <c r="AP1855" s="14"/>
      <c r="AQ1855" s="14"/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</row>
    <row r="1856" spans="2:53" x14ac:dyDescent="0.35">
      <c r="B1856" s="6" t="s">
        <v>429</v>
      </c>
      <c r="C1856" s="14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/>
      <c r="AN1856" s="14"/>
      <c r="AO1856" s="14"/>
      <c r="AP1856" s="14"/>
      <c r="AQ1856" s="14"/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</row>
    <row r="1857" spans="2:53" x14ac:dyDescent="0.35">
      <c r="B1857" s="24" t="s">
        <v>118</v>
      </c>
      <c r="C1857" s="14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/>
      <c r="AO1857" s="14"/>
      <c r="AP1857" s="14"/>
      <c r="AQ1857" s="14"/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</row>
    <row r="1858" spans="2:53" x14ac:dyDescent="0.35">
      <c r="B1858" t="s">
        <v>422</v>
      </c>
      <c r="C1858" s="14">
        <v>0.111359918871077</v>
      </c>
      <c r="D1858" s="14">
        <v>0.12876593853864399</v>
      </c>
      <c r="E1858" s="14">
        <v>9.4047946474814001E-2</v>
      </c>
      <c r="F1858" s="14"/>
      <c r="G1858" s="14">
        <v>0.26444187673094899</v>
      </c>
      <c r="H1858" s="14">
        <v>0.107749689179348</v>
      </c>
      <c r="I1858" s="14">
        <v>0.113987041417596</v>
      </c>
      <c r="J1858" s="14">
        <v>9.2021876906212899E-2</v>
      </c>
      <c r="K1858" s="14">
        <v>0.14055845786366999</v>
      </c>
      <c r="L1858" s="14">
        <v>0.22355518686089099</v>
      </c>
      <c r="M1858" s="14"/>
      <c r="N1858" s="14">
        <v>0.11184600138202901</v>
      </c>
      <c r="O1858" s="14">
        <v>8.4411754259227506E-2</v>
      </c>
      <c r="P1858" s="14">
        <v>0.111529878190797</v>
      </c>
      <c r="Q1858" s="14">
        <v>0.13997773299990299</v>
      </c>
      <c r="R1858" s="14"/>
      <c r="S1858" s="14">
        <v>0.13039880233537099</v>
      </c>
      <c r="T1858" s="14">
        <v>0.15191732982365599</v>
      </c>
      <c r="U1858" s="14">
        <v>9.7965578125184999E-2</v>
      </c>
      <c r="V1858" s="14">
        <v>6.72829660792129E-2</v>
      </c>
      <c r="W1858" s="14">
        <v>0.114137249804415</v>
      </c>
      <c r="X1858" s="14">
        <v>0.10353740084539401</v>
      </c>
      <c r="Y1858" s="14">
        <v>8.1962504459149599E-2</v>
      </c>
      <c r="Z1858" s="14">
        <v>0.12696842155037899</v>
      </c>
      <c r="AA1858" s="14">
        <v>0.106488480280766</v>
      </c>
      <c r="AB1858" s="14"/>
      <c r="AC1858" s="14">
        <v>0.118575297047312</v>
      </c>
      <c r="AD1858" s="14">
        <v>8.3602916840147395E-2</v>
      </c>
      <c r="AE1858" s="14">
        <v>9.8746094138863205E-2</v>
      </c>
      <c r="AF1858" s="14">
        <v>0.145457106860646</v>
      </c>
      <c r="AG1858" s="14">
        <v>0.24326349395174399</v>
      </c>
      <c r="AH1858" s="14"/>
      <c r="AI1858" s="14">
        <v>0.13761953355314099</v>
      </c>
      <c r="AJ1858" s="14">
        <v>0.107238154320806</v>
      </c>
      <c r="AK1858" s="14">
        <v>0.117978501918059</v>
      </c>
      <c r="AL1858" s="14">
        <v>0.102882790895531</v>
      </c>
      <c r="AM1858" s="14">
        <v>8.2893346974895199E-2</v>
      </c>
      <c r="AN1858" s="14">
        <v>9.8397123252879998E-2</v>
      </c>
      <c r="AO1858" s="14"/>
      <c r="AP1858" s="14">
        <v>0.109996585431896</v>
      </c>
      <c r="AQ1858" s="14">
        <v>0.112585939441361</v>
      </c>
      <c r="AR1858" s="14"/>
      <c r="AS1858" s="14">
        <v>0.11816143442725199</v>
      </c>
      <c r="AT1858" s="14">
        <v>0.10089688024071899</v>
      </c>
      <c r="AU1858" s="14">
        <v>0.112623264299943</v>
      </c>
      <c r="AV1858" s="14"/>
      <c r="AW1858" s="14">
        <v>0.107133584752136</v>
      </c>
      <c r="AX1858" s="14">
        <v>0.15745588866489699</v>
      </c>
      <c r="AY1858" s="14"/>
      <c r="AZ1858" s="14">
        <v>0.11921953595775001</v>
      </c>
      <c r="BA1858" s="14">
        <v>7.9213298218333297E-2</v>
      </c>
    </row>
    <row r="1859" spans="2:53" x14ac:dyDescent="0.35">
      <c r="B1859" t="s">
        <v>423</v>
      </c>
      <c r="C1859" s="14">
        <v>0.20293071809954899</v>
      </c>
      <c r="D1859" s="14">
        <v>0.20476036305256001</v>
      </c>
      <c r="E1859" s="14">
        <v>0.200326839985664</v>
      </c>
      <c r="F1859" s="14"/>
      <c r="G1859" s="14">
        <v>0.22373642782929901</v>
      </c>
      <c r="H1859" s="14">
        <v>0.19619989260517301</v>
      </c>
      <c r="I1859" s="14">
        <v>0.21520652982194499</v>
      </c>
      <c r="J1859" s="14">
        <v>0.19187865623052699</v>
      </c>
      <c r="K1859" s="14">
        <v>0.192442629780116</v>
      </c>
      <c r="L1859" s="14">
        <v>0.19150783675483801</v>
      </c>
      <c r="M1859" s="14"/>
      <c r="N1859" s="14">
        <v>0.17534432639042</v>
      </c>
      <c r="O1859" s="14">
        <v>0.19630274484044499</v>
      </c>
      <c r="P1859" s="14">
        <v>0.24408549966266799</v>
      </c>
      <c r="Q1859" s="14">
        <v>0.204090815502977</v>
      </c>
      <c r="R1859" s="14"/>
      <c r="S1859" s="14">
        <v>0.203736124638108</v>
      </c>
      <c r="T1859" s="14">
        <v>0.199295965041312</v>
      </c>
      <c r="U1859" s="14">
        <v>0.23565439872248001</v>
      </c>
      <c r="V1859" s="14">
        <v>0.17147977940216599</v>
      </c>
      <c r="W1859" s="14">
        <v>0.19333510547010699</v>
      </c>
      <c r="X1859" s="14">
        <v>0.210401434186096</v>
      </c>
      <c r="Y1859" s="14">
        <v>0.21086979899625299</v>
      </c>
      <c r="Z1859" s="14">
        <v>0.199516361986977</v>
      </c>
      <c r="AA1859" s="14">
        <v>0.20384974777443801</v>
      </c>
      <c r="AB1859" s="14"/>
      <c r="AC1859" s="14">
        <v>0.22531823203596801</v>
      </c>
      <c r="AD1859" s="14">
        <v>0.21792984974087201</v>
      </c>
      <c r="AE1859" s="14">
        <v>0.20053187826730801</v>
      </c>
      <c r="AF1859" s="14">
        <v>0.1885120295646</v>
      </c>
      <c r="AG1859" s="14">
        <v>0.166532127687752</v>
      </c>
      <c r="AH1859" s="14"/>
      <c r="AI1859" s="14">
        <v>0.18713815188156999</v>
      </c>
      <c r="AJ1859" s="14">
        <v>0.25882527547067602</v>
      </c>
      <c r="AK1859" s="14">
        <v>0.17502752693788101</v>
      </c>
      <c r="AL1859" s="14">
        <v>0.15314841087449699</v>
      </c>
      <c r="AM1859" s="14">
        <v>0.18159469531092101</v>
      </c>
      <c r="AN1859" s="14">
        <v>0.18659396035492001</v>
      </c>
      <c r="AO1859" s="14"/>
      <c r="AP1859" s="14">
        <v>0.199684348647928</v>
      </c>
      <c r="AQ1859" s="14">
        <v>0.20723733646093201</v>
      </c>
      <c r="AR1859" s="14"/>
      <c r="AS1859" s="14">
        <v>0.19887326630578001</v>
      </c>
      <c r="AT1859" s="14">
        <v>0.24569230589857399</v>
      </c>
      <c r="AU1859" s="14">
        <v>0.19137832316328801</v>
      </c>
      <c r="AV1859" s="14"/>
      <c r="AW1859" s="14">
        <v>0.198722652105432</v>
      </c>
      <c r="AX1859" s="14">
        <v>0.21429922490235401</v>
      </c>
      <c r="AY1859" s="14"/>
      <c r="AZ1859" s="14">
        <v>0.194449300916196</v>
      </c>
      <c r="BA1859" s="14">
        <v>0.232814309041391</v>
      </c>
    </row>
    <row r="1860" spans="2:53" x14ac:dyDescent="0.35">
      <c r="B1860" t="s">
        <v>87</v>
      </c>
      <c r="C1860" s="14">
        <v>0.14015424476638899</v>
      </c>
      <c r="D1860" s="14">
        <v>0.101985997970219</v>
      </c>
      <c r="E1860" s="14">
        <v>0.178488892294765</v>
      </c>
      <c r="F1860" s="14"/>
      <c r="G1860" s="14">
        <v>0</v>
      </c>
      <c r="H1860" s="14">
        <v>0.15721367816325699</v>
      </c>
      <c r="I1860" s="14">
        <v>0.14795374174588599</v>
      </c>
      <c r="J1860" s="14">
        <v>0.13409490910608901</v>
      </c>
      <c r="K1860" s="14">
        <v>0.11699230723423901</v>
      </c>
      <c r="L1860" s="14">
        <v>5.8114362938994198E-2</v>
      </c>
      <c r="M1860" s="14"/>
      <c r="N1860" s="14">
        <v>0.12291672023101601</v>
      </c>
      <c r="O1860" s="14">
        <v>0.14914329786223701</v>
      </c>
      <c r="P1860" s="14">
        <v>0.13361870796622199</v>
      </c>
      <c r="Q1860" s="14">
        <v>0.156807533963256</v>
      </c>
      <c r="R1860" s="14"/>
      <c r="S1860" s="14">
        <v>0.11400621988463</v>
      </c>
      <c r="T1860" s="14">
        <v>0.105501007018655</v>
      </c>
      <c r="U1860" s="14">
        <v>0.16771276324811299</v>
      </c>
      <c r="V1860" s="14">
        <v>0.18507451575199699</v>
      </c>
      <c r="W1860" s="14">
        <v>0.15988352161806399</v>
      </c>
      <c r="X1860" s="14">
        <v>0.16437002224658101</v>
      </c>
      <c r="Y1860" s="14">
        <v>0.126494830932047</v>
      </c>
      <c r="Z1860" s="14">
        <v>0.160065444620621</v>
      </c>
      <c r="AA1860" s="14">
        <v>0.12617311712580301</v>
      </c>
      <c r="AB1860" s="14"/>
      <c r="AC1860" s="14">
        <v>0.15948652374013</v>
      </c>
      <c r="AD1860" s="14">
        <v>0.12353430082500701</v>
      </c>
      <c r="AE1860" s="14">
        <v>0.153667174794792</v>
      </c>
      <c r="AF1860" s="14">
        <v>0.115650858517264</v>
      </c>
      <c r="AG1860" s="14">
        <v>0.15327441598708899</v>
      </c>
      <c r="AH1860" s="14"/>
      <c r="AI1860" s="14">
        <v>0.13086412304796</v>
      </c>
      <c r="AJ1860" s="14">
        <v>9.2569866129095596E-2</v>
      </c>
      <c r="AK1860" s="14">
        <v>0.13445481439791801</v>
      </c>
      <c r="AL1860" s="14">
        <v>0.109889749770598</v>
      </c>
      <c r="AM1860" s="14">
        <v>0.22032809165401701</v>
      </c>
      <c r="AN1860" s="14">
        <v>0.182946295052243</v>
      </c>
      <c r="AO1860" s="14"/>
      <c r="AP1860" s="14">
        <v>0.143045871982974</v>
      </c>
      <c r="AQ1860" s="14">
        <v>0.13479648695292201</v>
      </c>
      <c r="AR1860" s="14"/>
      <c r="AS1860" s="14">
        <v>0.132292443440337</v>
      </c>
      <c r="AT1860" s="14">
        <v>0.111646340882325</v>
      </c>
      <c r="AU1860" s="14">
        <v>0.15069978023205099</v>
      </c>
      <c r="AV1860" s="14"/>
      <c r="AW1860" s="14">
        <v>0.14765213304521499</v>
      </c>
      <c r="AX1860" s="14">
        <v>9.4713262215886801E-2</v>
      </c>
      <c r="AY1860" s="14"/>
      <c r="AZ1860" s="14">
        <v>0.12642096960610599</v>
      </c>
      <c r="BA1860" s="14">
        <v>0.191810295792057</v>
      </c>
    </row>
    <row r="1861" spans="2:53" x14ac:dyDescent="0.35">
      <c r="B1861" t="s">
        <v>424</v>
      </c>
      <c r="C1861" s="14">
        <v>0.36382963274934699</v>
      </c>
      <c r="D1861" s="14">
        <v>0.37964813823815002</v>
      </c>
      <c r="E1861" s="14">
        <v>0.34835121693660298</v>
      </c>
      <c r="F1861" s="14"/>
      <c r="G1861" s="14">
        <v>0.464669165667835</v>
      </c>
      <c r="H1861" s="14">
        <v>0.33000121073176703</v>
      </c>
      <c r="I1861" s="14">
        <v>0.344329291153672</v>
      </c>
      <c r="J1861" s="14">
        <v>0.39470828463638702</v>
      </c>
      <c r="K1861" s="14">
        <v>0.39299260824759602</v>
      </c>
      <c r="L1861" s="14">
        <v>0.43277332413825798</v>
      </c>
      <c r="M1861" s="14"/>
      <c r="N1861" s="14">
        <v>0.38331920839102701</v>
      </c>
      <c r="O1861" s="14">
        <v>0.38627929887249002</v>
      </c>
      <c r="P1861" s="14">
        <v>0.34518163606041402</v>
      </c>
      <c r="Q1861" s="14">
        <v>0.33665911010410898</v>
      </c>
      <c r="R1861" s="14"/>
      <c r="S1861" s="14">
        <v>0.34162192517833201</v>
      </c>
      <c r="T1861" s="14">
        <v>0.36836152165305103</v>
      </c>
      <c r="U1861" s="14">
        <v>0.406088203297999</v>
      </c>
      <c r="V1861" s="14">
        <v>0.400729905569848</v>
      </c>
      <c r="W1861" s="14">
        <v>0.33129882000600203</v>
      </c>
      <c r="X1861" s="14">
        <v>0.37819681924996201</v>
      </c>
      <c r="Y1861" s="14">
        <v>0.389923960852323</v>
      </c>
      <c r="Z1861" s="14">
        <v>0.34023222977503398</v>
      </c>
      <c r="AA1861" s="14">
        <v>0.32207836183523197</v>
      </c>
      <c r="AB1861" s="14"/>
      <c r="AC1861" s="14">
        <v>0.31270025393339501</v>
      </c>
      <c r="AD1861" s="14">
        <v>0.397025352854047</v>
      </c>
      <c r="AE1861" s="14">
        <v>0.38491016141360501</v>
      </c>
      <c r="AF1861" s="14">
        <v>0.32053246556061299</v>
      </c>
      <c r="AG1861" s="14">
        <v>0.32389230143589098</v>
      </c>
      <c r="AH1861" s="14"/>
      <c r="AI1861" s="14">
        <v>0.34860778057353897</v>
      </c>
      <c r="AJ1861" s="14">
        <v>0.32543544361009102</v>
      </c>
      <c r="AK1861" s="14">
        <v>0.38181534025393998</v>
      </c>
      <c r="AL1861" s="14">
        <v>0.44209886619850203</v>
      </c>
      <c r="AM1861" s="14">
        <v>0.38824863039012197</v>
      </c>
      <c r="AN1861" s="14">
        <v>0.42279741534349002</v>
      </c>
      <c r="AO1861" s="14"/>
      <c r="AP1861" s="14">
        <v>0.360310450961287</v>
      </c>
      <c r="AQ1861" s="14">
        <v>0.36896174231065498</v>
      </c>
      <c r="AR1861" s="14"/>
      <c r="AS1861" s="14">
        <v>0.40960644316885603</v>
      </c>
      <c r="AT1861" s="14">
        <v>0.35078981593375003</v>
      </c>
      <c r="AU1861" s="14">
        <v>0.35536530840020503</v>
      </c>
      <c r="AV1861" s="14"/>
      <c r="AW1861" s="14">
        <v>0.37386102963753598</v>
      </c>
      <c r="AX1861" s="14">
        <v>0.29005087705654697</v>
      </c>
      <c r="AY1861" s="14"/>
      <c r="AZ1861" s="14">
        <v>0.36636880151451401</v>
      </c>
      <c r="BA1861" s="14">
        <v>0.35710710297562798</v>
      </c>
    </row>
    <row r="1862" spans="2:53" x14ac:dyDescent="0.35">
      <c r="B1862" t="s">
        <v>425</v>
      </c>
      <c r="C1862" s="14">
        <v>0.18172548551363801</v>
      </c>
      <c r="D1862" s="14">
        <v>0.18483956220042699</v>
      </c>
      <c r="E1862" s="14">
        <v>0.178785104308154</v>
      </c>
      <c r="F1862" s="14"/>
      <c r="G1862" s="14">
        <v>4.7152529771917098E-2</v>
      </c>
      <c r="H1862" s="14">
        <v>0.20883552932045499</v>
      </c>
      <c r="I1862" s="14">
        <v>0.17852339586090099</v>
      </c>
      <c r="J1862" s="14">
        <v>0.18729627312078401</v>
      </c>
      <c r="K1862" s="14">
        <v>0.157013996874378</v>
      </c>
      <c r="L1862" s="14">
        <v>9.4049289307019598E-2</v>
      </c>
      <c r="M1862" s="14"/>
      <c r="N1862" s="14">
        <v>0.20657374360550901</v>
      </c>
      <c r="O1862" s="14">
        <v>0.1838629041656</v>
      </c>
      <c r="P1862" s="14">
        <v>0.16558427811989901</v>
      </c>
      <c r="Q1862" s="14">
        <v>0.162464807429754</v>
      </c>
      <c r="R1862" s="14"/>
      <c r="S1862" s="14">
        <v>0.210236927963559</v>
      </c>
      <c r="T1862" s="14">
        <v>0.174924176463327</v>
      </c>
      <c r="U1862" s="14">
        <v>9.2579056606223203E-2</v>
      </c>
      <c r="V1862" s="14">
        <v>0.17543283319677599</v>
      </c>
      <c r="W1862" s="14">
        <v>0.20134530310141299</v>
      </c>
      <c r="X1862" s="14">
        <v>0.143494323471967</v>
      </c>
      <c r="Y1862" s="14">
        <v>0.19074890476022699</v>
      </c>
      <c r="Z1862" s="14">
        <v>0.173217542066989</v>
      </c>
      <c r="AA1862" s="14">
        <v>0.24141029298376099</v>
      </c>
      <c r="AB1862" s="14"/>
      <c r="AC1862" s="14">
        <v>0.18391969324319499</v>
      </c>
      <c r="AD1862" s="14">
        <v>0.17790757973992599</v>
      </c>
      <c r="AE1862" s="14">
        <v>0.162144691385432</v>
      </c>
      <c r="AF1862" s="14">
        <v>0.229847539496878</v>
      </c>
      <c r="AG1862" s="14">
        <v>0.113037660937524</v>
      </c>
      <c r="AH1862" s="14"/>
      <c r="AI1862" s="14">
        <v>0.195770410943791</v>
      </c>
      <c r="AJ1862" s="14">
        <v>0.215931260469331</v>
      </c>
      <c r="AK1862" s="14">
        <v>0.19072381649220199</v>
      </c>
      <c r="AL1862" s="14">
        <v>0.19198018226087099</v>
      </c>
      <c r="AM1862" s="14">
        <v>0.126935235670045</v>
      </c>
      <c r="AN1862" s="14">
        <v>0.109265205996467</v>
      </c>
      <c r="AO1862" s="14"/>
      <c r="AP1862" s="14">
        <v>0.186962742975915</v>
      </c>
      <c r="AQ1862" s="14">
        <v>0.176418494834129</v>
      </c>
      <c r="AR1862" s="14"/>
      <c r="AS1862" s="14">
        <v>0.141066412657776</v>
      </c>
      <c r="AT1862" s="14">
        <v>0.19097465704463201</v>
      </c>
      <c r="AU1862" s="14">
        <v>0.18993332390451401</v>
      </c>
      <c r="AV1862" s="14"/>
      <c r="AW1862" s="14">
        <v>0.17263060045968001</v>
      </c>
      <c r="AX1862" s="14">
        <v>0.24348074716031501</v>
      </c>
      <c r="AY1862" s="14"/>
      <c r="AZ1862" s="14">
        <v>0.19354139200543399</v>
      </c>
      <c r="BA1862" s="14">
        <v>0.139054993972591</v>
      </c>
    </row>
    <row r="1863" spans="2:53" x14ac:dyDescent="0.35">
      <c r="C1863" s="14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4"/>
      <c r="AP1863" s="14"/>
      <c r="AQ1863" s="14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</row>
    <row r="1864" spans="2:53" x14ac:dyDescent="0.35">
      <c r="B1864" s="6" t="s">
        <v>434</v>
      </c>
      <c r="C1864" s="14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/>
      <c r="AN1864" s="14"/>
      <c r="AO1864" s="14"/>
      <c r="AP1864" s="14"/>
      <c r="AQ1864" s="14"/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</row>
    <row r="1865" spans="2:53" x14ac:dyDescent="0.35">
      <c r="B1865" s="24" t="s">
        <v>118</v>
      </c>
      <c r="C1865" s="14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4"/>
      <c r="AP1865" s="14"/>
      <c r="AQ1865" s="14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</row>
    <row r="1866" spans="2:53" x14ac:dyDescent="0.35">
      <c r="B1866" t="s">
        <v>430</v>
      </c>
      <c r="C1866" s="14">
        <v>0.121367795397782</v>
      </c>
      <c r="D1866" s="14">
        <v>0.14272680276047001</v>
      </c>
      <c r="E1866" s="14">
        <v>0.100109377295216</v>
      </c>
      <c r="F1866" s="14"/>
      <c r="G1866" s="14">
        <v>0.359811054253864</v>
      </c>
      <c r="H1866" s="14">
        <v>0.178077811551515</v>
      </c>
      <c r="I1866" s="14">
        <v>0.126595775270269</v>
      </c>
      <c r="J1866" s="14">
        <v>0.102406775453077</v>
      </c>
      <c r="K1866" s="14">
        <v>6.6081758321322404E-2</v>
      </c>
      <c r="L1866" s="14">
        <v>4.0125170077179903E-2</v>
      </c>
      <c r="M1866" s="14"/>
      <c r="N1866" s="14">
        <v>0.15142351895414999</v>
      </c>
      <c r="O1866" s="14">
        <v>9.6532958338951896E-2</v>
      </c>
      <c r="P1866" s="14">
        <v>0.114287943484077</v>
      </c>
      <c r="Q1866" s="14">
        <v>0.11981511518980199</v>
      </c>
      <c r="R1866" s="14"/>
      <c r="S1866" s="14">
        <v>0.173272472942223</v>
      </c>
      <c r="T1866" s="14">
        <v>0.11300846527005499</v>
      </c>
      <c r="U1866" s="14">
        <v>9.9012498724707104E-2</v>
      </c>
      <c r="V1866" s="14">
        <v>0.13852575857956601</v>
      </c>
      <c r="W1866" s="14">
        <v>0.12054680464838601</v>
      </c>
      <c r="X1866" s="14">
        <v>0.13354349141666999</v>
      </c>
      <c r="Y1866" s="14">
        <v>0.13555582630308999</v>
      </c>
      <c r="Z1866" s="14">
        <v>9.4777826045869804E-2</v>
      </c>
      <c r="AA1866" s="14">
        <v>6.09220599012395E-2</v>
      </c>
      <c r="AB1866" s="14"/>
      <c r="AC1866" s="14">
        <v>8.6481655821972397E-2</v>
      </c>
      <c r="AD1866" s="14">
        <v>9.0748291647054793E-2</v>
      </c>
      <c r="AE1866" s="14">
        <v>0.124614774982064</v>
      </c>
      <c r="AF1866" s="14">
        <v>0.19597639616583101</v>
      </c>
      <c r="AG1866" s="14">
        <v>0.33389038319466502</v>
      </c>
      <c r="AH1866" s="14"/>
      <c r="AI1866" s="14">
        <v>0.167652832454569</v>
      </c>
      <c r="AJ1866" s="14">
        <v>0.13243032346608</v>
      </c>
      <c r="AK1866" s="14">
        <v>8.2517068091725806E-2</v>
      </c>
      <c r="AL1866" s="14">
        <v>5.7199152562170397E-2</v>
      </c>
      <c r="AM1866" s="14">
        <v>0.110261699970569</v>
      </c>
      <c r="AN1866" s="14">
        <v>0.13049182324508701</v>
      </c>
      <c r="AO1866" s="14"/>
      <c r="AP1866" s="14">
        <v>0.150419753972549</v>
      </c>
      <c r="AQ1866" s="14">
        <v>8.9071408841717201E-2</v>
      </c>
      <c r="AR1866" s="14"/>
      <c r="AS1866" s="14">
        <v>0.113377393131066</v>
      </c>
      <c r="AT1866" s="14">
        <v>0.14046417668870001</v>
      </c>
      <c r="AU1866" s="14">
        <v>0.117871582763902</v>
      </c>
      <c r="AV1866" s="14"/>
      <c r="AW1866" s="14">
        <v>0.106465460696637</v>
      </c>
      <c r="AX1866" s="14">
        <v>0.22385638325132701</v>
      </c>
      <c r="AY1866" s="14"/>
      <c r="AZ1866" s="14">
        <v>0.13906953616815099</v>
      </c>
      <c r="BA1866" s="14">
        <v>5.7915983879775E-2</v>
      </c>
    </row>
    <row r="1867" spans="2:53" x14ac:dyDescent="0.35">
      <c r="B1867" t="s">
        <v>431</v>
      </c>
      <c r="C1867" s="14">
        <v>0.48768462352156</v>
      </c>
      <c r="D1867" s="14">
        <v>0.54404312007182998</v>
      </c>
      <c r="E1867" s="14">
        <v>0.431753880246736</v>
      </c>
      <c r="F1867" s="14"/>
      <c r="G1867" s="14">
        <v>0.22657313698588999</v>
      </c>
      <c r="H1867" s="14">
        <v>0.481854497823339</v>
      </c>
      <c r="I1867" s="14">
        <v>0.49076393851183298</v>
      </c>
      <c r="J1867" s="14">
        <v>0.48063625442841601</v>
      </c>
      <c r="K1867" s="14">
        <v>0.51992368769955599</v>
      </c>
      <c r="L1867" s="14">
        <v>0.49283718281100602</v>
      </c>
      <c r="M1867" s="14"/>
      <c r="N1867" s="14">
        <v>0.52664479806800302</v>
      </c>
      <c r="O1867" s="14">
        <v>0.50333079527918001</v>
      </c>
      <c r="P1867" s="14">
        <v>0.505794786797511</v>
      </c>
      <c r="Q1867" s="14">
        <v>0.41256030293462997</v>
      </c>
      <c r="R1867" s="14"/>
      <c r="S1867" s="14">
        <v>0.51460370076213202</v>
      </c>
      <c r="T1867" s="14">
        <v>0.50672525554724701</v>
      </c>
      <c r="U1867" s="14">
        <v>0.52817019014177002</v>
      </c>
      <c r="V1867" s="14">
        <v>0.37077540544077398</v>
      </c>
      <c r="W1867" s="14">
        <v>0.47370350789037402</v>
      </c>
      <c r="X1867" s="14">
        <v>0.46118571683036602</v>
      </c>
      <c r="Y1867" s="14">
        <v>0.469158157670863</v>
      </c>
      <c r="Z1867" s="14">
        <v>0.46158534173829902</v>
      </c>
      <c r="AA1867" s="14">
        <v>0.55338235832286498</v>
      </c>
      <c r="AB1867" s="14"/>
      <c r="AC1867" s="14">
        <v>0.43889576018827497</v>
      </c>
      <c r="AD1867" s="14">
        <v>0.48457136566151998</v>
      </c>
      <c r="AE1867" s="14">
        <v>0.51385519309432603</v>
      </c>
      <c r="AF1867" s="14">
        <v>0.55574253936737295</v>
      </c>
      <c r="AG1867" s="14">
        <v>0.46439591901849803</v>
      </c>
      <c r="AH1867" s="14"/>
      <c r="AI1867" s="14">
        <v>0.525819747800499</v>
      </c>
      <c r="AJ1867" s="14">
        <v>0.52336154969984305</v>
      </c>
      <c r="AK1867" s="14">
        <v>0.50548051590102505</v>
      </c>
      <c r="AL1867" s="14">
        <v>0.48337363080776202</v>
      </c>
      <c r="AM1867" s="14">
        <v>0.37434548410450802</v>
      </c>
      <c r="AN1867" s="14">
        <v>0.40453050887845299</v>
      </c>
      <c r="AO1867" s="14"/>
      <c r="AP1867" s="14">
        <v>0.52519950880056698</v>
      </c>
      <c r="AQ1867" s="14">
        <v>0.44501988275684501</v>
      </c>
      <c r="AR1867" s="14"/>
      <c r="AS1867" s="14">
        <v>0.52974796863444795</v>
      </c>
      <c r="AT1867" s="14">
        <v>0.44565404621767801</v>
      </c>
      <c r="AU1867" s="14">
        <v>0.488792151166003</v>
      </c>
      <c r="AV1867" s="14"/>
      <c r="AW1867" s="14">
        <v>0.48872301558911102</v>
      </c>
      <c r="AX1867" s="14">
        <v>0.53688755342493799</v>
      </c>
      <c r="AY1867" s="14"/>
      <c r="AZ1867" s="14">
        <v>0.52329842487016698</v>
      </c>
      <c r="BA1867" s="14">
        <v>0.36271298482095099</v>
      </c>
    </row>
    <row r="1868" spans="2:53" x14ac:dyDescent="0.35">
      <c r="B1868" t="s">
        <v>432</v>
      </c>
      <c r="C1868" s="14">
        <v>0.18685296836036699</v>
      </c>
      <c r="D1868" s="14">
        <v>0.14836108482330801</v>
      </c>
      <c r="E1868" s="14">
        <v>0.22555678649539901</v>
      </c>
      <c r="F1868" s="14"/>
      <c r="G1868" s="14">
        <v>0.14264816943094299</v>
      </c>
      <c r="H1868" s="14">
        <v>0.15014884592436101</v>
      </c>
      <c r="I1868" s="14">
        <v>0.19487956052147601</v>
      </c>
      <c r="J1868" s="14">
        <v>0.18418483962045201</v>
      </c>
      <c r="K1868" s="14">
        <v>0.191433181261248</v>
      </c>
      <c r="L1868" s="14">
        <v>0.35807085908036101</v>
      </c>
      <c r="M1868" s="14"/>
      <c r="N1868" s="14">
        <v>0.159242150000965</v>
      </c>
      <c r="O1868" s="14">
        <v>0.208829452226272</v>
      </c>
      <c r="P1868" s="14">
        <v>0.188653844507253</v>
      </c>
      <c r="Q1868" s="14">
        <v>0.194424846184584</v>
      </c>
      <c r="R1868" s="14"/>
      <c r="S1868" s="14">
        <v>0.15532246357712101</v>
      </c>
      <c r="T1868" s="14">
        <v>0.170806896819579</v>
      </c>
      <c r="U1868" s="14">
        <v>0.18292520923525599</v>
      </c>
      <c r="V1868" s="14">
        <v>0.17093713647793299</v>
      </c>
      <c r="W1868" s="14">
        <v>0.19661865068679299</v>
      </c>
      <c r="X1868" s="14">
        <v>0.206826720772465</v>
      </c>
      <c r="Y1868" s="14">
        <v>0.21911389398224801</v>
      </c>
      <c r="Z1868" s="14">
        <v>0.24421521106076099</v>
      </c>
      <c r="AA1868" s="14">
        <v>0.192767592396448</v>
      </c>
      <c r="AB1868" s="14"/>
      <c r="AC1868" s="14">
        <v>0.19160926873614201</v>
      </c>
      <c r="AD1868" s="14">
        <v>0.198560330066886</v>
      </c>
      <c r="AE1868" s="14">
        <v>0.19864403205830999</v>
      </c>
      <c r="AF1868" s="14">
        <v>0.119675684956546</v>
      </c>
      <c r="AG1868" s="14">
        <v>0.143835303353613</v>
      </c>
      <c r="AH1868" s="14"/>
      <c r="AI1868" s="14">
        <v>0.154011885121416</v>
      </c>
      <c r="AJ1868" s="14">
        <v>0.17378960124635801</v>
      </c>
      <c r="AK1868" s="14">
        <v>0.24351622111938101</v>
      </c>
      <c r="AL1868" s="14">
        <v>0.21606736646240601</v>
      </c>
      <c r="AM1868" s="14">
        <v>0.22297908051003801</v>
      </c>
      <c r="AN1868" s="14">
        <v>0.207353171852697</v>
      </c>
      <c r="AO1868" s="14"/>
      <c r="AP1868" s="14">
        <v>0.169342046664193</v>
      </c>
      <c r="AQ1868" s="14">
        <v>0.20715739297217201</v>
      </c>
      <c r="AR1868" s="14"/>
      <c r="AS1868" s="14">
        <v>0.11994197850966801</v>
      </c>
      <c r="AT1868" s="14">
        <v>0.187642038741825</v>
      </c>
      <c r="AU1868" s="14">
        <v>0.20462772428819301</v>
      </c>
      <c r="AV1868" s="14"/>
      <c r="AW1868" s="14">
        <v>0.194021849433651</v>
      </c>
      <c r="AX1868" s="14">
        <v>0.13869065815703999</v>
      </c>
      <c r="AY1868" s="14"/>
      <c r="AZ1868" s="14">
        <v>0.16859796969893701</v>
      </c>
      <c r="BA1868" s="14">
        <v>0.25621917745328998</v>
      </c>
    </row>
    <row r="1869" spans="2:53" x14ac:dyDescent="0.35">
      <c r="B1869" t="s">
        <v>433</v>
      </c>
      <c r="C1869" s="14">
        <v>7.6237216081580295E-2</v>
      </c>
      <c r="D1869" s="14">
        <v>4.0956547319563101E-2</v>
      </c>
      <c r="E1869" s="14">
        <v>0.110650493750325</v>
      </c>
      <c r="F1869" s="14"/>
      <c r="G1869" s="14">
        <v>0.11326843138774099</v>
      </c>
      <c r="H1869" s="14">
        <v>4.41526373805739E-2</v>
      </c>
      <c r="I1869" s="14">
        <v>7.4892765486935797E-2</v>
      </c>
      <c r="J1869" s="14">
        <v>0.101635673207845</v>
      </c>
      <c r="K1869" s="14">
        <v>6.2045880916000003E-2</v>
      </c>
      <c r="L1869" s="14">
        <v>0</v>
      </c>
      <c r="M1869" s="14"/>
      <c r="N1869" s="14">
        <v>6.8606446306217705E-2</v>
      </c>
      <c r="O1869" s="14">
        <v>6.9739524745560597E-2</v>
      </c>
      <c r="P1869" s="14">
        <v>7.0898295398066996E-2</v>
      </c>
      <c r="Q1869" s="14">
        <v>9.6809890508839799E-2</v>
      </c>
      <c r="R1869" s="14"/>
      <c r="S1869" s="14">
        <v>4.3970457601511699E-2</v>
      </c>
      <c r="T1869" s="14">
        <v>7.8432057605693897E-2</v>
      </c>
      <c r="U1869" s="14">
        <v>6.4425951229932402E-2</v>
      </c>
      <c r="V1869" s="14">
        <v>0.109243179727847</v>
      </c>
      <c r="W1869" s="14">
        <v>9.3311242767293995E-2</v>
      </c>
      <c r="X1869" s="14">
        <v>8.4042281184733003E-2</v>
      </c>
      <c r="Y1869" s="14">
        <v>7.4955196286647194E-2</v>
      </c>
      <c r="Z1869" s="14">
        <v>0.107417123115237</v>
      </c>
      <c r="AA1869" s="14">
        <v>6.5544671142822405E-2</v>
      </c>
      <c r="AB1869" s="14"/>
      <c r="AC1869" s="14">
        <v>0.100084118284122</v>
      </c>
      <c r="AD1869" s="14">
        <v>0.10347376113142701</v>
      </c>
      <c r="AE1869" s="14">
        <v>5.7461389220558601E-2</v>
      </c>
      <c r="AF1869" s="14">
        <v>4.69852484360311E-2</v>
      </c>
      <c r="AG1869" s="14">
        <v>8.1752754482881003E-3</v>
      </c>
      <c r="AH1869" s="14"/>
      <c r="AI1869" s="14">
        <v>6.6884362475940998E-2</v>
      </c>
      <c r="AJ1869" s="14">
        <v>5.9444751616022799E-2</v>
      </c>
      <c r="AK1869" s="14">
        <v>7.8630875541374698E-2</v>
      </c>
      <c r="AL1869" s="14">
        <v>8.7940641049173804E-2</v>
      </c>
      <c r="AM1869" s="14">
        <v>0.110263837775295</v>
      </c>
      <c r="AN1869" s="14">
        <v>6.5617191079828704E-2</v>
      </c>
      <c r="AO1869" s="14"/>
      <c r="AP1869" s="14">
        <v>4.5440841354739303E-2</v>
      </c>
      <c r="AQ1869" s="14">
        <v>0.111133149487165</v>
      </c>
      <c r="AR1869" s="14"/>
      <c r="AS1869" s="14">
        <v>2.9235854361960301E-2</v>
      </c>
      <c r="AT1869" s="14">
        <v>5.0216019960067797E-2</v>
      </c>
      <c r="AU1869" s="14">
        <v>9.6581264299193004E-2</v>
      </c>
      <c r="AV1869" s="14"/>
      <c r="AW1869" s="14">
        <v>7.6034045818949403E-2</v>
      </c>
      <c r="AX1869" s="14">
        <v>2.7587291560765202E-2</v>
      </c>
      <c r="AY1869" s="14"/>
      <c r="AZ1869" s="14">
        <v>5.08024644460656E-2</v>
      </c>
      <c r="BA1869" s="14">
        <v>0.17267743537476901</v>
      </c>
    </row>
    <row r="1870" spans="2:53" x14ac:dyDescent="0.35">
      <c r="B1870" t="s">
        <v>116</v>
      </c>
      <c r="C1870" s="14">
        <v>0.12785739663871001</v>
      </c>
      <c r="D1870" s="14">
        <v>0.123912445024829</v>
      </c>
      <c r="E1870" s="14">
        <v>0.13192946221232199</v>
      </c>
      <c r="F1870" s="14"/>
      <c r="G1870" s="14">
        <v>0.157699207941562</v>
      </c>
      <c r="H1870" s="14">
        <v>0.145766207320212</v>
      </c>
      <c r="I1870" s="14">
        <v>0.112867960209486</v>
      </c>
      <c r="J1870" s="14">
        <v>0.13113645729021101</v>
      </c>
      <c r="K1870" s="14">
        <v>0.16051549180187399</v>
      </c>
      <c r="L1870" s="14">
        <v>0.108966788031454</v>
      </c>
      <c r="M1870" s="14"/>
      <c r="N1870" s="14">
        <v>9.4083086670663896E-2</v>
      </c>
      <c r="O1870" s="14">
        <v>0.121567269410036</v>
      </c>
      <c r="P1870" s="14">
        <v>0.120365129813091</v>
      </c>
      <c r="Q1870" s="14">
        <v>0.17638984518214401</v>
      </c>
      <c r="R1870" s="14"/>
      <c r="S1870" s="14">
        <v>0.11283090511701301</v>
      </c>
      <c r="T1870" s="14">
        <v>0.13102732475742601</v>
      </c>
      <c r="U1870" s="14">
        <v>0.125466150668335</v>
      </c>
      <c r="V1870" s="14">
        <v>0.21051851977388</v>
      </c>
      <c r="W1870" s="14">
        <v>0.115819794007152</v>
      </c>
      <c r="X1870" s="14">
        <v>0.114401789795765</v>
      </c>
      <c r="Y1870" s="14">
        <v>0.10121692575715199</v>
      </c>
      <c r="Z1870" s="14">
        <v>9.2004498039833599E-2</v>
      </c>
      <c r="AA1870" s="14">
        <v>0.12738331823662399</v>
      </c>
      <c r="AB1870" s="14"/>
      <c r="AC1870" s="14">
        <v>0.18292919696948901</v>
      </c>
      <c r="AD1870" s="14">
        <v>0.12264625149311199</v>
      </c>
      <c r="AE1870" s="14">
        <v>0.10542461064474</v>
      </c>
      <c r="AF1870" s="14">
        <v>8.1620131074219199E-2</v>
      </c>
      <c r="AG1870" s="14">
        <v>4.9703118984935797E-2</v>
      </c>
      <c r="AH1870" s="14"/>
      <c r="AI1870" s="14">
        <v>8.5631172147575194E-2</v>
      </c>
      <c r="AJ1870" s="14">
        <v>0.110973773971696</v>
      </c>
      <c r="AK1870" s="14">
        <v>8.9855319346494003E-2</v>
      </c>
      <c r="AL1870" s="14">
        <v>0.155419209118488</v>
      </c>
      <c r="AM1870" s="14">
        <v>0.18214989763959</v>
      </c>
      <c r="AN1870" s="14">
        <v>0.192007304943934</v>
      </c>
      <c r="AO1870" s="14"/>
      <c r="AP1870" s="14">
        <v>0.109597849207952</v>
      </c>
      <c r="AQ1870" s="14">
        <v>0.147618165942101</v>
      </c>
      <c r="AR1870" s="14"/>
      <c r="AS1870" s="14">
        <v>0.207696805362859</v>
      </c>
      <c r="AT1870" s="14">
        <v>0.17602371839172901</v>
      </c>
      <c r="AU1870" s="14">
        <v>9.2127277482709893E-2</v>
      </c>
      <c r="AV1870" s="14"/>
      <c r="AW1870" s="14">
        <v>0.13475562846165201</v>
      </c>
      <c r="AX1870" s="14">
        <v>7.2978113605928902E-2</v>
      </c>
      <c r="AY1870" s="14"/>
      <c r="AZ1870" s="14">
        <v>0.11823160481667799</v>
      </c>
      <c r="BA1870" s="14">
        <v>0.15047441847121501</v>
      </c>
    </row>
    <row r="1871" spans="2:53" x14ac:dyDescent="0.35">
      <c r="C1871" s="14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  <c r="AO1871" s="14"/>
      <c r="AP1871" s="14"/>
      <c r="AQ1871" s="14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</row>
    <row r="1872" spans="2:53" x14ac:dyDescent="0.35">
      <c r="B1872" s="6" t="s">
        <v>438</v>
      </c>
      <c r="C1872" s="14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/>
      <c r="AN1872" s="14"/>
      <c r="AO1872" s="14"/>
      <c r="AP1872" s="14"/>
      <c r="AQ1872" s="14"/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</row>
    <row r="1873" spans="2:53" x14ac:dyDescent="0.35">
      <c r="B1873" s="24" t="s">
        <v>101</v>
      </c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  <c r="AO1873" s="14"/>
      <c r="AP1873" s="14"/>
      <c r="AQ1873" s="14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</row>
    <row r="1874" spans="2:53" x14ac:dyDescent="0.35">
      <c r="B1874" t="s">
        <v>435</v>
      </c>
      <c r="C1874" s="14">
        <v>8.5327936569269194E-2</v>
      </c>
      <c r="D1874" s="14">
        <v>9.3600590926135693E-2</v>
      </c>
      <c r="E1874" s="14">
        <v>7.7265001239382097E-2</v>
      </c>
      <c r="F1874" s="14"/>
      <c r="G1874" s="14">
        <v>0</v>
      </c>
      <c r="H1874" s="14">
        <v>0.169877558114535</v>
      </c>
      <c r="I1874" s="14">
        <v>0.101879469350646</v>
      </c>
      <c r="J1874" s="14">
        <v>7.7036662453618204E-2</v>
      </c>
      <c r="K1874" s="14">
        <v>1.52224039729327E-2</v>
      </c>
      <c r="L1874" s="14">
        <v>2.6363920994067001E-2</v>
      </c>
      <c r="M1874" s="14"/>
      <c r="N1874" s="14">
        <v>6.7429450156138507E-2</v>
      </c>
      <c r="O1874" s="14">
        <v>7.3295887465238102E-2</v>
      </c>
      <c r="P1874" s="14">
        <v>0.106769384549197</v>
      </c>
      <c r="Q1874" s="14">
        <v>9.8813172383043102E-2</v>
      </c>
      <c r="R1874" s="14"/>
      <c r="S1874" s="14">
        <v>7.7474682940217907E-2</v>
      </c>
      <c r="T1874" s="14">
        <v>6.1675152882810599E-2</v>
      </c>
      <c r="U1874" s="14">
        <v>0.109441882816688</v>
      </c>
      <c r="V1874" s="14">
        <v>6.8689435366137905E-2</v>
      </c>
      <c r="W1874" s="14">
        <v>0.124935716512759</v>
      </c>
      <c r="X1874" s="14">
        <v>0.101118036825704</v>
      </c>
      <c r="Y1874" s="14">
        <v>7.0520076518902103E-2</v>
      </c>
      <c r="Z1874" s="14">
        <v>0.116654473618391</v>
      </c>
      <c r="AA1874" s="14">
        <v>7.5969867146686507E-2</v>
      </c>
      <c r="AB1874" s="14"/>
      <c r="AC1874" s="14">
        <v>8.4273078227343201E-2</v>
      </c>
      <c r="AD1874" s="14">
        <v>6.7827648371702604E-2</v>
      </c>
      <c r="AE1874" s="14">
        <v>9.0810929486969602E-2</v>
      </c>
      <c r="AF1874" s="14">
        <v>0.13096823579303199</v>
      </c>
      <c r="AG1874" s="14">
        <v>0.11284902373229599</v>
      </c>
      <c r="AH1874" s="14"/>
      <c r="AI1874" s="14">
        <v>0.106968572911708</v>
      </c>
      <c r="AJ1874" s="14">
        <v>9.5839988526232794E-2</v>
      </c>
      <c r="AK1874" s="14">
        <v>6.7505646162949698E-2</v>
      </c>
      <c r="AL1874" s="14">
        <v>7.2802504962591899E-2</v>
      </c>
      <c r="AM1874" s="14">
        <v>0.113908891088898</v>
      </c>
      <c r="AN1874" s="14">
        <v>2.7169951429414599E-2</v>
      </c>
      <c r="AO1874" s="14"/>
      <c r="AP1874" s="14">
        <v>8.3885312489977507E-2</v>
      </c>
      <c r="AQ1874" s="14">
        <v>8.7413007565042902E-2</v>
      </c>
      <c r="AR1874" s="14"/>
      <c r="AS1874" s="14" t="s">
        <v>88</v>
      </c>
      <c r="AT1874" s="14" t="s">
        <v>88</v>
      </c>
      <c r="AU1874" s="14">
        <v>8.5327936569269194E-2</v>
      </c>
      <c r="AV1874" s="14"/>
      <c r="AW1874" s="14">
        <v>8.1243271533773906E-2</v>
      </c>
      <c r="AX1874" s="14">
        <v>9.6496114408061898E-2</v>
      </c>
      <c r="AY1874" s="14"/>
      <c r="AZ1874" s="14">
        <v>9.0923094345595507E-2</v>
      </c>
      <c r="BA1874" s="14">
        <v>6.5928969269877596E-2</v>
      </c>
    </row>
    <row r="1875" spans="2:53" x14ac:dyDescent="0.35">
      <c r="B1875" t="s">
        <v>436</v>
      </c>
      <c r="C1875" s="14">
        <v>0.56912992435754495</v>
      </c>
      <c r="D1875" s="14">
        <v>0.55934511848953095</v>
      </c>
      <c r="E1875" s="14">
        <v>0.57816861951729603</v>
      </c>
      <c r="F1875" s="14"/>
      <c r="G1875" s="14">
        <v>0.62211421325028105</v>
      </c>
      <c r="H1875" s="14">
        <v>0.51717590042597195</v>
      </c>
      <c r="I1875" s="14">
        <v>0.59838515319560703</v>
      </c>
      <c r="J1875" s="14">
        <v>0.56300799827400805</v>
      </c>
      <c r="K1875" s="14">
        <v>0.52158858358885496</v>
      </c>
      <c r="L1875" s="14">
        <v>0.61565361174060595</v>
      </c>
      <c r="M1875" s="14"/>
      <c r="N1875" s="14">
        <v>0.56009511610539797</v>
      </c>
      <c r="O1875" s="14">
        <v>0.57908979917648495</v>
      </c>
      <c r="P1875" s="14">
        <v>0.58459177745260305</v>
      </c>
      <c r="Q1875" s="14">
        <v>0.55823891943823201</v>
      </c>
      <c r="R1875" s="14"/>
      <c r="S1875" s="14">
        <v>0.575135518185381</v>
      </c>
      <c r="T1875" s="14">
        <v>0.60551857226978001</v>
      </c>
      <c r="U1875" s="14">
        <v>0.51085427566661901</v>
      </c>
      <c r="V1875" s="14">
        <v>0.57663393822588604</v>
      </c>
      <c r="W1875" s="14">
        <v>0.54528805798049795</v>
      </c>
      <c r="X1875" s="14">
        <v>0.528593733545211</v>
      </c>
      <c r="Y1875" s="14">
        <v>0.54305698499091604</v>
      </c>
      <c r="Z1875" s="14">
        <v>0.58028415678366496</v>
      </c>
      <c r="AA1875" s="14">
        <v>0.62245745040948397</v>
      </c>
      <c r="AB1875" s="14"/>
      <c r="AC1875" s="14">
        <v>0.50428268962665002</v>
      </c>
      <c r="AD1875" s="14">
        <v>0.57437355505336596</v>
      </c>
      <c r="AE1875" s="14">
        <v>0.60587084493636201</v>
      </c>
      <c r="AF1875" s="14">
        <v>0.58847910398965397</v>
      </c>
      <c r="AG1875" s="14">
        <v>0.67366095729661901</v>
      </c>
      <c r="AH1875" s="14"/>
      <c r="AI1875" s="14">
        <v>0.56439166309602096</v>
      </c>
      <c r="AJ1875" s="14">
        <v>0.57776256444812901</v>
      </c>
      <c r="AK1875" s="14">
        <v>0.65264025797547098</v>
      </c>
      <c r="AL1875" s="14">
        <v>0.56104074642982404</v>
      </c>
      <c r="AM1875" s="14">
        <v>0.57182825864101094</v>
      </c>
      <c r="AN1875" s="14">
        <v>0.50964061030540297</v>
      </c>
      <c r="AO1875" s="14"/>
      <c r="AP1875" s="14">
        <v>0.59601457035324601</v>
      </c>
      <c r="AQ1875" s="14">
        <v>0.53911965420599595</v>
      </c>
      <c r="AR1875" s="14"/>
      <c r="AS1875" s="14" t="s">
        <v>88</v>
      </c>
      <c r="AT1875" s="14" t="s">
        <v>88</v>
      </c>
      <c r="AU1875" s="14">
        <v>0.56912992435754495</v>
      </c>
      <c r="AV1875" s="14"/>
      <c r="AW1875" s="14">
        <v>0.58453429183922501</v>
      </c>
      <c r="AX1875" s="14">
        <v>0.56698659086512804</v>
      </c>
      <c r="AY1875" s="14"/>
      <c r="AZ1875" s="14">
        <v>0.58602075935099895</v>
      </c>
      <c r="BA1875" s="14">
        <v>0.51027880598784103</v>
      </c>
    </row>
    <row r="1876" spans="2:53" x14ac:dyDescent="0.35">
      <c r="B1876" t="s">
        <v>437</v>
      </c>
      <c r="C1876" s="14">
        <v>0.24973024055350901</v>
      </c>
      <c r="D1876" s="14">
        <v>0.26051491097698498</v>
      </c>
      <c r="E1876" s="14">
        <v>0.239428027139341</v>
      </c>
      <c r="F1876" s="14"/>
      <c r="G1876" s="14">
        <v>0.37788578674971901</v>
      </c>
      <c r="H1876" s="14">
        <v>0.22639738834402101</v>
      </c>
      <c r="I1876" s="14">
        <v>0.202372950157062</v>
      </c>
      <c r="J1876" s="14">
        <v>0.27061739816464903</v>
      </c>
      <c r="K1876" s="14">
        <v>0.35227368934682102</v>
      </c>
      <c r="L1876" s="14">
        <v>0.21629012552355301</v>
      </c>
      <c r="M1876" s="14"/>
      <c r="N1876" s="14">
        <v>0.32525700199236901</v>
      </c>
      <c r="O1876" s="14">
        <v>0.23905189155731099</v>
      </c>
      <c r="P1876" s="14">
        <v>0.215993025904684</v>
      </c>
      <c r="Q1876" s="14">
        <v>0.203980881074938</v>
      </c>
      <c r="R1876" s="14"/>
      <c r="S1876" s="14">
        <v>0.25845215593240001</v>
      </c>
      <c r="T1876" s="14">
        <v>0.229808574396802</v>
      </c>
      <c r="U1876" s="14">
        <v>0.25969079763897901</v>
      </c>
      <c r="V1876" s="14">
        <v>0.21389047431324701</v>
      </c>
      <c r="W1876" s="14">
        <v>0.24537740402097</v>
      </c>
      <c r="X1876" s="14">
        <v>0.27738958033300798</v>
      </c>
      <c r="Y1876" s="14">
        <v>0.269566874266848</v>
      </c>
      <c r="Z1876" s="14">
        <v>0.248323411514392</v>
      </c>
      <c r="AA1876" s="14">
        <v>0.252696452306724</v>
      </c>
      <c r="AB1876" s="14"/>
      <c r="AC1876" s="14">
        <v>0.25298146993562098</v>
      </c>
      <c r="AD1876" s="14">
        <v>0.28186392001755001</v>
      </c>
      <c r="AE1876" s="14">
        <v>0.22727663731527001</v>
      </c>
      <c r="AF1876" s="14">
        <v>0.24630920892427299</v>
      </c>
      <c r="AG1876" s="14">
        <v>0.21349001897108499</v>
      </c>
      <c r="AH1876" s="14"/>
      <c r="AI1876" s="14">
        <v>0.26354497384591402</v>
      </c>
      <c r="AJ1876" s="14">
        <v>0.28157028657260502</v>
      </c>
      <c r="AK1876" s="14">
        <v>0.20037865522516199</v>
      </c>
      <c r="AL1876" s="14">
        <v>0.211883182498077</v>
      </c>
      <c r="AM1876" s="14">
        <v>0.19358663265145301</v>
      </c>
      <c r="AN1876" s="14">
        <v>0.25011933707523798</v>
      </c>
      <c r="AO1876" s="14"/>
      <c r="AP1876" s="14">
        <v>0.248808374444139</v>
      </c>
      <c r="AQ1876" s="14">
        <v>0.25100305348878499</v>
      </c>
      <c r="AR1876" s="14"/>
      <c r="AS1876" s="14" t="s">
        <v>88</v>
      </c>
      <c r="AT1876" s="14" t="s">
        <v>88</v>
      </c>
      <c r="AU1876" s="14">
        <v>0.24973024055350901</v>
      </c>
      <c r="AV1876" s="14"/>
      <c r="AW1876" s="14">
        <v>0.24850359177424899</v>
      </c>
      <c r="AX1876" s="14">
        <v>0.28134848140672603</v>
      </c>
      <c r="AY1876" s="14"/>
      <c r="AZ1876" s="14">
        <v>0.245086106541023</v>
      </c>
      <c r="BA1876" s="14">
        <v>0.269368325357209</v>
      </c>
    </row>
    <row r="1877" spans="2:53" x14ac:dyDescent="0.35">
      <c r="B1877" t="s">
        <v>116</v>
      </c>
      <c r="C1877" s="14">
        <v>9.5811898519677099E-2</v>
      </c>
      <c r="D1877" s="14">
        <v>8.6539379607348296E-2</v>
      </c>
      <c r="E1877" s="14">
        <v>0.10513835210398199</v>
      </c>
      <c r="F1877" s="14"/>
      <c r="G1877" s="14">
        <v>0</v>
      </c>
      <c r="H1877" s="14">
        <v>8.6549153115471303E-2</v>
      </c>
      <c r="I1877" s="14">
        <v>9.7362427296685899E-2</v>
      </c>
      <c r="J1877" s="14">
        <v>8.9337941107725402E-2</v>
      </c>
      <c r="K1877" s="14">
        <v>0.110915323091391</v>
      </c>
      <c r="L1877" s="14">
        <v>0.141692341741774</v>
      </c>
      <c r="M1877" s="14"/>
      <c r="N1877" s="14">
        <v>4.72184317460939E-2</v>
      </c>
      <c r="O1877" s="14">
        <v>0.10856242180096499</v>
      </c>
      <c r="P1877" s="14">
        <v>9.2645812093515897E-2</v>
      </c>
      <c r="Q1877" s="14">
        <v>0.138967027103787</v>
      </c>
      <c r="R1877" s="14"/>
      <c r="S1877" s="14">
        <v>8.8937642942001197E-2</v>
      </c>
      <c r="T1877" s="14">
        <v>0.10299770045060801</v>
      </c>
      <c r="U1877" s="14">
        <v>0.120013043877714</v>
      </c>
      <c r="V1877" s="14">
        <v>0.140786152094729</v>
      </c>
      <c r="W1877" s="14">
        <v>8.4398821485773795E-2</v>
      </c>
      <c r="X1877" s="14">
        <v>9.2898649296077801E-2</v>
      </c>
      <c r="Y1877" s="14">
        <v>0.116856064223333</v>
      </c>
      <c r="Z1877" s="14">
        <v>5.4737958083552099E-2</v>
      </c>
      <c r="AA1877" s="14">
        <v>4.8876230137105098E-2</v>
      </c>
      <c r="AB1877" s="14"/>
      <c r="AC1877" s="14">
        <v>0.15846276221038599</v>
      </c>
      <c r="AD1877" s="14">
        <v>7.5934876557380904E-2</v>
      </c>
      <c r="AE1877" s="14">
        <v>7.6041588261398493E-2</v>
      </c>
      <c r="AF1877" s="14">
        <v>3.4243451293041599E-2</v>
      </c>
      <c r="AG1877" s="14">
        <v>0</v>
      </c>
      <c r="AH1877" s="14"/>
      <c r="AI1877" s="14">
        <v>6.5094790146356704E-2</v>
      </c>
      <c r="AJ1877" s="14">
        <v>4.4827160453032797E-2</v>
      </c>
      <c r="AK1877" s="14">
        <v>7.9475440636417205E-2</v>
      </c>
      <c r="AL1877" s="14">
        <v>0.15427356610950699</v>
      </c>
      <c r="AM1877" s="14">
        <v>0.120676217618638</v>
      </c>
      <c r="AN1877" s="14">
        <v>0.21307010118994399</v>
      </c>
      <c r="AO1877" s="14"/>
      <c r="AP1877" s="14">
        <v>7.1291742712637607E-2</v>
      </c>
      <c r="AQ1877" s="14">
        <v>0.122464284740176</v>
      </c>
      <c r="AR1877" s="14"/>
      <c r="AS1877" s="14" t="s">
        <v>88</v>
      </c>
      <c r="AT1877" s="14" t="s">
        <v>88</v>
      </c>
      <c r="AU1877" s="14">
        <v>9.5811898519677099E-2</v>
      </c>
      <c r="AV1877" s="14"/>
      <c r="AW1877" s="14">
        <v>8.5718844852752801E-2</v>
      </c>
      <c r="AX1877" s="14">
        <v>5.5168813320084199E-2</v>
      </c>
      <c r="AY1877" s="14"/>
      <c r="AZ1877" s="14">
        <v>7.7970039762382301E-2</v>
      </c>
      <c r="BA1877" s="14">
        <v>0.15442389938507201</v>
      </c>
    </row>
    <row r="1878" spans="2:53" x14ac:dyDescent="0.35">
      <c r="C1878" s="14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/>
      <c r="AN1878" s="14"/>
      <c r="AO1878" s="14"/>
      <c r="AP1878" s="14"/>
      <c r="AQ1878" s="14"/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</row>
    <row r="1879" spans="2:53" x14ac:dyDescent="0.35">
      <c r="B1879" s="6" t="s">
        <v>444</v>
      </c>
      <c r="C1879" s="14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  <c r="AO1879" s="14"/>
      <c r="AP1879" s="14"/>
      <c r="AQ1879" s="14"/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</row>
    <row r="1880" spans="2:53" x14ac:dyDescent="0.35">
      <c r="B1880" s="24" t="s">
        <v>118</v>
      </c>
      <c r="C1880" s="14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/>
      <c r="AQ1880" s="14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</row>
    <row r="1881" spans="2:53" x14ac:dyDescent="0.35">
      <c r="B1881" t="s">
        <v>439</v>
      </c>
      <c r="C1881" s="14">
        <v>0.120223541093575</v>
      </c>
      <c r="D1881" s="14">
        <v>0.12415573161285599</v>
      </c>
      <c r="E1881" s="14">
        <v>0.11640476487160099</v>
      </c>
      <c r="F1881" s="14"/>
      <c r="G1881" s="14">
        <v>0.30155374744806301</v>
      </c>
      <c r="H1881" s="14">
        <v>0.151213947755547</v>
      </c>
      <c r="I1881" s="14">
        <v>0.124772430643786</v>
      </c>
      <c r="J1881" s="14">
        <v>9.8340571109548497E-2</v>
      </c>
      <c r="K1881" s="14">
        <v>0.1122884434688</v>
      </c>
      <c r="L1881" s="14">
        <v>0.102387718550027</v>
      </c>
      <c r="M1881" s="14"/>
      <c r="N1881" s="14">
        <v>0.156310642618362</v>
      </c>
      <c r="O1881" s="14">
        <v>0.118297879219628</v>
      </c>
      <c r="P1881" s="14">
        <v>0.116608599497336</v>
      </c>
      <c r="Q1881" s="14">
        <v>8.7844337360900193E-2</v>
      </c>
      <c r="R1881" s="14"/>
      <c r="S1881" s="14">
        <v>0.16523699165953101</v>
      </c>
      <c r="T1881" s="14">
        <v>0.112647703897539</v>
      </c>
      <c r="U1881" s="14">
        <v>9.9062717698562106E-2</v>
      </c>
      <c r="V1881" s="14">
        <v>0.13444281373526201</v>
      </c>
      <c r="W1881" s="14">
        <v>9.9396533076858501E-2</v>
      </c>
      <c r="X1881" s="14">
        <v>0.106959923586102</v>
      </c>
      <c r="Y1881" s="14">
        <v>0.118530262776589</v>
      </c>
      <c r="Z1881" s="14">
        <v>0.124601190708928</v>
      </c>
      <c r="AA1881" s="14">
        <v>0.102764413259367</v>
      </c>
      <c r="AB1881" s="14"/>
      <c r="AC1881" s="14">
        <v>9.6874176720081903E-2</v>
      </c>
      <c r="AD1881" s="14">
        <v>9.0415145971740593E-2</v>
      </c>
      <c r="AE1881" s="14">
        <v>0.116617343012449</v>
      </c>
      <c r="AF1881" s="14">
        <v>0.191591123665487</v>
      </c>
      <c r="AG1881" s="14">
        <v>0.32382282306535398</v>
      </c>
      <c r="AH1881" s="14"/>
      <c r="AI1881" s="14">
        <v>0.13935216359169</v>
      </c>
      <c r="AJ1881" s="14">
        <v>0.139496692474296</v>
      </c>
      <c r="AK1881" s="14">
        <v>0.13476017334139301</v>
      </c>
      <c r="AL1881" s="14">
        <v>8.0837288992261197E-2</v>
      </c>
      <c r="AM1881" s="14">
        <v>0.108141106360999</v>
      </c>
      <c r="AN1881" s="14">
        <v>8.6821902683746899E-2</v>
      </c>
      <c r="AO1881" s="14"/>
      <c r="AP1881" s="14">
        <v>0.12839504532163701</v>
      </c>
      <c r="AQ1881" s="14">
        <v>0.111416905255855</v>
      </c>
      <c r="AR1881" s="14"/>
      <c r="AS1881" s="14">
        <v>0.14127938913934601</v>
      </c>
      <c r="AT1881" s="14">
        <v>0.10794698240879801</v>
      </c>
      <c r="AU1881" s="14">
        <v>0.118186797856924</v>
      </c>
      <c r="AV1881" s="14"/>
      <c r="AW1881" s="14">
        <v>0.112712026921841</v>
      </c>
      <c r="AX1881" s="14">
        <v>0.19342959875144</v>
      </c>
      <c r="AY1881" s="14"/>
      <c r="AZ1881" s="14">
        <v>0.131107542320793</v>
      </c>
      <c r="BA1881" s="14">
        <v>8.2168641134633305E-2</v>
      </c>
    </row>
    <row r="1882" spans="2:53" x14ac:dyDescent="0.35">
      <c r="B1882" t="s">
        <v>440</v>
      </c>
      <c r="C1882" s="14">
        <v>0.382048440797853</v>
      </c>
      <c r="D1882" s="14">
        <v>0.44582849172841599</v>
      </c>
      <c r="E1882" s="14">
        <v>0.31858779309422902</v>
      </c>
      <c r="F1882" s="14"/>
      <c r="G1882" s="14">
        <v>0.58517782116419603</v>
      </c>
      <c r="H1882" s="14">
        <v>0.40868790587848502</v>
      </c>
      <c r="I1882" s="14">
        <v>0.39577889110755998</v>
      </c>
      <c r="J1882" s="14">
        <v>0.33876276930489702</v>
      </c>
      <c r="K1882" s="14">
        <v>0.41308251223480702</v>
      </c>
      <c r="L1882" s="14">
        <v>0.323034047637484</v>
      </c>
      <c r="M1882" s="14"/>
      <c r="N1882" s="14">
        <v>0.43345031358049202</v>
      </c>
      <c r="O1882" s="14">
        <v>0.357305904590557</v>
      </c>
      <c r="P1882" s="14">
        <v>0.33810548645910898</v>
      </c>
      <c r="Q1882" s="14">
        <v>0.389483891376526</v>
      </c>
      <c r="R1882" s="14"/>
      <c r="S1882" s="14">
        <v>0.41972709004313702</v>
      </c>
      <c r="T1882" s="14">
        <v>0.38341748882066101</v>
      </c>
      <c r="U1882" s="14">
        <v>0.30045872137312002</v>
      </c>
      <c r="V1882" s="14">
        <v>0.35335474022499502</v>
      </c>
      <c r="W1882" s="14">
        <v>0.42045431945153899</v>
      </c>
      <c r="X1882" s="14">
        <v>0.374612254588714</v>
      </c>
      <c r="Y1882" s="14">
        <v>0.39857574075007801</v>
      </c>
      <c r="Z1882" s="14">
        <v>0.35188383508501098</v>
      </c>
      <c r="AA1882" s="14">
        <v>0.39922706728697799</v>
      </c>
      <c r="AB1882" s="14"/>
      <c r="AC1882" s="14">
        <v>0.29768442702829001</v>
      </c>
      <c r="AD1882" s="14">
        <v>0.345216494522603</v>
      </c>
      <c r="AE1882" s="14">
        <v>0.44834297968341102</v>
      </c>
      <c r="AF1882" s="14">
        <v>0.47857525908786502</v>
      </c>
      <c r="AG1882" s="14">
        <v>0.43476114028636098</v>
      </c>
      <c r="AH1882" s="14"/>
      <c r="AI1882" s="14">
        <v>0.40271139635501502</v>
      </c>
      <c r="AJ1882" s="14">
        <v>0.45241414014569198</v>
      </c>
      <c r="AK1882" s="14">
        <v>0.39003561442988499</v>
      </c>
      <c r="AL1882" s="14">
        <v>0.37300532723698498</v>
      </c>
      <c r="AM1882" s="14">
        <v>0.305986443127793</v>
      </c>
      <c r="AN1882" s="14">
        <v>0.331555655998166</v>
      </c>
      <c r="AO1882" s="14"/>
      <c r="AP1882" s="14">
        <v>0.40872392180761902</v>
      </c>
      <c r="AQ1882" s="14">
        <v>0.35190591633656398</v>
      </c>
      <c r="AR1882" s="14"/>
      <c r="AS1882" s="14">
        <v>0.37894419188381001</v>
      </c>
      <c r="AT1882" s="14">
        <v>0.43908702164624203</v>
      </c>
      <c r="AU1882" s="14">
        <v>0.36601786727636498</v>
      </c>
      <c r="AV1882" s="14"/>
      <c r="AW1882" s="14">
        <v>0.37990046448520198</v>
      </c>
      <c r="AX1882" s="14">
        <v>0.485925386167466</v>
      </c>
      <c r="AY1882" s="14"/>
      <c r="AZ1882" s="14">
        <v>0.42371974647150001</v>
      </c>
      <c r="BA1882" s="14">
        <v>0.232269448154105</v>
      </c>
    </row>
    <row r="1883" spans="2:53" x14ac:dyDescent="0.35">
      <c r="B1883" t="s">
        <v>441</v>
      </c>
      <c r="C1883" s="14">
        <v>0.34914252976006799</v>
      </c>
      <c r="D1883" s="14">
        <v>0.32684154060716702</v>
      </c>
      <c r="E1883" s="14">
        <v>0.37083033496781298</v>
      </c>
      <c r="F1883" s="14"/>
      <c r="G1883" s="14">
        <v>0.11326843138774099</v>
      </c>
      <c r="H1883" s="14">
        <v>0.323131624537773</v>
      </c>
      <c r="I1883" s="14">
        <v>0.33882909273419198</v>
      </c>
      <c r="J1883" s="14">
        <v>0.39569572681218002</v>
      </c>
      <c r="K1883" s="14">
        <v>0.30708904229453399</v>
      </c>
      <c r="L1883" s="14">
        <v>0.317257521156456</v>
      </c>
      <c r="M1883" s="14"/>
      <c r="N1883" s="14">
        <v>0.31288770365524399</v>
      </c>
      <c r="O1883" s="14">
        <v>0.38927043942073503</v>
      </c>
      <c r="P1883" s="14">
        <v>0.37641159368449101</v>
      </c>
      <c r="Q1883" s="14">
        <v>0.323451060405678</v>
      </c>
      <c r="R1883" s="14"/>
      <c r="S1883" s="14">
        <v>0.30482301829930702</v>
      </c>
      <c r="T1883" s="14">
        <v>0.35279942583236101</v>
      </c>
      <c r="U1883" s="14">
        <v>0.437387439897582</v>
      </c>
      <c r="V1883" s="14">
        <v>0.32840908615148701</v>
      </c>
      <c r="W1883" s="14">
        <v>0.329845547660988</v>
      </c>
      <c r="X1883" s="14">
        <v>0.35034536473031602</v>
      </c>
      <c r="Y1883" s="14">
        <v>0.35761055687248999</v>
      </c>
      <c r="Z1883" s="14">
        <v>0.33610306322544897</v>
      </c>
      <c r="AA1883" s="14">
        <v>0.35953360636228199</v>
      </c>
      <c r="AB1883" s="14"/>
      <c r="AC1883" s="14">
        <v>0.40789141632403603</v>
      </c>
      <c r="AD1883" s="14">
        <v>0.39414554883811298</v>
      </c>
      <c r="AE1883" s="14">
        <v>0.33082057756564598</v>
      </c>
      <c r="AF1883" s="14">
        <v>0.26276567792492</v>
      </c>
      <c r="AG1883" s="14">
        <v>0.21001038746369999</v>
      </c>
      <c r="AH1883" s="14"/>
      <c r="AI1883" s="14">
        <v>0.34618935762456599</v>
      </c>
      <c r="AJ1883" s="14">
        <v>0.308969164399436</v>
      </c>
      <c r="AK1883" s="14">
        <v>0.33989971428916299</v>
      </c>
      <c r="AL1883" s="14">
        <v>0.379608256548572</v>
      </c>
      <c r="AM1883" s="14">
        <v>0.432251843877617</v>
      </c>
      <c r="AN1883" s="14">
        <v>0.26038455377411901</v>
      </c>
      <c r="AO1883" s="14"/>
      <c r="AP1883" s="14">
        <v>0.34696180892755801</v>
      </c>
      <c r="AQ1883" s="14">
        <v>0.352054542748298</v>
      </c>
      <c r="AR1883" s="14"/>
      <c r="AS1883" s="14">
        <v>0.36840434565595698</v>
      </c>
      <c r="AT1883" s="14">
        <v>0.32622862151125398</v>
      </c>
      <c r="AU1883" s="14">
        <v>0.35073403643693501</v>
      </c>
      <c r="AV1883" s="14"/>
      <c r="AW1883" s="14">
        <v>0.36593058860560501</v>
      </c>
      <c r="AX1883" s="14">
        <v>0.26973158450596602</v>
      </c>
      <c r="AY1883" s="14"/>
      <c r="AZ1883" s="14">
        <v>0.33242134105739402</v>
      </c>
      <c r="BA1883" s="14">
        <v>0.41311264667136699</v>
      </c>
    </row>
    <row r="1884" spans="2:53" x14ac:dyDescent="0.35">
      <c r="B1884" t="s">
        <v>442</v>
      </c>
      <c r="C1884" s="14">
        <v>5.3263654395839001E-2</v>
      </c>
      <c r="D1884" s="14">
        <v>3.4096483575691103E-2</v>
      </c>
      <c r="E1884" s="14">
        <v>7.2497791086324606E-2</v>
      </c>
      <c r="F1884" s="14"/>
      <c r="G1884" s="14">
        <v>0</v>
      </c>
      <c r="H1884" s="14">
        <v>3.0476537245618E-2</v>
      </c>
      <c r="I1884" s="14">
        <v>5.6453214217872E-2</v>
      </c>
      <c r="J1884" s="14">
        <v>6.0455297541135398E-2</v>
      </c>
      <c r="K1884" s="14">
        <v>4.3707979103411301E-2</v>
      </c>
      <c r="L1884" s="14">
        <v>0.12005187765651699</v>
      </c>
      <c r="M1884" s="14"/>
      <c r="N1884" s="14">
        <v>5.31603743895206E-2</v>
      </c>
      <c r="O1884" s="14">
        <v>4.7805235137751798E-2</v>
      </c>
      <c r="P1884" s="14">
        <v>5.3288011216543099E-2</v>
      </c>
      <c r="Q1884" s="14">
        <v>5.9644676321886102E-2</v>
      </c>
      <c r="R1884" s="14"/>
      <c r="S1884" s="14">
        <v>3.6825543147454197E-2</v>
      </c>
      <c r="T1884" s="14">
        <v>8.1822117796711002E-2</v>
      </c>
      <c r="U1884" s="14">
        <v>3.0269887711132301E-2</v>
      </c>
      <c r="V1884" s="14">
        <v>6.8999021782474995E-2</v>
      </c>
      <c r="W1884" s="14">
        <v>5.1976509887554097E-2</v>
      </c>
      <c r="X1884" s="14">
        <v>5.8618387593797602E-2</v>
      </c>
      <c r="Y1884" s="14">
        <v>3.9859453478507299E-2</v>
      </c>
      <c r="Z1884" s="14">
        <v>5.81024801839213E-2</v>
      </c>
      <c r="AA1884" s="14">
        <v>4.8015009582896E-2</v>
      </c>
      <c r="AB1884" s="14"/>
      <c r="AC1884" s="14">
        <v>6.2400229039740102E-2</v>
      </c>
      <c r="AD1884" s="14">
        <v>7.6247278496159407E-2</v>
      </c>
      <c r="AE1884" s="14">
        <v>3.7752442512685801E-2</v>
      </c>
      <c r="AF1884" s="14">
        <v>2.1289551518811699E-2</v>
      </c>
      <c r="AG1884" s="14">
        <v>1.7369136319567401E-2</v>
      </c>
      <c r="AH1884" s="14"/>
      <c r="AI1884" s="14">
        <v>3.25666018650905E-2</v>
      </c>
      <c r="AJ1884" s="14">
        <v>5.2018162982358597E-2</v>
      </c>
      <c r="AK1884" s="14">
        <v>7.6702966391182695E-2</v>
      </c>
      <c r="AL1884" s="14">
        <v>7.0393121541192302E-2</v>
      </c>
      <c r="AM1884" s="14">
        <v>7.0533210955118594E-2</v>
      </c>
      <c r="AN1884" s="14">
        <v>7.2306084065899598E-2</v>
      </c>
      <c r="AO1884" s="14"/>
      <c r="AP1884" s="14">
        <v>4.0160269426105302E-2</v>
      </c>
      <c r="AQ1884" s="14">
        <v>6.8178455592194195E-2</v>
      </c>
      <c r="AR1884" s="14"/>
      <c r="AS1884" s="14">
        <v>2.6013065448215501E-2</v>
      </c>
      <c r="AT1884" s="14">
        <v>5.1116581485551503E-2</v>
      </c>
      <c r="AU1884" s="14">
        <v>6.1232617164329602E-2</v>
      </c>
      <c r="AV1884" s="14"/>
      <c r="AW1884" s="14">
        <v>5.86847827282449E-2</v>
      </c>
      <c r="AX1884" s="14">
        <v>1.6375702056510202E-2</v>
      </c>
      <c r="AY1884" s="14"/>
      <c r="AZ1884" s="14">
        <v>4.0329335398932097E-2</v>
      </c>
      <c r="BA1884" s="14">
        <v>0.102611099008734</v>
      </c>
    </row>
    <row r="1885" spans="2:53" x14ac:dyDescent="0.35">
      <c r="B1885" t="s">
        <v>443</v>
      </c>
      <c r="C1885" s="14">
        <v>1.8004675046613301E-2</v>
      </c>
      <c r="D1885" s="14">
        <v>5.7960212299213998E-3</v>
      </c>
      <c r="E1885" s="14">
        <v>3.02405466432994E-2</v>
      </c>
      <c r="F1885" s="14"/>
      <c r="G1885" s="14">
        <v>0</v>
      </c>
      <c r="H1885" s="14">
        <v>1.7765457093957999E-2</v>
      </c>
      <c r="I1885" s="14">
        <v>1.30375068181452E-2</v>
      </c>
      <c r="J1885" s="14">
        <v>3.0324530142245801E-2</v>
      </c>
      <c r="K1885" s="14">
        <v>5.6967360571398198E-3</v>
      </c>
      <c r="L1885" s="14">
        <v>0</v>
      </c>
      <c r="M1885" s="14"/>
      <c r="N1885" s="14">
        <v>1.46962130305438E-2</v>
      </c>
      <c r="O1885" s="14">
        <v>1.1365624040258E-2</v>
      </c>
      <c r="P1885" s="14">
        <v>1.9727752160700301E-2</v>
      </c>
      <c r="Q1885" s="14">
        <v>2.7167532044304301E-2</v>
      </c>
      <c r="R1885" s="14"/>
      <c r="S1885" s="14">
        <v>7.2062223786123897E-3</v>
      </c>
      <c r="T1885" s="14">
        <v>7.5090914591823803E-3</v>
      </c>
      <c r="U1885" s="14">
        <v>3.0770156542842798E-2</v>
      </c>
      <c r="V1885" s="14">
        <v>1.2164962938581599E-2</v>
      </c>
      <c r="W1885" s="14">
        <v>3.30833060919829E-2</v>
      </c>
      <c r="X1885" s="14">
        <v>2.9439490489282301E-2</v>
      </c>
      <c r="Y1885" s="14">
        <v>1.7231317094492899E-2</v>
      </c>
      <c r="Z1885" s="14">
        <v>3.814543802624E-2</v>
      </c>
      <c r="AA1885" s="14">
        <v>1.286570016522E-2</v>
      </c>
      <c r="AB1885" s="14"/>
      <c r="AC1885" s="14">
        <v>2.3739170012949801E-2</v>
      </c>
      <c r="AD1885" s="14">
        <v>2.52348426810616E-2</v>
      </c>
      <c r="AE1885" s="14">
        <v>1.4826461443275899E-2</v>
      </c>
      <c r="AF1885" s="14">
        <v>4.56666016331711E-3</v>
      </c>
      <c r="AG1885" s="14">
        <v>0</v>
      </c>
      <c r="AH1885" s="14"/>
      <c r="AI1885" s="14">
        <v>1.8328690299339302E-2</v>
      </c>
      <c r="AJ1885" s="14">
        <v>1.5504017357969699E-2</v>
      </c>
      <c r="AK1885" s="14">
        <v>1.29607733746144E-2</v>
      </c>
      <c r="AL1885" s="14">
        <v>1.0555130837512101E-2</v>
      </c>
      <c r="AM1885" s="14">
        <v>2.5795886296174599E-2</v>
      </c>
      <c r="AN1885" s="14">
        <v>1.8077246166804801E-2</v>
      </c>
      <c r="AO1885" s="14"/>
      <c r="AP1885" s="14">
        <v>1.7176350973086299E-2</v>
      </c>
      <c r="AQ1885" s="14">
        <v>1.8994680553734902E-2</v>
      </c>
      <c r="AR1885" s="14"/>
      <c r="AS1885" s="14">
        <v>2.40633539141625E-3</v>
      </c>
      <c r="AT1885" s="14">
        <v>2.1098559416514201E-2</v>
      </c>
      <c r="AU1885" s="14">
        <v>2.1287885304995102E-2</v>
      </c>
      <c r="AV1885" s="14"/>
      <c r="AW1885" s="14">
        <v>1.3753725587627001E-2</v>
      </c>
      <c r="AX1885" s="14">
        <v>8.2397492645273993E-3</v>
      </c>
      <c r="AY1885" s="14"/>
      <c r="AZ1885" s="14">
        <v>1.42208627569952E-2</v>
      </c>
      <c r="BA1885" s="14">
        <v>3.2491743953369401E-2</v>
      </c>
    </row>
    <row r="1886" spans="2:53" x14ac:dyDescent="0.35">
      <c r="B1886" t="s">
        <v>80</v>
      </c>
      <c r="C1886" s="14">
        <v>7.7317158906051495E-2</v>
      </c>
      <c r="D1886" s="14">
        <v>6.3281731245949505E-2</v>
      </c>
      <c r="E1886" s="14">
        <v>9.1438769336733505E-2</v>
      </c>
      <c r="F1886" s="14"/>
      <c r="G1886" s="14">
        <v>0</v>
      </c>
      <c r="H1886" s="14">
        <v>6.87245274886195E-2</v>
      </c>
      <c r="I1886" s="14">
        <v>7.1128864478444603E-2</v>
      </c>
      <c r="J1886" s="14">
        <v>7.6421105089992794E-2</v>
      </c>
      <c r="K1886" s="14">
        <v>0.118135286841307</v>
      </c>
      <c r="L1886" s="14">
        <v>0.137268834999517</v>
      </c>
      <c r="M1886" s="14"/>
      <c r="N1886" s="14">
        <v>2.94947527258374E-2</v>
      </c>
      <c r="O1886" s="14">
        <v>7.5954917591070301E-2</v>
      </c>
      <c r="P1886" s="14">
        <v>9.5858556981820595E-2</v>
      </c>
      <c r="Q1886" s="14">
        <v>0.112408502490706</v>
      </c>
      <c r="R1886" s="14"/>
      <c r="S1886" s="14">
        <v>6.6181134471957906E-2</v>
      </c>
      <c r="T1886" s="14">
        <v>6.1804172193545601E-2</v>
      </c>
      <c r="U1886" s="14">
        <v>0.10205107677676099</v>
      </c>
      <c r="V1886" s="14">
        <v>0.102629375167199</v>
      </c>
      <c r="W1886" s="14">
        <v>6.5243783831077998E-2</v>
      </c>
      <c r="X1886" s="14">
        <v>8.0024579011788305E-2</v>
      </c>
      <c r="Y1886" s="14">
        <v>6.81926690278431E-2</v>
      </c>
      <c r="Z1886" s="14">
        <v>9.1163992770450494E-2</v>
      </c>
      <c r="AA1886" s="14">
        <v>7.7594203343257201E-2</v>
      </c>
      <c r="AB1886" s="14"/>
      <c r="AC1886" s="14">
        <v>0.11141058087490301</v>
      </c>
      <c r="AD1886" s="14">
        <v>6.8740689490322707E-2</v>
      </c>
      <c r="AE1886" s="14">
        <v>5.1640195782533198E-2</v>
      </c>
      <c r="AF1886" s="14">
        <v>4.1211727639599502E-2</v>
      </c>
      <c r="AG1886" s="14">
        <v>1.40365128650168E-2</v>
      </c>
      <c r="AH1886" s="14"/>
      <c r="AI1886" s="14">
        <v>6.08517902642986E-2</v>
      </c>
      <c r="AJ1886" s="14">
        <v>3.1597822640247998E-2</v>
      </c>
      <c r="AK1886" s="14">
        <v>4.5640758173761502E-2</v>
      </c>
      <c r="AL1886" s="14">
        <v>8.5600874843477101E-2</v>
      </c>
      <c r="AM1886" s="14">
        <v>5.7291509382297899E-2</v>
      </c>
      <c r="AN1886" s="14">
        <v>0.230854557311264</v>
      </c>
      <c r="AO1886" s="14"/>
      <c r="AP1886" s="14">
        <v>5.8582603543994798E-2</v>
      </c>
      <c r="AQ1886" s="14">
        <v>9.7449499513353396E-2</v>
      </c>
      <c r="AR1886" s="14"/>
      <c r="AS1886" s="14">
        <v>8.2952672481256207E-2</v>
      </c>
      <c r="AT1886" s="14">
        <v>5.4522233531640103E-2</v>
      </c>
      <c r="AU1886" s="14">
        <v>8.2540795960450594E-2</v>
      </c>
      <c r="AV1886" s="14"/>
      <c r="AW1886" s="14">
        <v>6.9018411671480095E-2</v>
      </c>
      <c r="AX1886" s="14">
        <v>2.62979792540908E-2</v>
      </c>
      <c r="AY1886" s="14"/>
      <c r="AZ1886" s="14">
        <v>5.8201171994385702E-2</v>
      </c>
      <c r="BA1886" s="14">
        <v>0.13734642107779199</v>
      </c>
    </row>
    <row r="1887" spans="2:53" x14ac:dyDescent="0.35"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</row>
    <row r="1888" spans="2:53" x14ac:dyDescent="0.35">
      <c r="B1888" s="6" t="s">
        <v>448</v>
      </c>
      <c r="C1888" s="14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  <c r="AO1888" s="14"/>
      <c r="AP1888" s="14"/>
      <c r="AQ1888" s="14"/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</row>
    <row r="1889" spans="2:53" x14ac:dyDescent="0.35">
      <c r="B1889" s="24" t="s">
        <v>118</v>
      </c>
      <c r="C1889" s="14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  <c r="AO1889" s="14"/>
      <c r="AP1889" s="14"/>
      <c r="AQ1889" s="14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</row>
    <row r="1890" spans="2:53" x14ac:dyDescent="0.35">
      <c r="B1890" t="s">
        <v>220</v>
      </c>
      <c r="C1890" s="14">
        <v>0.21444846178832699</v>
      </c>
      <c r="D1890" s="14">
        <v>0.24401565928339999</v>
      </c>
      <c r="E1890" s="14">
        <v>0.18409601892282901</v>
      </c>
      <c r="F1890" s="14"/>
      <c r="G1890" s="14">
        <v>0.234967666999294</v>
      </c>
      <c r="H1890" s="14">
        <v>0.26694007118634</v>
      </c>
      <c r="I1890" s="14">
        <v>0.217616571554056</v>
      </c>
      <c r="J1890" s="14">
        <v>0.191153918135129</v>
      </c>
      <c r="K1890" s="14">
        <v>0.20527685139264501</v>
      </c>
      <c r="L1890" s="14">
        <v>0.116985278620378</v>
      </c>
      <c r="M1890" s="14"/>
      <c r="N1890" s="14">
        <v>0.251780376812411</v>
      </c>
      <c r="O1890" s="14">
        <v>0.184113006137301</v>
      </c>
      <c r="P1890" s="14">
        <v>0.20038064157080501</v>
      </c>
      <c r="Q1890" s="14">
        <v>0.217985688539647</v>
      </c>
      <c r="R1890" s="14"/>
      <c r="S1890" s="14">
        <v>0.248112279640055</v>
      </c>
      <c r="T1890" s="14">
        <v>0.226184118331101</v>
      </c>
      <c r="U1890" s="14">
        <v>0.220960714244477</v>
      </c>
      <c r="V1890" s="14">
        <v>0.195604557672546</v>
      </c>
      <c r="W1890" s="14">
        <v>0.20069305514028199</v>
      </c>
      <c r="X1890" s="14">
        <v>0.23761405433753499</v>
      </c>
      <c r="Y1890" s="14">
        <v>0.20352913882662399</v>
      </c>
      <c r="Z1890" s="14">
        <v>0.236031917395056</v>
      </c>
      <c r="AA1890" s="14">
        <v>0.161277382709615</v>
      </c>
      <c r="AB1890" s="14"/>
      <c r="AC1890" s="14">
        <v>0.170968966939924</v>
      </c>
      <c r="AD1890" s="14">
        <v>0.18475162630000999</v>
      </c>
      <c r="AE1890" s="14">
        <v>0.22129734422460001</v>
      </c>
      <c r="AF1890" s="14">
        <v>0.29935473567494397</v>
      </c>
      <c r="AG1890" s="14">
        <v>0.33815086303923902</v>
      </c>
      <c r="AH1890" s="14"/>
      <c r="AI1890" s="14">
        <v>0.235591483343283</v>
      </c>
      <c r="AJ1890" s="14">
        <v>0.188582789249292</v>
      </c>
      <c r="AK1890" s="14">
        <v>0.226813699676294</v>
      </c>
      <c r="AL1890" s="14">
        <v>0.203167948273904</v>
      </c>
      <c r="AM1890" s="14">
        <v>0.22995834160033099</v>
      </c>
      <c r="AN1890" s="14">
        <v>0.226299292074293</v>
      </c>
      <c r="AO1890" s="14"/>
      <c r="AP1890" s="14">
        <v>0.25132336119027898</v>
      </c>
      <c r="AQ1890" s="14">
        <v>0.17365014703229201</v>
      </c>
      <c r="AR1890" s="14"/>
      <c r="AS1890" s="14">
        <v>0.26866821454388001</v>
      </c>
      <c r="AT1890" s="14">
        <v>0.190877178515099</v>
      </c>
      <c r="AU1890" s="14">
        <v>0.20682595147302399</v>
      </c>
      <c r="AV1890" s="14"/>
      <c r="AW1890" s="14">
        <v>0.20582379700304201</v>
      </c>
      <c r="AX1890" s="14">
        <v>0.27960419306845502</v>
      </c>
      <c r="AY1890" s="14"/>
      <c r="AZ1890" s="14">
        <v>0.22997435381332601</v>
      </c>
      <c r="BA1890" s="14">
        <v>0.16106668221189599</v>
      </c>
    </row>
    <row r="1891" spans="2:53" x14ac:dyDescent="0.35">
      <c r="B1891" t="s">
        <v>445</v>
      </c>
      <c r="C1891" s="14">
        <v>0.50018724934106895</v>
      </c>
      <c r="D1891" s="14">
        <v>0.49855066052939101</v>
      </c>
      <c r="E1891" s="14">
        <v>0.50231008552693801</v>
      </c>
      <c r="F1891" s="14"/>
      <c r="G1891" s="14">
        <v>0.62043660095529396</v>
      </c>
      <c r="H1891" s="14">
        <v>0.47342236249528802</v>
      </c>
      <c r="I1891" s="14">
        <v>0.50249634365777895</v>
      </c>
      <c r="J1891" s="14">
        <v>0.50356270935506497</v>
      </c>
      <c r="K1891" s="14">
        <v>0.515169552978608</v>
      </c>
      <c r="L1891" s="14">
        <v>0.49678357108293397</v>
      </c>
      <c r="M1891" s="14"/>
      <c r="N1891" s="14">
        <v>0.46556844797753899</v>
      </c>
      <c r="O1891" s="14">
        <v>0.51985311020519898</v>
      </c>
      <c r="P1891" s="14">
        <v>0.50840332577665803</v>
      </c>
      <c r="Q1891" s="14">
        <v>0.51072841312718298</v>
      </c>
      <c r="R1891" s="14"/>
      <c r="S1891" s="14">
        <v>0.45879417791139399</v>
      </c>
      <c r="T1891" s="14">
        <v>0.49248509313741801</v>
      </c>
      <c r="U1891" s="14">
        <v>0.502948399017489</v>
      </c>
      <c r="V1891" s="14">
        <v>0.51602889439348398</v>
      </c>
      <c r="W1891" s="14">
        <v>0.513743214376152</v>
      </c>
      <c r="X1891" s="14">
        <v>0.46184916130950798</v>
      </c>
      <c r="Y1891" s="14">
        <v>0.54883972598842901</v>
      </c>
      <c r="Z1891" s="14">
        <v>0.49658796534049898</v>
      </c>
      <c r="AA1891" s="14">
        <v>0.52908461795706996</v>
      </c>
      <c r="AB1891" s="14"/>
      <c r="AC1891" s="14">
        <v>0.54247312011232796</v>
      </c>
      <c r="AD1891" s="14">
        <v>0.531622529054389</v>
      </c>
      <c r="AE1891" s="14">
        <v>0.48855364573052201</v>
      </c>
      <c r="AF1891" s="14">
        <v>0.46296818974113602</v>
      </c>
      <c r="AG1891" s="14">
        <v>0.37267657464255299</v>
      </c>
      <c r="AH1891" s="14"/>
      <c r="AI1891" s="14">
        <v>0.47766462523918501</v>
      </c>
      <c r="AJ1891" s="14">
        <v>0.52272535716181201</v>
      </c>
      <c r="AK1891" s="14">
        <v>0.535038111752977</v>
      </c>
      <c r="AL1891" s="14">
        <v>0.53189967814964301</v>
      </c>
      <c r="AM1891" s="14">
        <v>0.43842398364169799</v>
      </c>
      <c r="AN1891" s="14">
        <v>0.435576488815556</v>
      </c>
      <c r="AO1891" s="14"/>
      <c r="AP1891" s="14">
        <v>0.49147542714753001</v>
      </c>
      <c r="AQ1891" s="14">
        <v>0.51024113532900595</v>
      </c>
      <c r="AR1891" s="14"/>
      <c r="AS1891" s="14">
        <v>0.47409070925575397</v>
      </c>
      <c r="AT1891" s="14">
        <v>0.52083248815961802</v>
      </c>
      <c r="AU1891" s="14">
        <v>0.50110603992361002</v>
      </c>
      <c r="AV1891" s="14"/>
      <c r="AW1891" s="14">
        <v>0.51114755441173798</v>
      </c>
      <c r="AX1891" s="14">
        <v>0.420023867834873</v>
      </c>
      <c r="AY1891" s="14"/>
      <c r="AZ1891" s="14">
        <v>0.51435526282266197</v>
      </c>
      <c r="BA1891" s="14">
        <v>0.45281338475310901</v>
      </c>
    </row>
    <row r="1892" spans="2:53" x14ac:dyDescent="0.35">
      <c r="B1892" t="s">
        <v>446</v>
      </c>
      <c r="C1892" s="14">
        <v>0.19465729916735799</v>
      </c>
      <c r="D1892" s="14">
        <v>0.19035304061865299</v>
      </c>
      <c r="E1892" s="14">
        <v>0.199153722446688</v>
      </c>
      <c r="F1892" s="14"/>
      <c r="G1892" s="14">
        <v>4.7152529771917098E-2</v>
      </c>
      <c r="H1892" s="14">
        <v>0.17082903124961299</v>
      </c>
      <c r="I1892" s="14">
        <v>0.19080972692074699</v>
      </c>
      <c r="J1892" s="14">
        <v>0.21459132049386101</v>
      </c>
      <c r="K1892" s="14">
        <v>0.18139471496699799</v>
      </c>
      <c r="L1892" s="14">
        <v>0.27726436226523399</v>
      </c>
      <c r="M1892" s="14"/>
      <c r="N1892" s="14">
        <v>0.216320142442921</v>
      </c>
      <c r="O1892" s="14">
        <v>0.1940550680292</v>
      </c>
      <c r="P1892" s="14">
        <v>0.198509180164293</v>
      </c>
      <c r="Q1892" s="14">
        <v>0.16921921077823099</v>
      </c>
      <c r="R1892" s="14"/>
      <c r="S1892" s="14">
        <v>0.20045557551099599</v>
      </c>
      <c r="T1892" s="14">
        <v>0.17918709416691</v>
      </c>
      <c r="U1892" s="14">
        <v>0.21640009552891901</v>
      </c>
      <c r="V1892" s="14">
        <v>0.19150103618700601</v>
      </c>
      <c r="W1892" s="14">
        <v>0.20198857948225801</v>
      </c>
      <c r="X1892" s="14">
        <v>0.21763376039868601</v>
      </c>
      <c r="Y1892" s="14">
        <v>0.17159343792083001</v>
      </c>
      <c r="Z1892" s="14">
        <v>0.19667185748421401</v>
      </c>
      <c r="AA1892" s="14">
        <v>0.18665247272028601</v>
      </c>
      <c r="AB1892" s="14"/>
      <c r="AC1892" s="14">
        <v>0.18457767790427701</v>
      </c>
      <c r="AD1892" s="14">
        <v>0.19838388009379501</v>
      </c>
      <c r="AE1892" s="14">
        <v>0.212753281392799</v>
      </c>
      <c r="AF1892" s="14">
        <v>0.174458200173675</v>
      </c>
      <c r="AG1892" s="14">
        <v>0.191219582027188</v>
      </c>
      <c r="AH1892" s="14"/>
      <c r="AI1892" s="14">
        <v>0.21675614924830799</v>
      </c>
      <c r="AJ1892" s="14">
        <v>0.208859465258557</v>
      </c>
      <c r="AK1892" s="14">
        <v>0.158947815819869</v>
      </c>
      <c r="AL1892" s="14">
        <v>0.17863904817537801</v>
      </c>
      <c r="AM1892" s="14">
        <v>0.19350171325312901</v>
      </c>
      <c r="AN1892" s="14">
        <v>0.20108274731633299</v>
      </c>
      <c r="AO1892" s="14"/>
      <c r="AP1892" s="14">
        <v>0.18331996474839701</v>
      </c>
      <c r="AQ1892" s="14">
        <v>0.20804072412366301</v>
      </c>
      <c r="AR1892" s="14"/>
      <c r="AS1892" s="14">
        <v>0.189119959193843</v>
      </c>
      <c r="AT1892" s="14">
        <v>0.20182802341240599</v>
      </c>
      <c r="AU1892" s="14">
        <v>0.194027241606156</v>
      </c>
      <c r="AV1892" s="14"/>
      <c r="AW1892" s="14">
        <v>0.19235152062455499</v>
      </c>
      <c r="AX1892" s="14">
        <v>0.22435918414487799</v>
      </c>
      <c r="AY1892" s="14"/>
      <c r="AZ1892" s="14">
        <v>0.18694118546212199</v>
      </c>
      <c r="BA1892" s="14">
        <v>0.22752072670717599</v>
      </c>
    </row>
    <row r="1893" spans="2:53" x14ac:dyDescent="0.35">
      <c r="B1893" t="s">
        <v>447</v>
      </c>
      <c r="C1893" s="14">
        <v>3.0552273544299E-2</v>
      </c>
      <c r="D1893" s="14">
        <v>2.1358544936817599E-2</v>
      </c>
      <c r="E1893" s="14">
        <v>3.97829742884903E-2</v>
      </c>
      <c r="F1893" s="14"/>
      <c r="G1893" s="14">
        <v>9.7443202273495205E-2</v>
      </c>
      <c r="H1893" s="14">
        <v>3.3458462759492803E-2</v>
      </c>
      <c r="I1893" s="14">
        <v>3.4049072587556899E-2</v>
      </c>
      <c r="J1893" s="14">
        <v>2.7489171926673599E-2</v>
      </c>
      <c r="K1893" s="14">
        <v>2.0409995804204498E-2</v>
      </c>
      <c r="L1893" s="14">
        <v>0</v>
      </c>
      <c r="M1893" s="14"/>
      <c r="N1893" s="14">
        <v>2.8458320087806601E-2</v>
      </c>
      <c r="O1893" s="14">
        <v>4.3820686593574402E-2</v>
      </c>
      <c r="P1893" s="14">
        <v>2.4888584565972299E-2</v>
      </c>
      <c r="Q1893" s="14">
        <v>2.4367034355335201E-2</v>
      </c>
      <c r="R1893" s="14"/>
      <c r="S1893" s="14">
        <v>4.5033134878683302E-2</v>
      </c>
      <c r="T1893" s="14">
        <v>3.0950811439809701E-2</v>
      </c>
      <c r="U1893" s="14">
        <v>9.6782180713782008E-3</v>
      </c>
      <c r="V1893" s="14">
        <v>2.1964280035566899E-2</v>
      </c>
      <c r="W1893" s="14">
        <v>1.8524246393720099E-2</v>
      </c>
      <c r="X1893" s="14">
        <v>2.6216528257654099E-2</v>
      </c>
      <c r="Y1893" s="14">
        <v>3.0452124643025599E-2</v>
      </c>
      <c r="Z1893" s="14">
        <v>1.20596836938449E-2</v>
      </c>
      <c r="AA1893" s="14">
        <v>5.4517723431012001E-2</v>
      </c>
      <c r="AB1893" s="14"/>
      <c r="AC1893" s="14">
        <v>1.62677303327829E-2</v>
      </c>
      <c r="AD1893" s="14">
        <v>3.6272302170204503E-2</v>
      </c>
      <c r="AE1893" s="14">
        <v>3.0800839104037199E-2</v>
      </c>
      <c r="AF1893" s="14">
        <v>4.4693220026331602E-2</v>
      </c>
      <c r="AG1893" s="14">
        <v>2.40490743001305E-2</v>
      </c>
      <c r="AH1893" s="14"/>
      <c r="AI1893" s="14">
        <v>2.9457728928780499E-2</v>
      </c>
      <c r="AJ1893" s="14">
        <v>3.07048834916685E-2</v>
      </c>
      <c r="AK1893" s="14">
        <v>3.0726523143064299E-2</v>
      </c>
      <c r="AL1893" s="14">
        <v>3.3968358415370402E-2</v>
      </c>
      <c r="AM1893" s="14">
        <v>5.7989324104516703E-2</v>
      </c>
      <c r="AN1893" s="14">
        <v>1.62706317328053E-2</v>
      </c>
      <c r="AO1893" s="14"/>
      <c r="AP1893" s="14">
        <v>2.4692234475519399E-2</v>
      </c>
      <c r="AQ1893" s="14">
        <v>3.6577294449805099E-2</v>
      </c>
      <c r="AR1893" s="14"/>
      <c r="AS1893" s="14">
        <v>1.6172412967957499E-2</v>
      </c>
      <c r="AT1893" s="14">
        <v>3.4709923286081502E-2</v>
      </c>
      <c r="AU1893" s="14">
        <v>3.3192998274658998E-2</v>
      </c>
      <c r="AV1893" s="14"/>
      <c r="AW1893" s="14">
        <v>2.7229381198283598E-2</v>
      </c>
      <c r="AX1893" s="14">
        <v>4.9516285288833298E-2</v>
      </c>
      <c r="AY1893" s="14"/>
      <c r="AZ1893" s="14">
        <v>2.5590575018621501E-2</v>
      </c>
      <c r="BA1893" s="14">
        <v>4.9695086297955202E-2</v>
      </c>
    </row>
    <row r="1894" spans="2:53" x14ac:dyDescent="0.35">
      <c r="B1894" t="s">
        <v>80</v>
      </c>
      <c r="C1894" s="14">
        <v>6.0154716158947102E-2</v>
      </c>
      <c r="D1894" s="14">
        <v>4.5722094631737799E-2</v>
      </c>
      <c r="E1894" s="14">
        <v>7.4657198815054407E-2</v>
      </c>
      <c r="F1894" s="14"/>
      <c r="G1894" s="14">
        <v>0</v>
      </c>
      <c r="H1894" s="14">
        <v>5.5350072309266099E-2</v>
      </c>
      <c r="I1894" s="14">
        <v>5.50282852798612E-2</v>
      </c>
      <c r="J1894" s="14">
        <v>6.3202880089271302E-2</v>
      </c>
      <c r="K1894" s="14">
        <v>7.77488848575449E-2</v>
      </c>
      <c r="L1894" s="14">
        <v>0.108966788031454</v>
      </c>
      <c r="M1894" s="14"/>
      <c r="N1894" s="14">
        <v>3.7872712679322303E-2</v>
      </c>
      <c r="O1894" s="14">
        <v>5.8158129034726599E-2</v>
      </c>
      <c r="P1894" s="14">
        <v>6.7818267922272496E-2</v>
      </c>
      <c r="Q1894" s="14">
        <v>7.7699653199603702E-2</v>
      </c>
      <c r="R1894" s="14"/>
      <c r="S1894" s="14">
        <v>4.7604832058872101E-2</v>
      </c>
      <c r="T1894" s="14">
        <v>7.1192882924760906E-2</v>
      </c>
      <c r="U1894" s="14">
        <v>5.0012573137737201E-2</v>
      </c>
      <c r="V1894" s="14">
        <v>7.4901231711396996E-2</v>
      </c>
      <c r="W1894" s="14">
        <v>6.5050904607588403E-2</v>
      </c>
      <c r="X1894" s="14">
        <v>5.6686495696616802E-2</v>
      </c>
      <c r="Y1894" s="14">
        <v>4.5585572621090899E-2</v>
      </c>
      <c r="Z1894" s="14">
        <v>5.8648576086386399E-2</v>
      </c>
      <c r="AA1894" s="14">
        <v>6.8467803182016604E-2</v>
      </c>
      <c r="AB1894" s="14"/>
      <c r="AC1894" s="14">
        <v>8.5712504710688406E-2</v>
      </c>
      <c r="AD1894" s="14">
        <v>4.8969662381601303E-2</v>
      </c>
      <c r="AE1894" s="14">
        <v>4.6594889548041703E-2</v>
      </c>
      <c r="AF1894" s="14">
        <v>1.8525654383912599E-2</v>
      </c>
      <c r="AG1894" s="14">
        <v>7.3903905990889501E-2</v>
      </c>
      <c r="AH1894" s="14"/>
      <c r="AI1894" s="14">
        <v>4.0530013240443002E-2</v>
      </c>
      <c r="AJ1894" s="14">
        <v>4.9127504838670497E-2</v>
      </c>
      <c r="AK1894" s="14">
        <v>4.8473849607796098E-2</v>
      </c>
      <c r="AL1894" s="14">
        <v>5.2324966985704803E-2</v>
      </c>
      <c r="AM1894" s="14">
        <v>8.0126637400324399E-2</v>
      </c>
      <c r="AN1894" s="14">
        <v>0.120770840061013</v>
      </c>
      <c r="AO1894" s="14"/>
      <c r="AP1894" s="14">
        <v>4.9189012438274803E-2</v>
      </c>
      <c r="AQ1894" s="14">
        <v>7.1490699065233504E-2</v>
      </c>
      <c r="AR1894" s="14"/>
      <c r="AS1894" s="14">
        <v>5.1948704038564802E-2</v>
      </c>
      <c r="AT1894" s="14">
        <v>5.1752386626795599E-2</v>
      </c>
      <c r="AU1894" s="14">
        <v>6.4847768722551394E-2</v>
      </c>
      <c r="AV1894" s="14"/>
      <c r="AW1894" s="14">
        <v>6.3447746762381199E-2</v>
      </c>
      <c r="AX1894" s="14">
        <v>2.6496469662961201E-2</v>
      </c>
      <c r="AY1894" s="14"/>
      <c r="AZ1894" s="14">
        <v>4.3138622883268599E-2</v>
      </c>
      <c r="BA1894" s="14">
        <v>0.10890412002986399</v>
      </c>
    </row>
    <row r="1895" spans="2:53" x14ac:dyDescent="0.35">
      <c r="B1895" t="s">
        <v>224</v>
      </c>
      <c r="C1895" s="14">
        <v>0.71463571112939595</v>
      </c>
      <c r="D1895" s="14">
        <v>0.74256631981279198</v>
      </c>
      <c r="E1895" s="14">
        <v>0.68640610444976802</v>
      </c>
      <c r="F1895" s="14"/>
      <c r="G1895" s="14">
        <v>0.85540426795458802</v>
      </c>
      <c r="H1895" s="14">
        <v>0.74036243368162802</v>
      </c>
      <c r="I1895" s="14">
        <v>0.72011291521183496</v>
      </c>
      <c r="J1895" s="14">
        <v>0.69471662749019403</v>
      </c>
      <c r="K1895" s="14">
        <v>0.72044640437125296</v>
      </c>
      <c r="L1895" s="14">
        <v>0.61376884970331202</v>
      </c>
      <c r="M1895" s="14"/>
      <c r="N1895" s="14">
        <v>0.71734882478994999</v>
      </c>
      <c r="O1895" s="14">
        <v>0.70396611634249895</v>
      </c>
      <c r="P1895" s="14">
        <v>0.70878396734746196</v>
      </c>
      <c r="Q1895" s="14">
        <v>0.72871410166683004</v>
      </c>
      <c r="R1895" s="14"/>
      <c r="S1895" s="14">
        <v>0.70690645755144899</v>
      </c>
      <c r="T1895" s="14">
        <v>0.71866921146851903</v>
      </c>
      <c r="U1895" s="14">
        <v>0.72390911326196505</v>
      </c>
      <c r="V1895" s="14">
        <v>0.71163345206603001</v>
      </c>
      <c r="W1895" s="14">
        <v>0.71443626951643302</v>
      </c>
      <c r="X1895" s="14">
        <v>0.69946321564704295</v>
      </c>
      <c r="Y1895" s="14">
        <v>0.75236886481505305</v>
      </c>
      <c r="Z1895" s="14">
        <v>0.73261988273555501</v>
      </c>
      <c r="AA1895" s="14">
        <v>0.69036200066668596</v>
      </c>
      <c r="AB1895" s="14"/>
      <c r="AC1895" s="14">
        <v>0.71344208705225098</v>
      </c>
      <c r="AD1895" s="14">
        <v>0.71637415535439897</v>
      </c>
      <c r="AE1895" s="14">
        <v>0.70985098995512197</v>
      </c>
      <c r="AF1895" s="14">
        <v>0.76232292541608104</v>
      </c>
      <c r="AG1895" s="14">
        <v>0.71082743768179202</v>
      </c>
      <c r="AH1895" s="14"/>
      <c r="AI1895" s="14">
        <v>0.71325610858246802</v>
      </c>
      <c r="AJ1895" s="14">
        <v>0.71130814641110396</v>
      </c>
      <c r="AK1895" s="14">
        <v>0.76185181142927105</v>
      </c>
      <c r="AL1895" s="14">
        <v>0.73506762642354695</v>
      </c>
      <c r="AM1895" s="14">
        <v>0.66838232524203001</v>
      </c>
      <c r="AN1895" s="14">
        <v>0.661875780889849</v>
      </c>
      <c r="AO1895" s="14"/>
      <c r="AP1895" s="14">
        <v>0.74279878833780899</v>
      </c>
      <c r="AQ1895" s="14">
        <v>0.68389128236129904</v>
      </c>
      <c r="AR1895" s="14"/>
      <c r="AS1895" s="14">
        <v>0.74275892379963504</v>
      </c>
      <c r="AT1895" s="14">
        <v>0.71170966667471602</v>
      </c>
      <c r="AU1895" s="14">
        <v>0.70793199139663399</v>
      </c>
      <c r="AV1895" s="14"/>
      <c r="AW1895" s="14">
        <v>0.71697135141477997</v>
      </c>
      <c r="AX1895" s="14">
        <v>0.69962806090332696</v>
      </c>
      <c r="AY1895" s="14"/>
      <c r="AZ1895" s="14">
        <v>0.74432961663598796</v>
      </c>
      <c r="BA1895" s="14">
        <v>0.61388006696500497</v>
      </c>
    </row>
    <row r="1896" spans="2:53" x14ac:dyDescent="0.35">
      <c r="C1896" s="14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/>
      <c r="AN1896" s="14"/>
      <c r="AO1896" s="14"/>
      <c r="AP1896" s="14"/>
      <c r="AQ1896" s="14"/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</row>
    <row r="1897" spans="2:53" x14ac:dyDescent="0.35">
      <c r="B1897" s="6" t="s">
        <v>452</v>
      </c>
      <c r="C1897" s="14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  <c r="AO1897" s="14"/>
      <c r="AP1897" s="14"/>
      <c r="AQ1897" s="14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</row>
    <row r="1898" spans="2:53" x14ac:dyDescent="0.35">
      <c r="B1898" s="24" t="s">
        <v>118</v>
      </c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</row>
    <row r="1899" spans="2:53" x14ac:dyDescent="0.35">
      <c r="B1899" t="s">
        <v>449</v>
      </c>
      <c r="C1899" s="14">
        <v>0.16782363066565301</v>
      </c>
      <c r="D1899" s="14">
        <v>0.14641442421634901</v>
      </c>
      <c r="E1899" s="14">
        <v>0.189412663259518</v>
      </c>
      <c r="F1899" s="14"/>
      <c r="G1899" s="14">
        <v>0.108614905515542</v>
      </c>
      <c r="H1899" s="14">
        <v>0.20058963412918501</v>
      </c>
      <c r="I1899" s="14">
        <v>0.15975516951661001</v>
      </c>
      <c r="J1899" s="14">
        <v>0.17737768561181999</v>
      </c>
      <c r="K1899" s="14">
        <v>0.12437513526974101</v>
      </c>
      <c r="L1899" s="14">
        <v>0.17267555445483199</v>
      </c>
      <c r="M1899" s="14"/>
      <c r="N1899" s="14">
        <v>0.169075368597398</v>
      </c>
      <c r="O1899" s="14">
        <v>0.199333368707974</v>
      </c>
      <c r="P1899" s="14">
        <v>0.168327444914809</v>
      </c>
      <c r="Q1899" s="14">
        <v>0.13369494668263299</v>
      </c>
      <c r="R1899" s="14"/>
      <c r="S1899" s="14">
        <v>0.193839626762384</v>
      </c>
      <c r="T1899" s="14">
        <v>0.16116919037142799</v>
      </c>
      <c r="U1899" s="14">
        <v>0.15792730419054299</v>
      </c>
      <c r="V1899" s="14">
        <v>0.16303981967716699</v>
      </c>
      <c r="W1899" s="14">
        <v>0.233947239446267</v>
      </c>
      <c r="X1899" s="14">
        <v>0.158783445190463</v>
      </c>
      <c r="Y1899" s="14">
        <v>0.15285705315319201</v>
      </c>
      <c r="Z1899" s="14">
        <v>0.14836923508511199</v>
      </c>
      <c r="AA1899" s="14">
        <v>0.13581710156160801</v>
      </c>
      <c r="AB1899" s="14"/>
      <c r="AC1899" s="14">
        <v>0.13684074153428699</v>
      </c>
      <c r="AD1899" s="14">
        <v>0.18889757127134499</v>
      </c>
      <c r="AE1899" s="14">
        <v>0.19308171448321401</v>
      </c>
      <c r="AF1899" s="14">
        <v>0.13810921789916999</v>
      </c>
      <c r="AG1899" s="14">
        <v>0.122240214728283</v>
      </c>
      <c r="AH1899" s="14"/>
      <c r="AI1899" s="14">
        <v>0.16353859821338901</v>
      </c>
      <c r="AJ1899" s="14">
        <v>0.16555394536256199</v>
      </c>
      <c r="AK1899" s="14">
        <v>0.19028209099840199</v>
      </c>
      <c r="AL1899" s="14">
        <v>0.16276522552131201</v>
      </c>
      <c r="AM1899" s="14">
        <v>0.15410416495981999</v>
      </c>
      <c r="AN1899" s="14">
        <v>0.18202439207843499</v>
      </c>
      <c r="AO1899" s="14"/>
      <c r="AP1899" s="14">
        <v>0.16163142562802299</v>
      </c>
      <c r="AQ1899" s="14">
        <v>0.175331585215177</v>
      </c>
      <c r="AR1899" s="14"/>
      <c r="AS1899" s="14">
        <v>0.14771922079305699</v>
      </c>
      <c r="AT1899" s="14">
        <v>0.14825917294926499</v>
      </c>
      <c r="AU1899" s="14">
        <v>0.17901954474526599</v>
      </c>
      <c r="AV1899" s="14"/>
      <c r="AW1899" s="14">
        <v>0.17183103300158101</v>
      </c>
      <c r="AX1899" s="14">
        <v>0.14199263740356999</v>
      </c>
      <c r="AY1899" s="14"/>
      <c r="AZ1899" s="14">
        <v>0.156562336692327</v>
      </c>
      <c r="BA1899" s="14">
        <v>0.21334161062696599</v>
      </c>
    </row>
    <row r="1900" spans="2:53" x14ac:dyDescent="0.35">
      <c r="B1900" t="s">
        <v>450</v>
      </c>
      <c r="C1900" s="14">
        <v>0.64257050337724897</v>
      </c>
      <c r="D1900" s="14">
        <v>0.68171396165828202</v>
      </c>
      <c r="E1900" s="14">
        <v>0.60304921309328097</v>
      </c>
      <c r="F1900" s="14"/>
      <c r="G1900" s="14">
        <v>0.89138509448445802</v>
      </c>
      <c r="H1900" s="14">
        <v>0.62390893101446698</v>
      </c>
      <c r="I1900" s="14">
        <v>0.63890403575778199</v>
      </c>
      <c r="J1900" s="14">
        <v>0.62537414291341997</v>
      </c>
      <c r="K1900" s="14">
        <v>0.76183308816242301</v>
      </c>
      <c r="L1900" s="14">
        <v>0.46063722229106602</v>
      </c>
      <c r="M1900" s="14"/>
      <c r="N1900" s="14">
        <v>0.68483695752269003</v>
      </c>
      <c r="O1900" s="14">
        <v>0.64940680796586003</v>
      </c>
      <c r="P1900" s="14">
        <v>0.61132423433237304</v>
      </c>
      <c r="Q1900" s="14">
        <v>0.61869763712894299</v>
      </c>
      <c r="R1900" s="14"/>
      <c r="S1900" s="14">
        <v>0.61152574712085705</v>
      </c>
      <c r="T1900" s="14">
        <v>0.64966844486823805</v>
      </c>
      <c r="U1900" s="14">
        <v>0.65146302907582498</v>
      </c>
      <c r="V1900" s="14">
        <v>0.60979840605143298</v>
      </c>
      <c r="W1900" s="14">
        <v>0.55795792747976303</v>
      </c>
      <c r="X1900" s="14">
        <v>0.67000069034966103</v>
      </c>
      <c r="Y1900" s="14">
        <v>0.67387258669368699</v>
      </c>
      <c r="Z1900" s="14">
        <v>0.66652599202080698</v>
      </c>
      <c r="AA1900" s="14">
        <v>0.69708991386150398</v>
      </c>
      <c r="AB1900" s="14"/>
      <c r="AC1900" s="14">
        <v>0.64200610466227603</v>
      </c>
      <c r="AD1900" s="14">
        <v>0.63395565053325598</v>
      </c>
      <c r="AE1900" s="14">
        <v>0.64927103831433097</v>
      </c>
      <c r="AF1900" s="14">
        <v>0.69535670963491003</v>
      </c>
      <c r="AG1900" s="14">
        <v>0.69479462154652105</v>
      </c>
      <c r="AH1900" s="14"/>
      <c r="AI1900" s="14">
        <v>0.66789598297578501</v>
      </c>
      <c r="AJ1900" s="14">
        <v>0.73476212500567595</v>
      </c>
      <c r="AK1900" s="14">
        <v>0.58842427141034004</v>
      </c>
      <c r="AL1900" s="14">
        <v>0.61520998156752005</v>
      </c>
      <c r="AM1900" s="14">
        <v>0.64071783865623</v>
      </c>
      <c r="AN1900" s="14">
        <v>0.522924213350352</v>
      </c>
      <c r="AO1900" s="14"/>
      <c r="AP1900" s="14">
        <v>0.67712694366657</v>
      </c>
      <c r="AQ1900" s="14">
        <v>0.60373358846090996</v>
      </c>
      <c r="AR1900" s="14"/>
      <c r="AS1900" s="14">
        <v>0.613007826406613</v>
      </c>
      <c r="AT1900" s="14">
        <v>0.70295966167808399</v>
      </c>
      <c r="AU1900" s="14">
        <v>0.63267006563141504</v>
      </c>
      <c r="AV1900" s="14"/>
      <c r="AW1900" s="14">
        <v>0.64334990563560601</v>
      </c>
      <c r="AX1900" s="14">
        <v>0.70935960423571898</v>
      </c>
      <c r="AY1900" s="14"/>
      <c r="AZ1900" s="14">
        <v>0.67587343939876299</v>
      </c>
      <c r="BA1900" s="14">
        <v>0.52684284991683805</v>
      </c>
    </row>
    <row r="1901" spans="2:53" x14ac:dyDescent="0.35">
      <c r="B1901" t="s">
        <v>451</v>
      </c>
      <c r="C1901" s="14">
        <v>8.5135967820200498E-2</v>
      </c>
      <c r="D1901" s="14">
        <v>9.24524943921229E-2</v>
      </c>
      <c r="E1901" s="14">
        <v>7.7896131535720101E-2</v>
      </c>
      <c r="F1901" s="14"/>
      <c r="G1901" s="14">
        <v>0</v>
      </c>
      <c r="H1901" s="14">
        <v>0.107371783188426</v>
      </c>
      <c r="I1901" s="14">
        <v>9.36982188969427E-2</v>
      </c>
      <c r="J1901" s="14">
        <v>6.5340568482147698E-2</v>
      </c>
      <c r="K1901" s="14">
        <v>5.43883586258994E-2</v>
      </c>
      <c r="L1901" s="14">
        <v>0.22941838825458599</v>
      </c>
      <c r="M1901" s="14"/>
      <c r="N1901" s="14">
        <v>8.1061794511034596E-2</v>
      </c>
      <c r="O1901" s="14">
        <v>4.5889444605333202E-2</v>
      </c>
      <c r="P1901" s="14">
        <v>0.10913837481258599</v>
      </c>
      <c r="Q1901" s="14">
        <v>0.110184231773455</v>
      </c>
      <c r="R1901" s="14"/>
      <c r="S1901" s="14">
        <v>0.11059303009472</v>
      </c>
      <c r="T1901" s="14">
        <v>6.3706942988411702E-2</v>
      </c>
      <c r="U1901" s="14">
        <v>6.8872458610401796E-2</v>
      </c>
      <c r="V1901" s="14">
        <v>9.7137400475870495E-2</v>
      </c>
      <c r="W1901" s="14">
        <v>0.15336564158425001</v>
      </c>
      <c r="X1901" s="14">
        <v>5.7026337245759201E-2</v>
      </c>
      <c r="Y1901" s="14">
        <v>6.0187997036775097E-2</v>
      </c>
      <c r="Z1901" s="14">
        <v>0.13138173898733699</v>
      </c>
      <c r="AA1901" s="14">
        <v>5.8434568682911602E-2</v>
      </c>
      <c r="AB1901" s="14"/>
      <c r="AC1901" s="14">
        <v>7.9689639782443006E-2</v>
      </c>
      <c r="AD1901" s="14">
        <v>7.4170294484671107E-2</v>
      </c>
      <c r="AE1901" s="14">
        <v>6.6469156276493399E-2</v>
      </c>
      <c r="AF1901" s="14">
        <v>0.117413515021703</v>
      </c>
      <c r="AG1901" s="14">
        <v>7.0652992104507997E-2</v>
      </c>
      <c r="AH1901" s="14"/>
      <c r="AI1901" s="14">
        <v>9.2783200905589197E-2</v>
      </c>
      <c r="AJ1901" s="14">
        <v>5.4314732402407501E-2</v>
      </c>
      <c r="AK1901" s="14">
        <v>9.9398076562767806E-2</v>
      </c>
      <c r="AL1901" s="14">
        <v>9.7008744392737795E-2</v>
      </c>
      <c r="AM1901" s="14">
        <v>8.3569128764484704E-2</v>
      </c>
      <c r="AN1901" s="14">
        <v>0.100543396662991</v>
      </c>
      <c r="AO1901" s="14"/>
      <c r="AP1901" s="14">
        <v>8.1439943183680599E-2</v>
      </c>
      <c r="AQ1901" s="14">
        <v>8.9568886734083697E-2</v>
      </c>
      <c r="AR1901" s="14"/>
      <c r="AS1901" s="14">
        <v>0.108853765848618</v>
      </c>
      <c r="AT1901" s="14">
        <v>5.8753197674212401E-2</v>
      </c>
      <c r="AU1901" s="14">
        <v>8.6553940191523904E-2</v>
      </c>
      <c r="AV1901" s="14"/>
      <c r="AW1901" s="14">
        <v>7.3982828569557596E-2</v>
      </c>
      <c r="AX1901" s="14">
        <v>0.125132974471998</v>
      </c>
      <c r="AY1901" s="14"/>
      <c r="AZ1901" s="14">
        <v>9.0220442679585802E-2</v>
      </c>
      <c r="BA1901" s="14">
        <v>6.7967748552978102E-2</v>
      </c>
    </row>
    <row r="1902" spans="2:53" x14ac:dyDescent="0.35">
      <c r="B1902" t="s">
        <v>116</v>
      </c>
      <c r="C1902" s="14">
        <v>0.104469898136897</v>
      </c>
      <c r="D1902" s="14">
        <v>7.9419119733246002E-2</v>
      </c>
      <c r="E1902" s="14">
        <v>0.129641992111481</v>
      </c>
      <c r="F1902" s="14"/>
      <c r="G1902" s="14">
        <v>0</v>
      </c>
      <c r="H1902" s="14">
        <v>6.8129651667922703E-2</v>
      </c>
      <c r="I1902" s="14">
        <v>0.107642575828666</v>
      </c>
      <c r="J1902" s="14">
        <v>0.131907602992613</v>
      </c>
      <c r="K1902" s="14">
        <v>5.94034179419363E-2</v>
      </c>
      <c r="L1902" s="14">
        <v>0.137268834999517</v>
      </c>
      <c r="M1902" s="14"/>
      <c r="N1902" s="14">
        <v>6.5025879368877798E-2</v>
      </c>
      <c r="O1902" s="14">
        <v>0.10537037872083201</v>
      </c>
      <c r="P1902" s="14">
        <v>0.11120994594023199</v>
      </c>
      <c r="Q1902" s="14">
        <v>0.13742318441496901</v>
      </c>
      <c r="R1902" s="14"/>
      <c r="S1902" s="14">
        <v>8.4041596022038798E-2</v>
      </c>
      <c r="T1902" s="14">
        <v>0.12545542177192301</v>
      </c>
      <c r="U1902" s="14">
        <v>0.12173720812323099</v>
      </c>
      <c r="V1902" s="14">
        <v>0.13002437379553</v>
      </c>
      <c r="W1902" s="14">
        <v>5.4729191489719498E-2</v>
      </c>
      <c r="X1902" s="14">
        <v>0.114189527214117</v>
      </c>
      <c r="Y1902" s="14">
        <v>0.11308236311634599</v>
      </c>
      <c r="Z1902" s="14">
        <v>5.37230339067441E-2</v>
      </c>
      <c r="AA1902" s="14">
        <v>0.108658415893976</v>
      </c>
      <c r="AB1902" s="14"/>
      <c r="AC1902" s="14">
        <v>0.141463514020994</v>
      </c>
      <c r="AD1902" s="14">
        <v>0.102976483710728</v>
      </c>
      <c r="AE1902" s="14">
        <v>9.1178090925961894E-2</v>
      </c>
      <c r="AF1902" s="14">
        <v>4.9120557444217401E-2</v>
      </c>
      <c r="AG1902" s="14">
        <v>0.112312171620688</v>
      </c>
      <c r="AH1902" s="14"/>
      <c r="AI1902" s="14">
        <v>7.5782217905237301E-2</v>
      </c>
      <c r="AJ1902" s="14">
        <v>4.5369197229354702E-2</v>
      </c>
      <c r="AK1902" s="14">
        <v>0.12189556102849</v>
      </c>
      <c r="AL1902" s="14">
        <v>0.12501604851843001</v>
      </c>
      <c r="AM1902" s="14">
        <v>0.121608867619465</v>
      </c>
      <c r="AN1902" s="14">
        <v>0.19450799790822201</v>
      </c>
      <c r="AO1902" s="14"/>
      <c r="AP1902" s="14">
        <v>7.98016875217267E-2</v>
      </c>
      <c r="AQ1902" s="14">
        <v>0.13136593958983001</v>
      </c>
      <c r="AR1902" s="14"/>
      <c r="AS1902" s="14">
        <v>0.13041918695171101</v>
      </c>
      <c r="AT1902" s="14">
        <v>9.0027967698439404E-2</v>
      </c>
      <c r="AU1902" s="14">
        <v>0.101756449431795</v>
      </c>
      <c r="AV1902" s="14"/>
      <c r="AW1902" s="14">
        <v>0.110836232793255</v>
      </c>
      <c r="AX1902" s="14">
        <v>2.3514783888713E-2</v>
      </c>
      <c r="AY1902" s="14"/>
      <c r="AZ1902" s="14">
        <v>7.7343781229323894E-2</v>
      </c>
      <c r="BA1902" s="14">
        <v>0.19184779090321699</v>
      </c>
    </row>
    <row r="1903" spans="2:53" x14ac:dyDescent="0.35">
      <c r="C1903" s="14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  <c r="AO1903" s="14"/>
      <c r="AP1903" s="14"/>
      <c r="AQ1903" s="14"/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</row>
    <row r="1904" spans="2:53" x14ac:dyDescent="0.35">
      <c r="B1904" s="6" t="s">
        <v>458</v>
      </c>
      <c r="C1904" s="14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/>
      <c r="AN1904" s="14"/>
      <c r="AO1904" s="14"/>
      <c r="AP1904" s="14"/>
      <c r="AQ1904" s="14"/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</row>
    <row r="1905" spans="2:53" x14ac:dyDescent="0.35">
      <c r="B1905" s="24" t="s">
        <v>118</v>
      </c>
      <c r="C1905" s="14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  <c r="AO1905" s="14"/>
      <c r="AP1905" s="14"/>
      <c r="AQ1905" s="14"/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</row>
    <row r="1906" spans="2:53" x14ac:dyDescent="0.35">
      <c r="B1906" t="s">
        <v>453</v>
      </c>
      <c r="C1906" s="14">
        <v>0.17497166343131401</v>
      </c>
      <c r="D1906" s="14">
        <v>0.17479195444182399</v>
      </c>
      <c r="E1906" s="14">
        <v>0.17532115367097101</v>
      </c>
      <c r="F1906" s="14"/>
      <c r="G1906" s="14">
        <v>8.1088258398355997E-2</v>
      </c>
      <c r="H1906" s="14">
        <v>0.20748653483646101</v>
      </c>
      <c r="I1906" s="14">
        <v>0.19245787480648999</v>
      </c>
      <c r="J1906" s="14">
        <v>0.146664434604033</v>
      </c>
      <c r="K1906" s="14">
        <v>0.128350334277714</v>
      </c>
      <c r="L1906" s="14">
        <v>0.22953909785175799</v>
      </c>
      <c r="M1906" s="14"/>
      <c r="N1906" s="14">
        <v>0.18358319214075</v>
      </c>
      <c r="O1906" s="14">
        <v>0.17585154492490801</v>
      </c>
      <c r="P1906" s="14">
        <v>0.15091257003927799</v>
      </c>
      <c r="Q1906" s="14">
        <v>0.187961668551936</v>
      </c>
      <c r="R1906" s="14"/>
      <c r="S1906" s="14">
        <v>0.234324521005809</v>
      </c>
      <c r="T1906" s="14">
        <v>0.155182226883293</v>
      </c>
      <c r="U1906" s="14">
        <v>0.15212946535767899</v>
      </c>
      <c r="V1906" s="14">
        <v>0.116561067226968</v>
      </c>
      <c r="W1906" s="14">
        <v>0.16005982612955499</v>
      </c>
      <c r="X1906" s="14">
        <v>0.204315651657276</v>
      </c>
      <c r="Y1906" s="14">
        <v>0.18320464848093801</v>
      </c>
      <c r="Z1906" s="14">
        <v>0.16655489262138701</v>
      </c>
      <c r="AA1906" s="14">
        <v>0.177958138377078</v>
      </c>
      <c r="AB1906" s="14"/>
      <c r="AC1906" s="14">
        <v>0.156374986437402</v>
      </c>
      <c r="AD1906" s="14">
        <v>0.16616548813120899</v>
      </c>
      <c r="AE1906" s="14">
        <v>0.15298817530887199</v>
      </c>
      <c r="AF1906" s="14">
        <v>0.25876291509869298</v>
      </c>
      <c r="AG1906" s="14">
        <v>0.23189678496819199</v>
      </c>
      <c r="AH1906" s="14"/>
      <c r="AI1906" s="14">
        <v>0.22011208223026901</v>
      </c>
      <c r="AJ1906" s="14">
        <v>0.16641323454351201</v>
      </c>
      <c r="AK1906" s="14">
        <v>0.17447095890844799</v>
      </c>
      <c r="AL1906" s="14">
        <v>0.15959502070604001</v>
      </c>
      <c r="AM1906" s="14">
        <v>0.11718583823789</v>
      </c>
      <c r="AN1906" s="14">
        <v>0.10987756141350601</v>
      </c>
      <c r="AO1906" s="14"/>
      <c r="AP1906" s="14">
        <v>0.17296277294705201</v>
      </c>
      <c r="AQ1906" s="14">
        <v>0.17712903175765901</v>
      </c>
      <c r="AR1906" s="14"/>
      <c r="AS1906" s="14">
        <v>0.16031803577553899</v>
      </c>
      <c r="AT1906" s="14">
        <v>0.17835353023606801</v>
      </c>
      <c r="AU1906" s="14">
        <v>0.17791546372619199</v>
      </c>
      <c r="AV1906" s="14"/>
      <c r="AW1906" s="14">
        <v>0.163578627572213</v>
      </c>
      <c r="AX1906" s="14">
        <v>0.260573453669044</v>
      </c>
      <c r="AY1906" s="14"/>
      <c r="AZ1906" s="14">
        <v>0.18295493490321199</v>
      </c>
      <c r="BA1906" s="14">
        <v>0.14888366913508799</v>
      </c>
    </row>
    <row r="1907" spans="2:53" x14ac:dyDescent="0.35">
      <c r="B1907" t="s">
        <v>454</v>
      </c>
      <c r="C1907" s="14">
        <v>0.40012846703757998</v>
      </c>
      <c r="D1907" s="14">
        <v>0.43102547041686101</v>
      </c>
      <c r="E1907" s="14">
        <v>0.36959468887616798</v>
      </c>
      <c r="F1907" s="14"/>
      <c r="G1907" s="14">
        <v>0.37304099228612497</v>
      </c>
      <c r="H1907" s="14">
        <v>0.43256570103877101</v>
      </c>
      <c r="I1907" s="14">
        <v>0.41523957014659102</v>
      </c>
      <c r="J1907" s="14">
        <v>0.36220626871223499</v>
      </c>
      <c r="K1907" s="14">
        <v>0.41683720692526199</v>
      </c>
      <c r="L1907" s="14">
        <v>0.306269332417964</v>
      </c>
      <c r="M1907" s="14"/>
      <c r="N1907" s="14">
        <v>0.45099602030536801</v>
      </c>
      <c r="O1907" s="14">
        <v>0.38848438935741703</v>
      </c>
      <c r="P1907" s="14">
        <v>0.40157858047261902</v>
      </c>
      <c r="Q1907" s="14">
        <v>0.35647683152905602</v>
      </c>
      <c r="R1907" s="14"/>
      <c r="S1907" s="14">
        <v>0.462892209806957</v>
      </c>
      <c r="T1907" s="14">
        <v>0.37823922389597198</v>
      </c>
      <c r="U1907" s="14">
        <v>0.38546470167449998</v>
      </c>
      <c r="V1907" s="14">
        <v>0.34069006971489701</v>
      </c>
      <c r="W1907" s="14">
        <v>0.40318597960991298</v>
      </c>
      <c r="X1907" s="14">
        <v>0.39260369937898998</v>
      </c>
      <c r="Y1907" s="14">
        <v>0.41809406348046702</v>
      </c>
      <c r="Z1907" s="14">
        <v>0.387888256180216</v>
      </c>
      <c r="AA1907" s="14">
        <v>0.406015486614073</v>
      </c>
      <c r="AB1907" s="14"/>
      <c r="AC1907" s="14">
        <v>0.38726440593095501</v>
      </c>
      <c r="AD1907" s="14">
        <v>0.37209929211639797</v>
      </c>
      <c r="AE1907" s="14">
        <v>0.42809785916816501</v>
      </c>
      <c r="AF1907" s="14">
        <v>0.449701622058576</v>
      </c>
      <c r="AG1907" s="14">
        <v>0.34871667081129798</v>
      </c>
      <c r="AH1907" s="14"/>
      <c r="AI1907" s="14">
        <v>0.45722695075160302</v>
      </c>
      <c r="AJ1907" s="14">
        <v>0.41365450354316602</v>
      </c>
      <c r="AK1907" s="14">
        <v>0.41907388049847299</v>
      </c>
      <c r="AL1907" s="14">
        <v>0.33510477920572201</v>
      </c>
      <c r="AM1907" s="14">
        <v>0.303884509008923</v>
      </c>
      <c r="AN1907" s="14">
        <v>0.32967050452375402</v>
      </c>
      <c r="AO1907" s="14"/>
      <c r="AP1907" s="14">
        <v>0.42287902489164098</v>
      </c>
      <c r="AQ1907" s="14">
        <v>0.37582041927841597</v>
      </c>
      <c r="AR1907" s="14"/>
      <c r="AS1907" s="14">
        <v>0.38057399529544</v>
      </c>
      <c r="AT1907" s="14">
        <v>0.43182219963525198</v>
      </c>
      <c r="AU1907" s="14">
        <v>0.39601957224893503</v>
      </c>
      <c r="AV1907" s="14"/>
      <c r="AW1907" s="14">
        <v>0.39507821652992497</v>
      </c>
      <c r="AX1907" s="14">
        <v>0.47885455031969398</v>
      </c>
      <c r="AY1907" s="14"/>
      <c r="AZ1907" s="14">
        <v>0.424453464226352</v>
      </c>
      <c r="BA1907" s="14">
        <v>0.31540793963948299</v>
      </c>
    </row>
    <row r="1908" spans="2:53" x14ac:dyDescent="0.35">
      <c r="B1908" t="s">
        <v>455</v>
      </c>
      <c r="C1908" s="14">
        <v>0.31469159181433998</v>
      </c>
      <c r="D1908" s="14">
        <v>0.310555253397231</v>
      </c>
      <c r="E1908" s="14">
        <v>0.31816682122712803</v>
      </c>
      <c r="F1908" s="14"/>
      <c r="G1908" s="14">
        <v>0.36459115573350698</v>
      </c>
      <c r="H1908" s="14">
        <v>0.21544760525902401</v>
      </c>
      <c r="I1908" s="14">
        <v>0.28885033777277003</v>
      </c>
      <c r="J1908" s="14">
        <v>0.38417834735645101</v>
      </c>
      <c r="K1908" s="14">
        <v>0.38081019073119698</v>
      </c>
      <c r="L1908" s="14">
        <v>0.237750367311095</v>
      </c>
      <c r="M1908" s="14"/>
      <c r="N1908" s="14">
        <v>0.28100991132998399</v>
      </c>
      <c r="O1908" s="14">
        <v>0.32532036851854801</v>
      </c>
      <c r="P1908" s="14">
        <v>0.32573849823266599</v>
      </c>
      <c r="Q1908" s="14">
        <v>0.33051286609255298</v>
      </c>
      <c r="R1908" s="14"/>
      <c r="S1908" s="14">
        <v>0.212753717428001</v>
      </c>
      <c r="T1908" s="14">
        <v>0.36294645394469699</v>
      </c>
      <c r="U1908" s="14">
        <v>0.33756549234153399</v>
      </c>
      <c r="V1908" s="14">
        <v>0.37040517298347098</v>
      </c>
      <c r="W1908" s="14">
        <v>0.33597768713481002</v>
      </c>
      <c r="X1908" s="14">
        <v>0.30614440099923601</v>
      </c>
      <c r="Y1908" s="14">
        <v>0.29707118011858302</v>
      </c>
      <c r="Z1908" s="14">
        <v>0.33098872062629903</v>
      </c>
      <c r="AA1908" s="14">
        <v>0.31507011874533303</v>
      </c>
      <c r="AB1908" s="14"/>
      <c r="AC1908" s="14">
        <v>0.31579504779384898</v>
      </c>
      <c r="AD1908" s="14">
        <v>0.33856924669551203</v>
      </c>
      <c r="AE1908" s="14">
        <v>0.328824813786944</v>
      </c>
      <c r="AF1908" s="14">
        <v>0.20417525660493099</v>
      </c>
      <c r="AG1908" s="14">
        <v>0.33234825664210998</v>
      </c>
      <c r="AH1908" s="14"/>
      <c r="AI1908" s="14">
        <v>0.23480340308933501</v>
      </c>
      <c r="AJ1908" s="14">
        <v>0.34887528228952902</v>
      </c>
      <c r="AK1908" s="14">
        <v>0.30643983163042099</v>
      </c>
      <c r="AL1908" s="14">
        <v>0.37941095181735301</v>
      </c>
      <c r="AM1908" s="14">
        <v>0.43032012924761698</v>
      </c>
      <c r="AN1908" s="14">
        <v>0.36147403002897299</v>
      </c>
      <c r="AO1908" s="14"/>
      <c r="AP1908" s="14">
        <v>0.31088172385894902</v>
      </c>
      <c r="AQ1908" s="14">
        <v>0.318632283527858</v>
      </c>
      <c r="AR1908" s="14"/>
      <c r="AS1908" s="14">
        <v>0.31739084467232498</v>
      </c>
      <c r="AT1908" s="14">
        <v>0.28025688671424798</v>
      </c>
      <c r="AU1908" s="14">
        <v>0.32414730611124698</v>
      </c>
      <c r="AV1908" s="14"/>
      <c r="AW1908" s="14">
        <v>0.32428969492368098</v>
      </c>
      <c r="AX1908" s="14">
        <v>0.21245375670550401</v>
      </c>
      <c r="AY1908" s="14"/>
      <c r="AZ1908" s="14">
        <v>0.30423517818863999</v>
      </c>
      <c r="BA1908" s="14">
        <v>0.35539190692339501</v>
      </c>
    </row>
    <row r="1909" spans="2:53" x14ac:dyDescent="0.35">
      <c r="B1909" t="s">
        <v>456</v>
      </c>
      <c r="C1909" s="14">
        <v>2.51420150282099E-2</v>
      </c>
      <c r="D1909" s="14">
        <v>1.8173643908878899E-2</v>
      </c>
      <c r="E1909" s="14">
        <v>3.2140333574117698E-2</v>
      </c>
      <c r="F1909" s="14"/>
      <c r="G1909" s="14">
        <v>0.18127959358201301</v>
      </c>
      <c r="H1909" s="14">
        <v>3.2703293111381503E-2</v>
      </c>
      <c r="I1909" s="14">
        <v>2.3285615407373301E-2</v>
      </c>
      <c r="J1909" s="14">
        <v>2.1805762542596099E-2</v>
      </c>
      <c r="K1909" s="14">
        <v>2.6181608493836599E-2</v>
      </c>
      <c r="L1909" s="14">
        <v>8.7803652695920102E-3</v>
      </c>
      <c r="M1909" s="14"/>
      <c r="N1909" s="14">
        <v>2.8366975380668302E-2</v>
      </c>
      <c r="O1909" s="14">
        <v>2.4004113281831999E-2</v>
      </c>
      <c r="P1909" s="14">
        <v>3.2736277115101999E-2</v>
      </c>
      <c r="Q1909" s="14">
        <v>1.6455317530265801E-2</v>
      </c>
      <c r="R1909" s="14"/>
      <c r="S1909" s="14">
        <v>2.34255148186613E-2</v>
      </c>
      <c r="T1909" s="14">
        <v>1.88115466580542E-2</v>
      </c>
      <c r="U1909" s="14">
        <v>2.97815075589512E-2</v>
      </c>
      <c r="V1909" s="14">
        <v>3.6294965377789298E-2</v>
      </c>
      <c r="W1909" s="14">
        <v>1.03119412223137E-2</v>
      </c>
      <c r="X1909" s="14">
        <v>3.37864251975621E-2</v>
      </c>
      <c r="Y1909" s="14">
        <v>1.9112484539152801E-2</v>
      </c>
      <c r="Z1909" s="14">
        <v>3.92759215278509E-2</v>
      </c>
      <c r="AA1909" s="14">
        <v>2.4858388960275202E-2</v>
      </c>
      <c r="AB1909" s="14"/>
      <c r="AC1909" s="14">
        <v>3.1493411890397602E-2</v>
      </c>
      <c r="AD1909" s="14">
        <v>1.8299596620574999E-2</v>
      </c>
      <c r="AE1909" s="14">
        <v>2.7685049623192001E-2</v>
      </c>
      <c r="AF1909" s="14">
        <v>2.9678321253581299E-2</v>
      </c>
      <c r="AG1909" s="14">
        <v>1.39348175804874E-2</v>
      </c>
      <c r="AH1909" s="14"/>
      <c r="AI1909" s="14">
        <v>2.6011596386225799E-2</v>
      </c>
      <c r="AJ1909" s="14">
        <v>2.5872343337998299E-2</v>
      </c>
      <c r="AK1909" s="14">
        <v>2.61509745639203E-2</v>
      </c>
      <c r="AL1909" s="14">
        <v>2.2922719464776298E-2</v>
      </c>
      <c r="AM1909" s="14">
        <v>4.9192290321516403E-2</v>
      </c>
      <c r="AN1909" s="14">
        <v>1.9918627552873599E-2</v>
      </c>
      <c r="AO1909" s="14"/>
      <c r="AP1909" s="14">
        <v>2.7414915970497201E-2</v>
      </c>
      <c r="AQ1909" s="14">
        <v>2.26657095861501E-2</v>
      </c>
      <c r="AR1909" s="14"/>
      <c r="AS1909" s="14">
        <v>2.8435749134757601E-2</v>
      </c>
      <c r="AT1909" s="14">
        <v>2.82040303660685E-2</v>
      </c>
      <c r="AU1909" s="14">
        <v>2.3350133074147801E-2</v>
      </c>
      <c r="AV1909" s="14"/>
      <c r="AW1909" s="14">
        <v>2.7924187653489901E-2</v>
      </c>
      <c r="AX1909" s="14">
        <v>1.30433206126193E-2</v>
      </c>
      <c r="AY1909" s="14"/>
      <c r="AZ1909" s="14">
        <v>2.02591843830137E-2</v>
      </c>
      <c r="BA1909" s="14">
        <v>4.3877004521862502E-2</v>
      </c>
    </row>
    <row r="1910" spans="2:53" x14ac:dyDescent="0.35">
      <c r="B1910" t="s">
        <v>457</v>
      </c>
      <c r="C1910" s="14">
        <v>5.7620218326963598E-3</v>
      </c>
      <c r="D1910" s="14">
        <v>6.0560995322577098E-3</v>
      </c>
      <c r="E1910" s="14">
        <v>5.4732953532779099E-3</v>
      </c>
      <c r="F1910" s="14"/>
      <c r="G1910" s="14">
        <v>0</v>
      </c>
      <c r="H1910" s="14">
        <v>2.10454355199086E-2</v>
      </c>
      <c r="I1910" s="14">
        <v>8.1457434657892396E-4</v>
      </c>
      <c r="J1910" s="14">
        <v>2.98620955241095E-3</v>
      </c>
      <c r="K1910" s="14">
        <v>0</v>
      </c>
      <c r="L1910" s="14">
        <v>8.9809623524015003E-2</v>
      </c>
      <c r="M1910" s="14"/>
      <c r="N1910" s="14">
        <v>1.8870729864541101E-3</v>
      </c>
      <c r="O1910" s="14">
        <v>6.8786911354304396E-3</v>
      </c>
      <c r="P1910" s="14">
        <v>1.0503986663346499E-2</v>
      </c>
      <c r="Q1910" s="14">
        <v>4.6814695161547602E-3</v>
      </c>
      <c r="R1910" s="14"/>
      <c r="S1910" s="14">
        <v>1.9609889265924801E-3</v>
      </c>
      <c r="T1910" s="14">
        <v>0</v>
      </c>
      <c r="U1910" s="14">
        <v>9.2920439124451002E-3</v>
      </c>
      <c r="V1910" s="14">
        <v>2.0296243281919101E-2</v>
      </c>
      <c r="W1910" s="14">
        <v>4.7663324805076301E-3</v>
      </c>
      <c r="X1910" s="14">
        <v>0</v>
      </c>
      <c r="Y1910" s="14">
        <v>8.57361306850009E-3</v>
      </c>
      <c r="Z1910" s="14">
        <v>1.20596836938449E-2</v>
      </c>
      <c r="AA1910" s="14">
        <v>3.0468803996828702E-3</v>
      </c>
      <c r="AB1910" s="14"/>
      <c r="AC1910" s="14">
        <v>7.8220465865842508E-3</v>
      </c>
      <c r="AD1910" s="14">
        <v>5.8114666311563498E-3</v>
      </c>
      <c r="AE1910" s="14">
        <v>3.7845785679845902E-3</v>
      </c>
      <c r="AF1910" s="14">
        <v>5.3091772632732704E-3</v>
      </c>
      <c r="AG1910" s="14">
        <v>4.4647646060142203E-2</v>
      </c>
      <c r="AH1910" s="14"/>
      <c r="AI1910" s="14">
        <v>4.0044322861322399E-3</v>
      </c>
      <c r="AJ1910" s="14">
        <v>6.0019526248301803E-3</v>
      </c>
      <c r="AK1910" s="14">
        <v>1.5170856626608499E-2</v>
      </c>
      <c r="AL1910" s="14">
        <v>3.27142191222194E-3</v>
      </c>
      <c r="AM1910" s="14">
        <v>0</v>
      </c>
      <c r="AN1910" s="14">
        <v>1.3441032605071899E-2</v>
      </c>
      <c r="AO1910" s="14"/>
      <c r="AP1910" s="14">
        <v>5.8927899529499003E-3</v>
      </c>
      <c r="AQ1910" s="14">
        <v>5.6334589959933998E-3</v>
      </c>
      <c r="AR1910" s="14"/>
      <c r="AS1910" s="14">
        <v>6.1855241780122997E-3</v>
      </c>
      <c r="AT1910" s="14">
        <v>3.8986690445978801E-3</v>
      </c>
      <c r="AU1910" s="14">
        <v>6.1990270796868398E-3</v>
      </c>
      <c r="AV1910" s="14"/>
      <c r="AW1910" s="14">
        <v>4.9055620715465599E-3</v>
      </c>
      <c r="AX1910" s="14">
        <v>8.3532098910517293E-3</v>
      </c>
      <c r="AY1910" s="14"/>
      <c r="AZ1910" s="14">
        <v>3.76130842302591E-3</v>
      </c>
      <c r="BA1910" s="14">
        <v>1.3343131869666E-2</v>
      </c>
    </row>
    <row r="1911" spans="2:53" x14ac:dyDescent="0.35">
      <c r="B1911" t="s">
        <v>80</v>
      </c>
      <c r="C1911" s="14">
        <v>7.9304240855859701E-2</v>
      </c>
      <c r="D1911" s="14">
        <v>5.9397578302947403E-2</v>
      </c>
      <c r="E1911" s="14">
        <v>9.9303707298337193E-2</v>
      </c>
      <c r="F1911" s="14"/>
      <c r="G1911" s="14">
        <v>0</v>
      </c>
      <c r="H1911" s="14">
        <v>9.0751430234454006E-2</v>
      </c>
      <c r="I1911" s="14">
        <v>7.9352027520197002E-2</v>
      </c>
      <c r="J1911" s="14">
        <v>8.2158977232274305E-2</v>
      </c>
      <c r="K1911" s="14">
        <v>4.7820659571990998E-2</v>
      </c>
      <c r="L1911" s="14">
        <v>0.127851213625576</v>
      </c>
      <c r="M1911" s="14"/>
      <c r="N1911" s="14">
        <v>5.4156827856776002E-2</v>
      </c>
      <c r="O1911" s="14">
        <v>7.9460892781864995E-2</v>
      </c>
      <c r="P1911" s="14">
        <v>7.8530087476988197E-2</v>
      </c>
      <c r="Q1911" s="14">
        <v>0.103911846780035</v>
      </c>
      <c r="R1911" s="14"/>
      <c r="S1911" s="14">
        <v>6.4643048013979201E-2</v>
      </c>
      <c r="T1911" s="14">
        <v>8.4820548617983604E-2</v>
      </c>
      <c r="U1911" s="14">
        <v>8.5766789154890902E-2</v>
      </c>
      <c r="V1911" s="14">
        <v>0.115752481414956</v>
      </c>
      <c r="W1911" s="14">
        <v>8.5698233422900005E-2</v>
      </c>
      <c r="X1911" s="14">
        <v>6.3149822766936606E-2</v>
      </c>
      <c r="Y1911" s="14">
        <v>7.3944010312359296E-2</v>
      </c>
      <c r="Z1911" s="14">
        <v>6.3232525350402496E-2</v>
      </c>
      <c r="AA1911" s="14">
        <v>7.3050986903558102E-2</v>
      </c>
      <c r="AB1911" s="14"/>
      <c r="AC1911" s="14">
        <v>0.101250101360812</v>
      </c>
      <c r="AD1911" s="14">
        <v>9.9054909805150498E-2</v>
      </c>
      <c r="AE1911" s="14">
        <v>5.8619523544842803E-2</v>
      </c>
      <c r="AF1911" s="14">
        <v>5.2372707720946002E-2</v>
      </c>
      <c r="AG1911" s="14">
        <v>2.8455823937769801E-2</v>
      </c>
      <c r="AH1911" s="14"/>
      <c r="AI1911" s="14">
        <v>5.7841535256434401E-2</v>
      </c>
      <c r="AJ1911" s="14">
        <v>3.9182683660963599E-2</v>
      </c>
      <c r="AK1911" s="14">
        <v>5.8693497772128497E-2</v>
      </c>
      <c r="AL1911" s="14">
        <v>9.9695106893886595E-2</v>
      </c>
      <c r="AM1911" s="14">
        <v>9.9417233184053294E-2</v>
      </c>
      <c r="AN1911" s="14">
        <v>0.165618243875822</v>
      </c>
      <c r="AO1911" s="14"/>
      <c r="AP1911" s="14">
        <v>5.9968772378910198E-2</v>
      </c>
      <c r="AQ1911" s="14">
        <v>0.10011909685392401</v>
      </c>
      <c r="AR1911" s="14"/>
      <c r="AS1911" s="14">
        <v>0.107095850943926</v>
      </c>
      <c r="AT1911" s="14">
        <v>7.7464684003765397E-2</v>
      </c>
      <c r="AU1911" s="14">
        <v>7.2368497759791803E-2</v>
      </c>
      <c r="AV1911" s="14"/>
      <c r="AW1911" s="14">
        <v>8.4223711249145405E-2</v>
      </c>
      <c r="AX1911" s="14">
        <v>2.6721708802087199E-2</v>
      </c>
      <c r="AY1911" s="14"/>
      <c r="AZ1911" s="14">
        <v>6.4335929875755898E-2</v>
      </c>
      <c r="BA1911" s="14">
        <v>0.123096347910506</v>
      </c>
    </row>
    <row r="1912" spans="2:53" x14ac:dyDescent="0.35">
      <c r="C1912" s="14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</row>
    <row r="1913" spans="2:53" x14ac:dyDescent="0.35">
      <c r="B1913" s="6" t="s">
        <v>452</v>
      </c>
      <c r="C1913" s="14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  <c r="AO1913" s="14"/>
      <c r="AP1913" s="14"/>
      <c r="AQ1913" s="14"/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</row>
    <row r="1914" spans="2:53" x14ac:dyDescent="0.35">
      <c r="B1914" s="24" t="s">
        <v>118</v>
      </c>
      <c r="C1914" s="14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  <c r="AO1914" s="14"/>
      <c r="AP1914" s="14"/>
      <c r="AQ1914" s="14"/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</row>
    <row r="1915" spans="2:53" x14ac:dyDescent="0.35">
      <c r="B1915" t="s">
        <v>459</v>
      </c>
      <c r="C1915" s="14">
        <v>0.28157929551726202</v>
      </c>
      <c r="D1915" s="14">
        <v>0.32932419285348102</v>
      </c>
      <c r="E1915" s="14">
        <v>0.23406921676036599</v>
      </c>
      <c r="F1915" s="14"/>
      <c r="G1915" s="14">
        <v>0.30348552010216601</v>
      </c>
      <c r="H1915" s="14">
        <v>0.338957386570581</v>
      </c>
      <c r="I1915" s="14">
        <v>0.27799331964112001</v>
      </c>
      <c r="J1915" s="14">
        <v>0.25931711504879701</v>
      </c>
      <c r="K1915" s="14">
        <v>0.29683468432555998</v>
      </c>
      <c r="L1915" s="14">
        <v>0.16105319459193901</v>
      </c>
      <c r="M1915" s="14"/>
      <c r="N1915" s="14">
        <v>0.36242313472946402</v>
      </c>
      <c r="O1915" s="14">
        <v>0.28321453950940001</v>
      </c>
      <c r="P1915" s="14">
        <v>0.213405767109237</v>
      </c>
      <c r="Q1915" s="14">
        <v>0.25330237885519202</v>
      </c>
      <c r="R1915" s="14"/>
      <c r="S1915" s="14">
        <v>0.38457111153659901</v>
      </c>
      <c r="T1915" s="14">
        <v>0.28241033058422799</v>
      </c>
      <c r="U1915" s="14">
        <v>0.25248893065163303</v>
      </c>
      <c r="V1915" s="14">
        <v>0.22635682735024601</v>
      </c>
      <c r="W1915" s="14">
        <v>0.272745747368008</v>
      </c>
      <c r="X1915" s="14">
        <v>0.200522307467844</v>
      </c>
      <c r="Y1915" s="14">
        <v>0.29003198082447501</v>
      </c>
      <c r="Z1915" s="14">
        <v>0.25156132135362902</v>
      </c>
      <c r="AA1915" s="14">
        <v>0.29677522621645902</v>
      </c>
      <c r="AB1915" s="14"/>
      <c r="AC1915" s="14">
        <v>0.199719144828679</v>
      </c>
      <c r="AD1915" s="14">
        <v>0.24958311222996099</v>
      </c>
      <c r="AE1915" s="14">
        <v>0.31376140967961302</v>
      </c>
      <c r="AF1915" s="14">
        <v>0.42244585990372402</v>
      </c>
      <c r="AG1915" s="14">
        <v>0.330615258768308</v>
      </c>
      <c r="AH1915" s="14"/>
      <c r="AI1915" s="14">
        <v>0.34651486456888397</v>
      </c>
      <c r="AJ1915" s="14">
        <v>0.27306920789526001</v>
      </c>
      <c r="AK1915" s="14">
        <v>0.334668890655893</v>
      </c>
      <c r="AL1915" s="14">
        <v>0.237717437477758</v>
      </c>
      <c r="AM1915" s="14">
        <v>0.19610025585589799</v>
      </c>
      <c r="AN1915" s="14">
        <v>0.18001541718358</v>
      </c>
      <c r="AO1915" s="14"/>
      <c r="AP1915" s="14">
        <v>0.29698327172467298</v>
      </c>
      <c r="AQ1915" s="14">
        <v>0.26448831883588603</v>
      </c>
      <c r="AR1915" s="14"/>
      <c r="AS1915" s="14">
        <v>0.34512838160078002</v>
      </c>
      <c r="AT1915" s="14">
        <v>0.27480853819909601</v>
      </c>
      <c r="AU1915" s="14">
        <v>0.26647810128218002</v>
      </c>
      <c r="AV1915" s="14"/>
      <c r="AW1915" s="14">
        <v>0.26992603580845598</v>
      </c>
      <c r="AX1915" s="14">
        <v>0.40419277980387303</v>
      </c>
      <c r="AY1915" s="14"/>
      <c r="AZ1915" s="14">
        <v>0.29876640999964499</v>
      </c>
      <c r="BA1915" s="14">
        <v>0.223414845519364</v>
      </c>
    </row>
    <row r="1916" spans="2:53" x14ac:dyDescent="0.35">
      <c r="B1916" t="s">
        <v>460</v>
      </c>
      <c r="C1916" s="14">
        <v>0.25527634644008701</v>
      </c>
      <c r="D1916" s="14">
        <v>0.252778418238084</v>
      </c>
      <c r="E1916" s="14">
        <v>0.25705425163316098</v>
      </c>
      <c r="F1916" s="14"/>
      <c r="G1916" s="14">
        <v>0.408507894015467</v>
      </c>
      <c r="H1916" s="14">
        <v>0.297184077924881</v>
      </c>
      <c r="I1916" s="14">
        <v>0.27435491760774899</v>
      </c>
      <c r="J1916" s="14">
        <v>0.225175337116341</v>
      </c>
      <c r="K1916" s="14">
        <v>0.17734280705520999</v>
      </c>
      <c r="L1916" s="14">
        <v>0.30990859939986698</v>
      </c>
      <c r="M1916" s="14"/>
      <c r="N1916" s="14">
        <v>0.22675977760927901</v>
      </c>
      <c r="O1916" s="14">
        <v>0.24250993777131299</v>
      </c>
      <c r="P1916" s="14">
        <v>0.33479412878479298</v>
      </c>
      <c r="Q1916" s="14">
        <v>0.23235468355387301</v>
      </c>
      <c r="R1916" s="14"/>
      <c r="S1916" s="14">
        <v>0.27148338704974101</v>
      </c>
      <c r="T1916" s="14">
        <v>0.199334538147736</v>
      </c>
      <c r="U1916" s="14">
        <v>0.257185468537173</v>
      </c>
      <c r="V1916" s="14">
        <v>0.20920140016061201</v>
      </c>
      <c r="W1916" s="14">
        <v>0.31228898088469298</v>
      </c>
      <c r="X1916" s="14">
        <v>0.30110058071600199</v>
      </c>
      <c r="Y1916" s="14">
        <v>0.29105773647210798</v>
      </c>
      <c r="Z1916" s="14">
        <v>0.26320815613986698</v>
      </c>
      <c r="AA1916" s="14">
        <v>0.23611237516317601</v>
      </c>
      <c r="AB1916" s="14"/>
      <c r="AC1916" s="14">
        <v>0.25296291269384702</v>
      </c>
      <c r="AD1916" s="14">
        <v>0.27298662332553097</v>
      </c>
      <c r="AE1916" s="14">
        <v>0.24935681169183299</v>
      </c>
      <c r="AF1916" s="14">
        <v>0.241442947614216</v>
      </c>
      <c r="AG1916" s="14">
        <v>0.26518270776902397</v>
      </c>
      <c r="AH1916" s="14"/>
      <c r="AI1916" s="14">
        <v>0.25893342282721199</v>
      </c>
      <c r="AJ1916" s="14">
        <v>0.34253710272420101</v>
      </c>
      <c r="AK1916" s="14">
        <v>0.23090716339282799</v>
      </c>
      <c r="AL1916" s="14">
        <v>0.23251011465250199</v>
      </c>
      <c r="AM1916" s="14">
        <v>0.21533306281526399</v>
      </c>
      <c r="AN1916" s="14">
        <v>0.19639835588511001</v>
      </c>
      <c r="AO1916" s="14"/>
      <c r="AP1916" s="14">
        <v>0.25587374349150299</v>
      </c>
      <c r="AQ1916" s="14">
        <v>0.25542688618294501</v>
      </c>
      <c r="AR1916" s="14"/>
      <c r="AS1916" s="14">
        <v>0.22362709227810301</v>
      </c>
      <c r="AT1916" s="14">
        <v>0.30520082171572099</v>
      </c>
      <c r="AU1916" s="14">
        <v>0.24903183600974399</v>
      </c>
      <c r="AV1916" s="14"/>
      <c r="AW1916" s="14">
        <v>0.25764598444009501</v>
      </c>
      <c r="AX1916" s="14">
        <v>0.25456117214821999</v>
      </c>
      <c r="AY1916" s="14"/>
      <c r="AZ1916" s="14">
        <v>0.26018247419931001</v>
      </c>
      <c r="BA1916" s="14">
        <v>0.239916437970256</v>
      </c>
    </row>
    <row r="1917" spans="2:53" x14ac:dyDescent="0.35">
      <c r="B1917" t="s">
        <v>461</v>
      </c>
      <c r="C1917" s="14">
        <v>0.25801834872387203</v>
      </c>
      <c r="D1917" s="14">
        <v>0.27259317700997698</v>
      </c>
      <c r="E1917" s="14">
        <v>0.24368201898421399</v>
      </c>
      <c r="F1917" s="14"/>
      <c r="G1917" s="14">
        <v>0.24085405611044899</v>
      </c>
      <c r="H1917" s="14">
        <v>0.24448740176165801</v>
      </c>
      <c r="I1917" s="14">
        <v>0.25064780622433402</v>
      </c>
      <c r="J1917" s="14">
        <v>0.28086505570911702</v>
      </c>
      <c r="K1917" s="14">
        <v>0.23916441942769201</v>
      </c>
      <c r="L1917" s="14">
        <v>0.27067857828389702</v>
      </c>
      <c r="M1917" s="14"/>
      <c r="N1917" s="14">
        <v>0.284187308902564</v>
      </c>
      <c r="O1917" s="14">
        <v>0.282731632864477</v>
      </c>
      <c r="P1917" s="14">
        <v>0.21631649812456499</v>
      </c>
      <c r="Q1917" s="14">
        <v>0.24033084492325599</v>
      </c>
      <c r="R1917" s="14"/>
      <c r="S1917" s="14">
        <v>0.23268852749711399</v>
      </c>
      <c r="T1917" s="14">
        <v>0.29071223205080099</v>
      </c>
      <c r="U1917" s="14">
        <v>0.27082606849483798</v>
      </c>
      <c r="V1917" s="14">
        <v>0.30470986211287998</v>
      </c>
      <c r="W1917" s="14">
        <v>0.24818723793737599</v>
      </c>
      <c r="X1917" s="14">
        <v>0.273284857974533</v>
      </c>
      <c r="Y1917" s="14">
        <v>0.19476540044676799</v>
      </c>
      <c r="Z1917" s="14">
        <v>0.26982756654145901</v>
      </c>
      <c r="AA1917" s="14">
        <v>0.23884446116816499</v>
      </c>
      <c r="AB1917" s="14"/>
      <c r="AC1917" s="14">
        <v>0.24743564753576999</v>
      </c>
      <c r="AD1917" s="14">
        <v>0.25490096959125902</v>
      </c>
      <c r="AE1917" s="14">
        <v>0.26362783011928598</v>
      </c>
      <c r="AF1917" s="14">
        <v>0.26035529675499403</v>
      </c>
      <c r="AG1917" s="14">
        <v>0.30498239913680703</v>
      </c>
      <c r="AH1917" s="14"/>
      <c r="AI1917" s="14">
        <v>0.241280285207679</v>
      </c>
      <c r="AJ1917" s="14">
        <v>0.227676069831455</v>
      </c>
      <c r="AK1917" s="14">
        <v>0.27910944380807901</v>
      </c>
      <c r="AL1917" s="14">
        <v>0.28538653565715899</v>
      </c>
      <c r="AM1917" s="14">
        <v>0.40079940150632698</v>
      </c>
      <c r="AN1917" s="14">
        <v>0.26451215647230403</v>
      </c>
      <c r="AO1917" s="14"/>
      <c r="AP1917" s="14">
        <v>0.264937406606227</v>
      </c>
      <c r="AQ1917" s="14">
        <v>0.25106497061952598</v>
      </c>
      <c r="AR1917" s="14"/>
      <c r="AS1917" s="14">
        <v>0.26355188309871702</v>
      </c>
      <c r="AT1917" s="14">
        <v>0.21558064177369099</v>
      </c>
      <c r="AU1917" s="14">
        <v>0.2690777083575</v>
      </c>
      <c r="AV1917" s="14"/>
      <c r="AW1917" s="14">
        <v>0.263802069672954</v>
      </c>
      <c r="AX1917" s="14">
        <v>0.23494881161071701</v>
      </c>
      <c r="AY1917" s="14"/>
      <c r="AZ1917" s="14">
        <v>0.26101291093545997</v>
      </c>
      <c r="BA1917" s="14">
        <v>0.24964864170632001</v>
      </c>
    </row>
    <row r="1918" spans="2:53" x14ac:dyDescent="0.35">
      <c r="B1918" t="s">
        <v>116</v>
      </c>
      <c r="C1918" s="14">
        <v>0.205126009318778</v>
      </c>
      <c r="D1918" s="14">
        <v>0.14530421189845799</v>
      </c>
      <c r="E1918" s="14">
        <v>0.26519451262225802</v>
      </c>
      <c r="F1918" s="14"/>
      <c r="G1918" s="14">
        <v>4.7152529771917098E-2</v>
      </c>
      <c r="H1918" s="14">
        <v>0.11937113374288</v>
      </c>
      <c r="I1918" s="14">
        <v>0.197003956526798</v>
      </c>
      <c r="J1918" s="14">
        <v>0.23464249212574501</v>
      </c>
      <c r="K1918" s="14">
        <v>0.28665808919153801</v>
      </c>
      <c r="L1918" s="14">
        <v>0.25835962772429699</v>
      </c>
      <c r="M1918" s="14"/>
      <c r="N1918" s="14">
        <v>0.126629778758693</v>
      </c>
      <c r="O1918" s="14">
        <v>0.191543889854809</v>
      </c>
      <c r="P1918" s="14">
        <v>0.235483605981405</v>
      </c>
      <c r="Q1918" s="14">
        <v>0.27401209266767901</v>
      </c>
      <c r="R1918" s="14"/>
      <c r="S1918" s="14">
        <v>0.111256973916546</v>
      </c>
      <c r="T1918" s="14">
        <v>0.227542899217236</v>
      </c>
      <c r="U1918" s="14">
        <v>0.21949953231635699</v>
      </c>
      <c r="V1918" s="14">
        <v>0.25973191037626198</v>
      </c>
      <c r="W1918" s="14">
        <v>0.16677803380992301</v>
      </c>
      <c r="X1918" s="14">
        <v>0.22509225384161999</v>
      </c>
      <c r="Y1918" s="14">
        <v>0.224144882256649</v>
      </c>
      <c r="Z1918" s="14">
        <v>0.215402955965045</v>
      </c>
      <c r="AA1918" s="14">
        <v>0.2282679374522</v>
      </c>
      <c r="AB1918" s="14"/>
      <c r="AC1918" s="14">
        <v>0.29988229494170399</v>
      </c>
      <c r="AD1918" s="14">
        <v>0.22252929485324999</v>
      </c>
      <c r="AE1918" s="14">
        <v>0.17325394850926801</v>
      </c>
      <c r="AF1918" s="14">
        <v>7.5755895727065994E-2</v>
      </c>
      <c r="AG1918" s="14">
        <v>9.92196343258612E-2</v>
      </c>
      <c r="AH1918" s="14"/>
      <c r="AI1918" s="14">
        <v>0.15327142739622501</v>
      </c>
      <c r="AJ1918" s="14">
        <v>0.156717619549084</v>
      </c>
      <c r="AK1918" s="14">
        <v>0.155314502143199</v>
      </c>
      <c r="AL1918" s="14">
        <v>0.24438591221258099</v>
      </c>
      <c r="AM1918" s="14">
        <v>0.18776727982251101</v>
      </c>
      <c r="AN1918" s="14">
        <v>0.35907407045900602</v>
      </c>
      <c r="AO1918" s="14"/>
      <c r="AP1918" s="14">
        <v>0.182205578177597</v>
      </c>
      <c r="AQ1918" s="14">
        <v>0.229019824361643</v>
      </c>
      <c r="AR1918" s="14"/>
      <c r="AS1918" s="14">
        <v>0.1676926430224</v>
      </c>
      <c r="AT1918" s="14">
        <v>0.20440999831149201</v>
      </c>
      <c r="AU1918" s="14">
        <v>0.21541235435057601</v>
      </c>
      <c r="AV1918" s="14"/>
      <c r="AW1918" s="14">
        <v>0.20862591007849399</v>
      </c>
      <c r="AX1918" s="14">
        <v>0.10629723643719</v>
      </c>
      <c r="AY1918" s="14"/>
      <c r="AZ1918" s="14">
        <v>0.180038204865585</v>
      </c>
      <c r="BA1918" s="14">
        <v>0.287020074804061</v>
      </c>
    </row>
    <row r="1919" spans="2:53" x14ac:dyDescent="0.35">
      <c r="C1919" s="14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4"/>
      <c r="AP1919" s="14"/>
      <c r="AQ1919" s="14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</row>
    <row r="1920" spans="2:53" x14ac:dyDescent="0.35">
      <c r="C1920" s="14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19"/>
  <sheetViews>
    <sheetView showGridLines="0" workbookViewId="0">
      <pane xSplit="2" topLeftCell="C1" activePane="topRight" state="frozen"/>
      <selection pane="topRight" activeCell="B11" sqref="B11"/>
    </sheetView>
  </sheetViews>
  <sheetFormatPr defaultColWidth="10.90625" defaultRowHeight="14.5" x14ac:dyDescent="0.35"/>
  <cols>
    <col min="2" max="2" width="25.7265625" customWidth="1"/>
    <col min="3" max="12" width="20.7265625" customWidth="1"/>
  </cols>
  <sheetData>
    <row r="2" spans="2:12" ht="40" customHeight="1" x14ac:dyDescent="0.35">
      <c r="D2" s="35" t="s">
        <v>83</v>
      </c>
      <c r="E2" s="32"/>
      <c r="F2" s="32"/>
      <c r="G2" s="32"/>
      <c r="H2" s="32"/>
      <c r="I2" s="32"/>
      <c r="J2" s="32"/>
      <c r="K2" s="32"/>
      <c r="L2" s="32"/>
    </row>
    <row r="6" spans="2:12" ht="50" customHeight="1" x14ac:dyDescent="0.35">
      <c r="B6" s="17" t="s">
        <v>14</v>
      </c>
      <c r="C6" s="17" t="s">
        <v>67</v>
      </c>
      <c r="D6" s="17" t="s">
        <v>68</v>
      </c>
      <c r="E6" s="17" t="s">
        <v>69</v>
      </c>
      <c r="F6" s="17" t="s">
        <v>70</v>
      </c>
      <c r="G6" s="17" t="s">
        <v>71</v>
      </c>
      <c r="H6" s="17" t="s">
        <v>72</v>
      </c>
      <c r="I6" s="17" t="s">
        <v>73</v>
      </c>
      <c r="J6" s="17" t="s">
        <v>74</v>
      </c>
      <c r="K6" s="17" t="s">
        <v>75</v>
      </c>
    </row>
    <row r="7" spans="2:12" x14ac:dyDescent="0.35">
      <c r="B7" s="15" t="s">
        <v>76</v>
      </c>
      <c r="C7" s="14">
        <v>0.33525827087981103</v>
      </c>
      <c r="D7" s="14">
        <v>0.30406199846753301</v>
      </c>
      <c r="E7" s="14">
        <v>0.38624315893349598</v>
      </c>
      <c r="F7" s="14">
        <v>0.46832988580354501</v>
      </c>
      <c r="G7" s="14">
        <v>0.41502092064816698</v>
      </c>
      <c r="H7" s="14">
        <v>0.65104291881207299</v>
      </c>
      <c r="I7" s="14">
        <v>0.63509905131833899</v>
      </c>
      <c r="J7" s="14">
        <v>0.85563367837470405</v>
      </c>
      <c r="K7" s="14">
        <v>0.84466260005014204</v>
      </c>
    </row>
    <row r="8" spans="2:12" x14ac:dyDescent="0.35">
      <c r="B8" s="15" t="s">
        <v>77</v>
      </c>
      <c r="C8" s="14">
        <v>0.44795028057882502</v>
      </c>
      <c r="D8" s="14">
        <v>0.48454615114062199</v>
      </c>
      <c r="E8" s="14">
        <v>0.471371723622105</v>
      </c>
      <c r="F8" s="14">
        <v>0.395420160475706</v>
      </c>
      <c r="G8" s="14">
        <v>0.45237382490831402</v>
      </c>
      <c r="H8" s="14">
        <v>0.29838982946063702</v>
      </c>
      <c r="I8" s="14">
        <v>0.31433901997548003</v>
      </c>
      <c r="J8" s="14">
        <v>0.115236750756517</v>
      </c>
      <c r="K8" s="14">
        <v>0.133769834447448</v>
      </c>
    </row>
    <row r="9" spans="2:12" x14ac:dyDescent="0.35">
      <c r="B9" s="15" t="s">
        <v>78</v>
      </c>
      <c r="C9" s="14">
        <v>0.18214899534557599</v>
      </c>
      <c r="D9" s="14">
        <v>0.15976532179226699</v>
      </c>
      <c r="E9" s="14">
        <v>0.118585102307876</v>
      </c>
      <c r="F9" s="14">
        <v>0.10457355810276001</v>
      </c>
      <c r="G9" s="14">
        <v>0.112450767754857</v>
      </c>
      <c r="H9" s="14">
        <v>3.9917692647647898E-2</v>
      </c>
      <c r="I9" s="14">
        <v>3.72057960319013E-2</v>
      </c>
      <c r="J9" s="14">
        <v>1.9523520628849801E-2</v>
      </c>
      <c r="K9" s="14">
        <v>1.07065014393411E-2</v>
      </c>
    </row>
    <row r="10" spans="2:12" x14ac:dyDescent="0.35">
      <c r="B10" s="15" t="s">
        <v>79</v>
      </c>
      <c r="C10" s="14">
        <v>3.1210314410186998E-2</v>
      </c>
      <c r="D10" s="14">
        <v>4.3581533243162003E-2</v>
      </c>
      <c r="E10" s="14">
        <v>1.7672863618817401E-2</v>
      </c>
      <c r="F10" s="14">
        <v>2.8244256832387699E-2</v>
      </c>
      <c r="G10" s="14">
        <v>1.6722347903060899E-2</v>
      </c>
      <c r="H10" s="14">
        <v>8.7508643677171195E-3</v>
      </c>
      <c r="I10" s="14">
        <v>9.4647067462367597E-3</v>
      </c>
      <c r="J10" s="14">
        <v>6.1739114543277601E-3</v>
      </c>
      <c r="K10" s="14">
        <v>7.4289252774678302E-3</v>
      </c>
    </row>
    <row r="11" spans="2:12" x14ac:dyDescent="0.35">
      <c r="B11" s="20" t="s">
        <v>80</v>
      </c>
      <c r="C11" s="18">
        <v>3.43213878560099E-3</v>
      </c>
      <c r="D11" s="18">
        <v>8.04499535641638E-3</v>
      </c>
      <c r="E11" s="18">
        <v>6.1271515177057003E-3</v>
      </c>
      <c r="F11" s="18">
        <v>3.43213878560099E-3</v>
      </c>
      <c r="G11" s="18">
        <v>3.43213878560099E-3</v>
      </c>
      <c r="H11" s="18">
        <v>1.8986947119257599E-3</v>
      </c>
      <c r="I11" s="18">
        <v>3.89142592804271E-3</v>
      </c>
      <c r="J11" s="18">
        <v>3.43213878560099E-3</v>
      </c>
      <c r="K11" s="18">
        <v>3.43213878560099E-3</v>
      </c>
    </row>
    <row r="12" spans="2:12" x14ac:dyDescent="0.35">
      <c r="B12" s="20" t="s">
        <v>81</v>
      </c>
      <c r="C12" s="18">
        <v>0.78320855145863599</v>
      </c>
      <c r="D12" s="18">
        <v>0.78860814960815495</v>
      </c>
      <c r="E12" s="18">
        <v>0.85761488255560103</v>
      </c>
      <c r="F12" s="18">
        <v>0.863750046279251</v>
      </c>
      <c r="G12" s="18">
        <v>0.86739474555648099</v>
      </c>
      <c r="H12" s="18">
        <v>0.94943274827270896</v>
      </c>
      <c r="I12" s="18">
        <v>0.94943807129381896</v>
      </c>
      <c r="J12" s="18">
        <v>0.97087042913122101</v>
      </c>
      <c r="K12" s="18">
        <v>0.97843243449758999</v>
      </c>
    </row>
    <row r="13" spans="2:12" x14ac:dyDescent="0.35">
      <c r="B13" s="16" t="s">
        <v>86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5">
      <c r="B14" t="s">
        <v>84</v>
      </c>
    </row>
    <row r="15" spans="2:12" x14ac:dyDescent="0.35">
      <c r="B15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A19"/>
  <sheetViews>
    <sheetView showGridLines="0" topLeftCell="A5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89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0.84466260005014204</v>
      </c>
      <c r="D9" s="14">
        <v>0.87841071423136796</v>
      </c>
      <c r="E9" s="14">
        <v>0.81024640825524696</v>
      </c>
      <c r="F9" s="14"/>
      <c r="G9" s="14">
        <v>1</v>
      </c>
      <c r="H9" s="14">
        <v>0.77651382593721996</v>
      </c>
      <c r="I9" s="14">
        <v>0.86697045958848196</v>
      </c>
      <c r="J9" s="14">
        <v>0.87379643357377101</v>
      </c>
      <c r="K9" s="14">
        <v>0.92275512917831803</v>
      </c>
      <c r="L9" s="14">
        <v>0.34819201228478702</v>
      </c>
      <c r="M9" s="14"/>
      <c r="N9" s="14">
        <v>0.89923886280931298</v>
      </c>
      <c r="O9" s="14">
        <v>0.86190276791868603</v>
      </c>
      <c r="P9" s="14">
        <v>0.76168916806811504</v>
      </c>
      <c r="Q9" s="14">
        <v>0.83926986767904099</v>
      </c>
      <c r="R9" s="14"/>
      <c r="S9" s="14">
        <v>0.840895763054477</v>
      </c>
      <c r="T9" s="14">
        <v>0.83032641787366901</v>
      </c>
      <c r="U9" s="14">
        <v>0.92165543652366999</v>
      </c>
      <c r="V9" s="14">
        <v>0.86239579258611399</v>
      </c>
      <c r="W9" s="14">
        <v>0.87171543281598696</v>
      </c>
      <c r="X9" s="14">
        <v>0.84733809458760401</v>
      </c>
      <c r="Y9" s="14">
        <v>0.79583212014723803</v>
      </c>
      <c r="Z9" s="14">
        <v>0.82118456151066699</v>
      </c>
      <c r="AA9" s="14">
        <v>0.81714836429986804</v>
      </c>
      <c r="AB9" s="14"/>
      <c r="AC9" s="14">
        <v>0.84062782089851595</v>
      </c>
      <c r="AD9" s="14">
        <v>0.79944864542716199</v>
      </c>
      <c r="AE9" s="14">
        <v>0.89019485297495804</v>
      </c>
      <c r="AF9" s="14">
        <v>0.88106072137304503</v>
      </c>
      <c r="AG9" s="14">
        <v>0.78602749212313205</v>
      </c>
      <c r="AH9" s="14"/>
      <c r="AI9" s="14">
        <v>0.87516753990555296</v>
      </c>
      <c r="AJ9" s="14">
        <v>0.81634999321863</v>
      </c>
      <c r="AK9" s="14">
        <v>0.85702057955182598</v>
      </c>
      <c r="AL9" s="14">
        <v>0.78774825425984896</v>
      </c>
      <c r="AM9" s="14">
        <v>0.80048381254035605</v>
      </c>
      <c r="AN9" s="14">
        <v>0.88045614852170695</v>
      </c>
      <c r="AO9" s="14"/>
      <c r="AP9" s="14">
        <v>0.84449039771475698</v>
      </c>
      <c r="AQ9" s="14">
        <v>0.84485071732704597</v>
      </c>
      <c r="AR9" s="14"/>
      <c r="AS9" s="14">
        <v>0.86374703760377702</v>
      </c>
      <c r="AT9" s="14">
        <v>0.82729239125383303</v>
      </c>
      <c r="AU9" s="14" t="s">
        <v>88</v>
      </c>
      <c r="AV9" s="14"/>
      <c r="AW9" s="14">
        <v>0.85530191215692097</v>
      </c>
      <c r="AX9" s="14">
        <v>0.82963985360249104</v>
      </c>
      <c r="AY9" s="14"/>
      <c r="AZ9" s="14">
        <v>0.86132261305775504</v>
      </c>
      <c r="BA9" s="14">
        <v>0.80486048663959198</v>
      </c>
    </row>
    <row r="10" spans="2:53" x14ac:dyDescent="0.35">
      <c r="B10" s="15" t="s">
        <v>77</v>
      </c>
      <c r="C10" s="14">
        <v>0.133769834447448</v>
      </c>
      <c r="D10" s="14">
        <v>0.100756506539516</v>
      </c>
      <c r="E10" s="14">
        <v>0.16743669414117299</v>
      </c>
      <c r="F10" s="14"/>
      <c r="G10" s="14">
        <v>0</v>
      </c>
      <c r="H10" s="14">
        <v>0.176541520459846</v>
      </c>
      <c r="I10" s="14">
        <v>0.11966683518426</v>
      </c>
      <c r="J10" s="14">
        <v>0.113985359792229</v>
      </c>
      <c r="K10" s="14">
        <v>7.7244870821682105E-2</v>
      </c>
      <c r="L10" s="14">
        <v>0.65180798771521298</v>
      </c>
      <c r="M10" s="14"/>
      <c r="N10" s="14">
        <v>9.5146158395207903E-2</v>
      </c>
      <c r="O10" s="14">
        <v>0.109131408103137</v>
      </c>
      <c r="P10" s="14">
        <v>0.184216479386551</v>
      </c>
      <c r="Q10" s="14">
        <v>0.155778810275264</v>
      </c>
      <c r="R10" s="14"/>
      <c r="S10" s="14">
        <v>0.14406450174708599</v>
      </c>
      <c r="T10" s="14">
        <v>0.15980998091867199</v>
      </c>
      <c r="U10" s="14">
        <v>5.8934321773832898E-2</v>
      </c>
      <c r="V10" s="14">
        <v>9.3251699350483302E-2</v>
      </c>
      <c r="W10" s="14">
        <v>0.11290376274981</v>
      </c>
      <c r="X10" s="14">
        <v>7.5698026599700693E-2</v>
      </c>
      <c r="Y10" s="14">
        <v>0.196325740127199</v>
      </c>
      <c r="Z10" s="14">
        <v>0.17881543848933301</v>
      </c>
      <c r="AA10" s="14">
        <v>0.17445223572449001</v>
      </c>
      <c r="AB10" s="14"/>
      <c r="AC10" s="14">
        <v>0.143799275704344</v>
      </c>
      <c r="AD10" s="14">
        <v>0.16557680690541501</v>
      </c>
      <c r="AE10" s="14">
        <v>9.2223781250878295E-2</v>
      </c>
      <c r="AF10" s="14">
        <v>0.113239186291095</v>
      </c>
      <c r="AG10" s="14">
        <v>0.19839117288415301</v>
      </c>
      <c r="AH10" s="14"/>
      <c r="AI10" s="14">
        <v>0.103831929511926</v>
      </c>
      <c r="AJ10" s="14">
        <v>0.166827807253347</v>
      </c>
      <c r="AK10" s="14">
        <v>0.11383343394263901</v>
      </c>
      <c r="AL10" s="14">
        <v>0.175174780449454</v>
      </c>
      <c r="AM10" s="14">
        <v>0.199516187459644</v>
      </c>
      <c r="AN10" s="14">
        <v>0.106789504093319</v>
      </c>
      <c r="AO10" s="14"/>
      <c r="AP10" s="14">
        <v>0.13407948765458499</v>
      </c>
      <c r="AQ10" s="14">
        <v>0.13343156308788101</v>
      </c>
      <c r="AR10" s="14"/>
      <c r="AS10" s="14">
        <v>0.113827893772445</v>
      </c>
      <c r="AT10" s="14">
        <v>0.151920522533219</v>
      </c>
      <c r="AU10" s="14" t="s">
        <v>88</v>
      </c>
      <c r="AV10" s="14"/>
      <c r="AW10" s="14">
        <v>0.12924942222926</v>
      </c>
      <c r="AX10" s="14">
        <v>0.14509933834823999</v>
      </c>
      <c r="AY10" s="14"/>
      <c r="AZ10" s="14">
        <v>0.11652279819872</v>
      </c>
      <c r="BA10" s="14">
        <v>0.191495479032047</v>
      </c>
    </row>
    <row r="11" spans="2:53" x14ac:dyDescent="0.35">
      <c r="B11" s="15" t="s">
        <v>78</v>
      </c>
      <c r="C11" s="14">
        <v>1.07065014393411E-2</v>
      </c>
      <c r="D11" s="14">
        <v>8.1976786600535204E-3</v>
      </c>
      <c r="E11" s="14">
        <v>1.3264988870303999E-2</v>
      </c>
      <c r="F11" s="14"/>
      <c r="G11" s="14">
        <v>0</v>
      </c>
      <c r="H11" s="14">
        <v>2.2709049963986601E-2</v>
      </c>
      <c r="I11" s="14">
        <v>8.7443276948324499E-3</v>
      </c>
      <c r="J11" s="14">
        <v>0</v>
      </c>
      <c r="K11" s="14">
        <v>0</v>
      </c>
      <c r="L11" s="14">
        <v>0</v>
      </c>
      <c r="M11" s="14"/>
      <c r="N11" s="14">
        <v>1.6977030762250699E-3</v>
      </c>
      <c r="O11" s="14">
        <v>1.6824254259030599E-2</v>
      </c>
      <c r="P11" s="14">
        <v>2.14176376100303E-2</v>
      </c>
      <c r="Q11" s="14">
        <v>4.9513220456954901E-3</v>
      </c>
      <c r="R11" s="14"/>
      <c r="S11" s="14">
        <v>2.5147381672493102E-3</v>
      </c>
      <c r="T11" s="14">
        <v>0</v>
      </c>
      <c r="U11" s="14">
        <v>1.9410241702497302E-2</v>
      </c>
      <c r="V11" s="14">
        <v>0</v>
      </c>
      <c r="W11" s="14">
        <v>1.5380804434203499E-2</v>
      </c>
      <c r="X11" s="14">
        <v>6.1184817645277903E-2</v>
      </c>
      <c r="Y11" s="14">
        <v>0</v>
      </c>
      <c r="Z11" s="14">
        <v>0</v>
      </c>
      <c r="AA11" s="14">
        <v>8.3993999756419094E-3</v>
      </c>
      <c r="AB11" s="14"/>
      <c r="AC11" s="14">
        <v>1.5572903397140901E-2</v>
      </c>
      <c r="AD11" s="14">
        <v>1.34802267329645E-2</v>
      </c>
      <c r="AE11" s="14">
        <v>1.23258471374992E-2</v>
      </c>
      <c r="AF11" s="14">
        <v>0</v>
      </c>
      <c r="AG11" s="14">
        <v>1.55813349927148E-2</v>
      </c>
      <c r="AH11" s="14"/>
      <c r="AI11" s="14">
        <v>1.5694063439308001E-2</v>
      </c>
      <c r="AJ11" s="14">
        <v>0</v>
      </c>
      <c r="AK11" s="14">
        <v>2.91459865055347E-2</v>
      </c>
      <c r="AL11" s="14">
        <v>1.1432267575683899E-2</v>
      </c>
      <c r="AM11" s="14">
        <v>0</v>
      </c>
      <c r="AN11" s="14">
        <v>1.2754347384974401E-2</v>
      </c>
      <c r="AO11" s="14"/>
      <c r="AP11" s="14">
        <v>9.7235671665364103E-3</v>
      </c>
      <c r="AQ11" s="14">
        <v>1.1780278507246E-2</v>
      </c>
      <c r="AR11" s="14"/>
      <c r="AS11" s="14">
        <v>7.9155167592279401E-3</v>
      </c>
      <c r="AT11" s="14">
        <v>1.3246790431595599E-2</v>
      </c>
      <c r="AU11" s="14" t="s">
        <v>88</v>
      </c>
      <c r="AV11" s="14"/>
      <c r="AW11" s="14">
        <v>1.1832326900516501E-2</v>
      </c>
      <c r="AX11" s="14">
        <v>8.6322695294459295E-3</v>
      </c>
      <c r="AY11" s="14"/>
      <c r="AZ11" s="14">
        <v>1.35579171614177E-2</v>
      </c>
      <c r="BA11" s="14">
        <v>0</v>
      </c>
    </row>
    <row r="12" spans="2:53" x14ac:dyDescent="0.35">
      <c r="B12" s="15" t="s">
        <v>79</v>
      </c>
      <c r="C12" s="14">
        <v>7.4289252774678302E-3</v>
      </c>
      <c r="D12" s="14">
        <v>5.83744672843852E-3</v>
      </c>
      <c r="E12" s="14">
        <v>9.0519087332759703E-3</v>
      </c>
      <c r="F12" s="14"/>
      <c r="G12" s="14">
        <v>0</v>
      </c>
      <c r="H12" s="14">
        <v>1.85603152429041E-2</v>
      </c>
      <c r="I12" s="14">
        <v>4.6183775324246798E-3</v>
      </c>
      <c r="J12" s="14">
        <v>0</v>
      </c>
      <c r="K12" s="14">
        <v>0</v>
      </c>
      <c r="L12" s="14">
        <v>0</v>
      </c>
      <c r="M12" s="14"/>
      <c r="N12" s="14">
        <v>3.9172757192535903E-3</v>
      </c>
      <c r="O12" s="14">
        <v>0</v>
      </c>
      <c r="P12" s="14">
        <v>3.2676714935303899E-2</v>
      </c>
      <c r="Q12" s="14">
        <v>0</v>
      </c>
      <c r="R12" s="14"/>
      <c r="S12" s="14">
        <v>1.53745160554399E-3</v>
      </c>
      <c r="T12" s="14">
        <v>9.8636012076583693E-3</v>
      </c>
      <c r="U12" s="14">
        <v>0</v>
      </c>
      <c r="V12" s="14">
        <v>4.4352508063402601E-2</v>
      </c>
      <c r="W12" s="14">
        <v>0</v>
      </c>
      <c r="X12" s="14">
        <v>0</v>
      </c>
      <c r="Y12" s="14">
        <v>7.8421397255627207E-3</v>
      </c>
      <c r="Z12" s="14">
        <v>0</v>
      </c>
      <c r="AA12" s="14">
        <v>0</v>
      </c>
      <c r="AB12" s="14"/>
      <c r="AC12" s="14">
        <v>0</v>
      </c>
      <c r="AD12" s="14">
        <v>2.14943209344583E-2</v>
      </c>
      <c r="AE12" s="14">
        <v>5.2555186366647702E-3</v>
      </c>
      <c r="AF12" s="14">
        <v>5.7000923358602098E-3</v>
      </c>
      <c r="AG12" s="14">
        <v>0</v>
      </c>
      <c r="AH12" s="14"/>
      <c r="AI12" s="14">
        <v>5.3064671432131796E-3</v>
      </c>
      <c r="AJ12" s="14">
        <v>1.6822199528022701E-2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5.1326328460634197E-3</v>
      </c>
      <c r="AQ12" s="14">
        <v>9.9374410778271995E-3</v>
      </c>
      <c r="AR12" s="14"/>
      <c r="AS12" s="14">
        <v>1.052478432022E-2</v>
      </c>
      <c r="AT12" s="14">
        <v>4.6111467694339202E-3</v>
      </c>
      <c r="AU12" s="14" t="s">
        <v>88</v>
      </c>
      <c r="AV12" s="14"/>
      <c r="AW12" s="14">
        <v>3.61633871330256E-3</v>
      </c>
      <c r="AX12" s="14">
        <v>1.6628538519823301E-2</v>
      </c>
      <c r="AY12" s="14"/>
      <c r="AZ12" s="14">
        <v>6.1923058081930103E-3</v>
      </c>
      <c r="BA12" s="14">
        <v>3.6440343283611499E-3</v>
      </c>
    </row>
    <row r="13" spans="2:53" x14ac:dyDescent="0.35">
      <c r="B13" s="15" t="s">
        <v>80</v>
      </c>
      <c r="C13" s="18">
        <v>3.43213878560099E-3</v>
      </c>
      <c r="D13" s="18">
        <v>6.7976538406239297E-3</v>
      </c>
      <c r="E13" s="18">
        <v>0</v>
      </c>
      <c r="F13" s="18"/>
      <c r="G13" s="18">
        <v>0</v>
      </c>
      <c r="H13" s="18">
        <v>5.67528839604325E-3</v>
      </c>
      <c r="I13" s="18">
        <v>0</v>
      </c>
      <c r="J13" s="18">
        <v>1.22182066340001E-2</v>
      </c>
      <c r="K13" s="18">
        <v>0</v>
      </c>
      <c r="L13" s="18">
        <v>0</v>
      </c>
      <c r="M13" s="18"/>
      <c r="N13" s="18">
        <v>0</v>
      </c>
      <c r="O13" s="18">
        <v>1.21415697191464E-2</v>
      </c>
      <c r="P13" s="18">
        <v>0</v>
      </c>
      <c r="Q13" s="18">
        <v>0</v>
      </c>
      <c r="R13" s="18"/>
      <c r="S13" s="18">
        <v>1.09875454256444E-2</v>
      </c>
      <c r="T13" s="18">
        <v>0</v>
      </c>
      <c r="U13" s="18">
        <v>0</v>
      </c>
      <c r="V13" s="18">
        <v>0</v>
      </c>
      <c r="W13" s="18">
        <v>0</v>
      </c>
      <c r="X13" s="18">
        <v>1.5779061167417199E-2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2.5644697715013001E-2</v>
      </c>
      <c r="AM13" s="18">
        <v>0</v>
      </c>
      <c r="AN13" s="18">
        <v>0</v>
      </c>
      <c r="AO13" s="18"/>
      <c r="AP13" s="18">
        <v>6.57391461805777E-3</v>
      </c>
      <c r="AQ13" s="18">
        <v>0</v>
      </c>
      <c r="AR13" s="18"/>
      <c r="AS13" s="18">
        <v>3.9847675443296501E-3</v>
      </c>
      <c r="AT13" s="18">
        <v>2.9291490119184201E-3</v>
      </c>
      <c r="AU13" s="18" t="s">
        <v>88</v>
      </c>
      <c r="AV13" s="18"/>
      <c r="AW13" s="18">
        <v>0</v>
      </c>
      <c r="AX13" s="18">
        <v>0</v>
      </c>
      <c r="AY13" s="18"/>
      <c r="AZ13" s="18">
        <v>2.40436577391386E-3</v>
      </c>
      <c r="BA13" s="18">
        <v>0</v>
      </c>
    </row>
    <row r="14" spans="2:53" x14ac:dyDescent="0.35">
      <c r="B14" s="26" t="s">
        <v>81</v>
      </c>
      <c r="C14" s="27">
        <v>0.97843243449758999</v>
      </c>
      <c r="D14" s="27">
        <v>0.97916722077088403</v>
      </c>
      <c r="E14" s="27">
        <v>0.97768310239641998</v>
      </c>
      <c r="F14" s="27"/>
      <c r="G14" s="27">
        <v>1</v>
      </c>
      <c r="H14" s="27">
        <v>0.95305534639706602</v>
      </c>
      <c r="I14" s="27">
        <v>0.98663729477274298</v>
      </c>
      <c r="J14" s="27">
        <v>0.98778179336600003</v>
      </c>
      <c r="K14" s="27">
        <v>1</v>
      </c>
      <c r="L14" s="27">
        <v>1</v>
      </c>
      <c r="M14" s="27"/>
      <c r="N14" s="27">
        <v>0.99438502120452099</v>
      </c>
      <c r="O14" s="27">
        <v>0.97103417602182296</v>
      </c>
      <c r="P14" s="27">
        <v>0.94590564745466599</v>
      </c>
      <c r="Q14" s="27">
        <v>0.99504867795430396</v>
      </c>
      <c r="R14" s="27"/>
      <c r="S14" s="27">
        <v>0.98496026480156196</v>
      </c>
      <c r="T14" s="27">
        <v>0.99013639879234205</v>
      </c>
      <c r="U14" s="27">
        <v>0.98058975829750294</v>
      </c>
      <c r="V14" s="27">
        <v>0.95564749193659704</v>
      </c>
      <c r="W14" s="27">
        <v>0.98461919556579602</v>
      </c>
      <c r="X14" s="27">
        <v>0.92303612118730505</v>
      </c>
      <c r="Y14" s="27">
        <v>0.99215786027443698</v>
      </c>
      <c r="Z14" s="27">
        <v>1</v>
      </c>
      <c r="AA14" s="27">
        <v>0.99160060002435801</v>
      </c>
      <c r="AB14" s="27"/>
      <c r="AC14" s="27">
        <v>0.98442709660285899</v>
      </c>
      <c r="AD14" s="27">
        <v>0.96502545233257697</v>
      </c>
      <c r="AE14" s="27">
        <v>0.98241863422583597</v>
      </c>
      <c r="AF14" s="27">
        <v>0.99429990766414</v>
      </c>
      <c r="AG14" s="27">
        <v>0.98441866500728503</v>
      </c>
      <c r="AH14" s="27"/>
      <c r="AI14" s="27">
        <v>0.97899946941747895</v>
      </c>
      <c r="AJ14" s="27">
        <v>0.983177800471977</v>
      </c>
      <c r="AK14" s="27">
        <v>0.97085401349446498</v>
      </c>
      <c r="AL14" s="27">
        <v>0.96292303470930296</v>
      </c>
      <c r="AM14" s="27">
        <v>1</v>
      </c>
      <c r="AN14" s="27">
        <v>0.98724565261502595</v>
      </c>
      <c r="AO14" s="27"/>
      <c r="AP14" s="27">
        <v>0.97856988536934197</v>
      </c>
      <c r="AQ14" s="27">
        <v>0.97828228041492704</v>
      </c>
      <c r="AR14" s="27"/>
      <c r="AS14" s="27">
        <v>0.97757493137622298</v>
      </c>
      <c r="AT14" s="27">
        <v>0.979212913787052</v>
      </c>
      <c r="AU14" s="27" t="s">
        <v>88</v>
      </c>
      <c r="AV14" s="27"/>
      <c r="AW14" s="27">
        <v>0.98455133438618103</v>
      </c>
      <c r="AX14" s="27">
        <v>0.974739191950731</v>
      </c>
      <c r="AY14" s="27"/>
      <c r="AZ14" s="27">
        <v>0.97784541125647495</v>
      </c>
      <c r="BA14" s="27">
        <v>0.99635596567163898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A19"/>
  <sheetViews>
    <sheetView showGridLines="0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0.85563367837470405</v>
      </c>
      <c r="D9" s="14">
        <v>0.87104953586539702</v>
      </c>
      <c r="E9" s="14">
        <v>0.83991264859409598</v>
      </c>
      <c r="F9" s="14"/>
      <c r="G9" s="14">
        <v>0.75573259685097505</v>
      </c>
      <c r="H9" s="14">
        <v>0.835206603393297</v>
      </c>
      <c r="I9" s="14">
        <v>0.83679107494055505</v>
      </c>
      <c r="J9" s="14">
        <v>0.94459939210949495</v>
      </c>
      <c r="K9" s="14">
        <v>0.91045220151824302</v>
      </c>
      <c r="L9" s="14">
        <v>1</v>
      </c>
      <c r="M9" s="14"/>
      <c r="N9" s="14">
        <v>0.89047681871825302</v>
      </c>
      <c r="O9" s="14">
        <v>0.88191579696505196</v>
      </c>
      <c r="P9" s="14">
        <v>0.772644131341921</v>
      </c>
      <c r="Q9" s="14">
        <v>0.85978062939634603</v>
      </c>
      <c r="R9" s="14"/>
      <c r="S9" s="14">
        <v>0.90018658309507205</v>
      </c>
      <c r="T9" s="14">
        <v>0.86255827051304201</v>
      </c>
      <c r="U9" s="14">
        <v>0.85561694848748004</v>
      </c>
      <c r="V9" s="14">
        <v>0.81384743178532004</v>
      </c>
      <c r="W9" s="14">
        <v>0.91418634212852801</v>
      </c>
      <c r="X9" s="14">
        <v>0.77590610883404798</v>
      </c>
      <c r="Y9" s="14">
        <v>0.87927237219309795</v>
      </c>
      <c r="Z9" s="14">
        <v>0.81567347271419999</v>
      </c>
      <c r="AA9" s="14">
        <v>0.84365789117117496</v>
      </c>
      <c r="AB9" s="14"/>
      <c r="AC9" s="14">
        <v>0.83967854607463199</v>
      </c>
      <c r="AD9" s="14">
        <v>0.85597667496336705</v>
      </c>
      <c r="AE9" s="14">
        <v>0.87560909196299497</v>
      </c>
      <c r="AF9" s="14">
        <v>0.85268781948222605</v>
      </c>
      <c r="AG9" s="14">
        <v>0.92396115027551196</v>
      </c>
      <c r="AH9" s="14"/>
      <c r="AI9" s="14">
        <v>0.88948405411425402</v>
      </c>
      <c r="AJ9" s="14">
        <v>0.83644712503884</v>
      </c>
      <c r="AK9" s="14">
        <v>0.77980427582163803</v>
      </c>
      <c r="AL9" s="14">
        <v>0.80651933295399203</v>
      </c>
      <c r="AM9" s="14">
        <v>0.85526537734845498</v>
      </c>
      <c r="AN9" s="14">
        <v>0.87689480455822699</v>
      </c>
      <c r="AO9" s="14"/>
      <c r="AP9" s="14">
        <v>0.86726957080865696</v>
      </c>
      <c r="AQ9" s="14">
        <v>0.84292239664827295</v>
      </c>
      <c r="AR9" s="14"/>
      <c r="AS9" s="14">
        <v>0.87199335732281102</v>
      </c>
      <c r="AT9" s="14">
        <v>0.84074348114617403</v>
      </c>
      <c r="AU9" s="14" t="s">
        <v>88</v>
      </c>
      <c r="AV9" s="14"/>
      <c r="AW9" s="14">
        <v>0.86980912274308098</v>
      </c>
      <c r="AX9" s="14">
        <v>0.82249059607638497</v>
      </c>
      <c r="AY9" s="14"/>
      <c r="AZ9" s="14">
        <v>0.85325765189010705</v>
      </c>
      <c r="BA9" s="14">
        <v>0.87564847764865605</v>
      </c>
    </row>
    <row r="10" spans="2:53" x14ac:dyDescent="0.35">
      <c r="B10" s="15" t="s">
        <v>77</v>
      </c>
      <c r="C10" s="14">
        <v>0.115236750756517</v>
      </c>
      <c r="D10" s="14">
        <v>8.4894739209268502E-2</v>
      </c>
      <c r="E10" s="14">
        <v>0.14617941271521001</v>
      </c>
      <c r="F10" s="14"/>
      <c r="G10" s="14">
        <v>0</v>
      </c>
      <c r="H10" s="14">
        <v>0.12156687940296999</v>
      </c>
      <c r="I10" s="14">
        <v>0.138612799591495</v>
      </c>
      <c r="J10" s="14">
        <v>4.3182401256505097E-2</v>
      </c>
      <c r="K10" s="14">
        <v>8.9547798481756799E-2</v>
      </c>
      <c r="L10" s="14">
        <v>0</v>
      </c>
      <c r="M10" s="14"/>
      <c r="N10" s="14">
        <v>0.101144542641535</v>
      </c>
      <c r="O10" s="14">
        <v>9.7601013285635793E-2</v>
      </c>
      <c r="P10" s="14">
        <v>0.163437808323804</v>
      </c>
      <c r="Q10" s="14">
        <v>0.107474254132351</v>
      </c>
      <c r="R10" s="14"/>
      <c r="S10" s="14">
        <v>8.3803028839096697E-2</v>
      </c>
      <c r="T10" s="14">
        <v>9.5875100840290203E-2</v>
      </c>
      <c r="U10" s="14">
        <v>0.116825854265518</v>
      </c>
      <c r="V10" s="14">
        <v>9.4764909592266799E-2</v>
      </c>
      <c r="W10" s="14">
        <v>8.5813657871472104E-2</v>
      </c>
      <c r="X10" s="14">
        <v>0.163635666406755</v>
      </c>
      <c r="Y10" s="14">
        <v>0.11288548808134</v>
      </c>
      <c r="Z10" s="14">
        <v>0.18432652728580001</v>
      </c>
      <c r="AA10" s="14">
        <v>0.15634210882882499</v>
      </c>
      <c r="AB10" s="14"/>
      <c r="AC10" s="14">
        <v>0.12783448025208499</v>
      </c>
      <c r="AD10" s="14">
        <v>0.112703387756136</v>
      </c>
      <c r="AE10" s="14">
        <v>0.103351281099753</v>
      </c>
      <c r="AF10" s="14">
        <v>0.119799780763238</v>
      </c>
      <c r="AG10" s="14">
        <v>7.6038849724488405E-2</v>
      </c>
      <c r="AH10" s="14"/>
      <c r="AI10" s="14">
        <v>8.3876208115872999E-2</v>
      </c>
      <c r="AJ10" s="14">
        <v>0.120880973321177</v>
      </c>
      <c r="AK10" s="14">
        <v>0.18869439032466601</v>
      </c>
      <c r="AL10" s="14">
        <v>0.16783596933099501</v>
      </c>
      <c r="AM10" s="14">
        <v>0.14473462265154499</v>
      </c>
      <c r="AN10" s="14">
        <v>7.9100358118880207E-2</v>
      </c>
      <c r="AO10" s="14"/>
      <c r="AP10" s="14">
        <v>9.5662796399760094E-2</v>
      </c>
      <c r="AQ10" s="14">
        <v>0.13661973016624701</v>
      </c>
      <c r="AR10" s="14"/>
      <c r="AS10" s="14">
        <v>0.10118500174320701</v>
      </c>
      <c r="AT10" s="14">
        <v>0.128026324126367</v>
      </c>
      <c r="AU10" s="14" t="s">
        <v>88</v>
      </c>
      <c r="AV10" s="14"/>
      <c r="AW10" s="14">
        <v>0.110412283746548</v>
      </c>
      <c r="AX10" s="14">
        <v>0.143735254405053</v>
      </c>
      <c r="AY10" s="14"/>
      <c r="AZ10" s="14">
        <v>0.11729362526314201</v>
      </c>
      <c r="BA10" s="14">
        <v>0.111798234135476</v>
      </c>
    </row>
    <row r="11" spans="2:53" x14ac:dyDescent="0.35">
      <c r="B11" s="15" t="s">
        <v>78</v>
      </c>
      <c r="C11" s="14">
        <v>1.9523520628849801E-2</v>
      </c>
      <c r="D11" s="14">
        <v>3.1920360463631302E-2</v>
      </c>
      <c r="E11" s="14">
        <v>6.8812729727782502E-3</v>
      </c>
      <c r="F11" s="14"/>
      <c r="G11" s="14">
        <v>0</v>
      </c>
      <c r="H11" s="14">
        <v>3.0882280821341201E-2</v>
      </c>
      <c r="I11" s="14">
        <v>2.1387791304970701E-2</v>
      </c>
      <c r="J11" s="14">
        <v>0</v>
      </c>
      <c r="K11" s="14">
        <v>0</v>
      </c>
      <c r="L11" s="14">
        <v>0</v>
      </c>
      <c r="M11" s="14"/>
      <c r="N11" s="14">
        <v>8.3786386402122902E-3</v>
      </c>
      <c r="O11" s="14">
        <v>8.3416200301653903E-3</v>
      </c>
      <c r="P11" s="14">
        <v>4.6228215893461599E-2</v>
      </c>
      <c r="Q11" s="14">
        <v>2.2512945359034298E-2</v>
      </c>
      <c r="R11" s="14"/>
      <c r="S11" s="14">
        <v>5.0228426401872301E-3</v>
      </c>
      <c r="T11" s="14">
        <v>1.5851513719504499E-2</v>
      </c>
      <c r="U11" s="14">
        <v>2.7557197247002899E-2</v>
      </c>
      <c r="V11" s="14">
        <v>7.4559762693141601E-2</v>
      </c>
      <c r="W11" s="14">
        <v>0</v>
      </c>
      <c r="X11" s="14">
        <v>4.4679163591779897E-2</v>
      </c>
      <c r="Y11" s="14">
        <v>7.8421397255627207E-3</v>
      </c>
      <c r="Z11" s="14">
        <v>0</v>
      </c>
      <c r="AA11" s="14">
        <v>0</v>
      </c>
      <c r="AB11" s="14"/>
      <c r="AC11" s="14">
        <v>3.2486973673283702E-2</v>
      </c>
      <c r="AD11" s="14">
        <v>2.31647232565604E-2</v>
      </c>
      <c r="AE11" s="14">
        <v>1.57841083005873E-2</v>
      </c>
      <c r="AF11" s="14">
        <v>1.21918949088211E-2</v>
      </c>
      <c r="AG11" s="14">
        <v>0</v>
      </c>
      <c r="AH11" s="14"/>
      <c r="AI11" s="14">
        <v>1.46973926259039E-2</v>
      </c>
      <c r="AJ11" s="14">
        <v>4.2671901639983398E-2</v>
      </c>
      <c r="AK11" s="14">
        <v>3.15013338536968E-2</v>
      </c>
      <c r="AL11" s="14">
        <v>0</v>
      </c>
      <c r="AM11" s="14">
        <v>0</v>
      </c>
      <c r="AN11" s="14">
        <v>4.4004837322892502E-2</v>
      </c>
      <c r="AO11" s="14"/>
      <c r="AP11" s="14">
        <v>2.2119625398805302E-2</v>
      </c>
      <c r="AQ11" s="14">
        <v>1.6687483830679899E-2</v>
      </c>
      <c r="AR11" s="14"/>
      <c r="AS11" s="14">
        <v>1.90551898201387E-2</v>
      </c>
      <c r="AT11" s="14">
        <v>1.9949784379625399E-2</v>
      </c>
      <c r="AU11" s="14" t="s">
        <v>88</v>
      </c>
      <c r="AV11" s="14"/>
      <c r="AW11" s="14">
        <v>1.3980148864046299E-2</v>
      </c>
      <c r="AX11" s="14">
        <v>3.3774149518562502E-2</v>
      </c>
      <c r="AY11" s="14"/>
      <c r="AZ11" s="14">
        <v>2.15080018648308E-2</v>
      </c>
      <c r="BA11" s="14">
        <v>1.2553288215868401E-2</v>
      </c>
    </row>
    <row r="12" spans="2:53" x14ac:dyDescent="0.35">
      <c r="B12" s="15" t="s">
        <v>79</v>
      </c>
      <c r="C12" s="14">
        <v>6.1739114543277601E-3</v>
      </c>
      <c r="D12" s="14">
        <v>5.3377106210796901E-3</v>
      </c>
      <c r="E12" s="14">
        <v>7.0266657179163996E-3</v>
      </c>
      <c r="F12" s="14"/>
      <c r="G12" s="14">
        <v>0.24426740314902501</v>
      </c>
      <c r="H12" s="14">
        <v>6.6689479863491002E-3</v>
      </c>
      <c r="I12" s="14">
        <v>3.2083341629789799E-3</v>
      </c>
      <c r="J12" s="14">
        <v>0</v>
      </c>
      <c r="K12" s="14">
        <v>0</v>
      </c>
      <c r="L12" s="14">
        <v>0</v>
      </c>
      <c r="M12" s="14"/>
      <c r="N12" s="14">
        <v>0</v>
      </c>
      <c r="O12" s="14">
        <v>0</v>
      </c>
      <c r="P12" s="14">
        <v>1.7689844440812799E-2</v>
      </c>
      <c r="Q12" s="14">
        <v>1.0232171112268399E-2</v>
      </c>
      <c r="R12" s="14"/>
      <c r="S12" s="14">
        <v>0</v>
      </c>
      <c r="T12" s="14">
        <v>2.5715114927162899E-2</v>
      </c>
      <c r="U12" s="14">
        <v>0</v>
      </c>
      <c r="V12" s="14">
        <v>1.6827895929271201E-2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8.1552140239365602E-3</v>
      </c>
      <c r="AE12" s="14">
        <v>5.2555186366647702E-3</v>
      </c>
      <c r="AF12" s="14">
        <v>1.5320504845714801E-2</v>
      </c>
      <c r="AG12" s="14">
        <v>0</v>
      </c>
      <c r="AH12" s="14"/>
      <c r="AI12" s="14">
        <v>1.19423451439695E-2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8.3740927747196006E-3</v>
      </c>
      <c r="AQ12" s="14">
        <v>3.7703893548001401E-3</v>
      </c>
      <c r="AR12" s="14"/>
      <c r="AS12" s="14">
        <v>3.78168356951394E-3</v>
      </c>
      <c r="AT12" s="14">
        <v>8.3512613359151694E-3</v>
      </c>
      <c r="AU12" s="14" t="s">
        <v>88</v>
      </c>
      <c r="AV12" s="14"/>
      <c r="AW12" s="14">
        <v>5.7984446463251998E-3</v>
      </c>
      <c r="AX12" s="14">
        <v>0</v>
      </c>
      <c r="AY12" s="14"/>
      <c r="AZ12" s="14">
        <v>5.5363552080062396E-3</v>
      </c>
      <c r="BA12" s="14">
        <v>0</v>
      </c>
    </row>
    <row r="13" spans="2:53" x14ac:dyDescent="0.35">
      <c r="B13" s="15" t="s">
        <v>80</v>
      </c>
      <c r="C13" s="18">
        <v>3.43213878560099E-3</v>
      </c>
      <c r="D13" s="18">
        <v>6.7976538406239297E-3</v>
      </c>
      <c r="E13" s="18">
        <v>0</v>
      </c>
      <c r="F13" s="18"/>
      <c r="G13" s="18">
        <v>0</v>
      </c>
      <c r="H13" s="18">
        <v>5.67528839604325E-3</v>
      </c>
      <c r="I13" s="18">
        <v>0</v>
      </c>
      <c r="J13" s="18">
        <v>1.22182066340001E-2</v>
      </c>
      <c r="K13" s="18">
        <v>0</v>
      </c>
      <c r="L13" s="18">
        <v>0</v>
      </c>
      <c r="M13" s="18"/>
      <c r="N13" s="18">
        <v>0</v>
      </c>
      <c r="O13" s="18">
        <v>1.21415697191464E-2</v>
      </c>
      <c r="P13" s="18">
        <v>0</v>
      </c>
      <c r="Q13" s="18">
        <v>0</v>
      </c>
      <c r="R13" s="18"/>
      <c r="S13" s="18">
        <v>1.09875454256444E-2</v>
      </c>
      <c r="T13" s="18">
        <v>0</v>
      </c>
      <c r="U13" s="18">
        <v>0</v>
      </c>
      <c r="V13" s="18">
        <v>0</v>
      </c>
      <c r="W13" s="18">
        <v>0</v>
      </c>
      <c r="X13" s="18">
        <v>1.5779061167417199E-2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2.5644697715013001E-2</v>
      </c>
      <c r="AM13" s="18">
        <v>0</v>
      </c>
      <c r="AN13" s="18">
        <v>0</v>
      </c>
      <c r="AO13" s="18"/>
      <c r="AP13" s="18">
        <v>6.57391461805777E-3</v>
      </c>
      <c r="AQ13" s="18">
        <v>0</v>
      </c>
      <c r="AR13" s="18"/>
      <c r="AS13" s="18">
        <v>3.9847675443296501E-3</v>
      </c>
      <c r="AT13" s="18">
        <v>2.9291490119184201E-3</v>
      </c>
      <c r="AU13" s="18" t="s">
        <v>88</v>
      </c>
      <c r="AV13" s="18"/>
      <c r="AW13" s="18">
        <v>0</v>
      </c>
      <c r="AX13" s="18">
        <v>0</v>
      </c>
      <c r="AY13" s="18"/>
      <c r="AZ13" s="18">
        <v>2.40436577391386E-3</v>
      </c>
      <c r="BA13" s="18">
        <v>0</v>
      </c>
    </row>
    <row r="14" spans="2:53" x14ac:dyDescent="0.35">
      <c r="B14" s="26" t="s">
        <v>81</v>
      </c>
      <c r="C14" s="27">
        <v>0.97087042913122101</v>
      </c>
      <c r="D14" s="27">
        <v>0.95594427507466495</v>
      </c>
      <c r="E14" s="27">
        <v>0.98609206130930505</v>
      </c>
      <c r="F14" s="27"/>
      <c r="G14" s="27">
        <v>0.75573259685097505</v>
      </c>
      <c r="H14" s="27">
        <v>0.95677348279626595</v>
      </c>
      <c r="I14" s="27">
        <v>0.97540387453205002</v>
      </c>
      <c r="J14" s="27">
        <v>0.98778179336600003</v>
      </c>
      <c r="K14" s="27">
        <v>1</v>
      </c>
      <c r="L14" s="27">
        <v>1</v>
      </c>
      <c r="M14" s="27"/>
      <c r="N14" s="27">
        <v>0.99162136135978796</v>
      </c>
      <c r="O14" s="27">
        <v>0.97951681025068804</v>
      </c>
      <c r="P14" s="27">
        <v>0.93608193966572595</v>
      </c>
      <c r="Q14" s="27">
        <v>0.96725488352869704</v>
      </c>
      <c r="R14" s="27"/>
      <c r="S14" s="27">
        <v>0.98398961193416801</v>
      </c>
      <c r="T14" s="27">
        <v>0.95843337135333295</v>
      </c>
      <c r="U14" s="27">
        <v>0.97244280275299699</v>
      </c>
      <c r="V14" s="27">
        <v>0.90861234137758695</v>
      </c>
      <c r="W14" s="27">
        <v>1</v>
      </c>
      <c r="X14" s="27">
        <v>0.93954177524080296</v>
      </c>
      <c r="Y14" s="27">
        <v>0.99215786027443698</v>
      </c>
      <c r="Z14" s="27">
        <v>1</v>
      </c>
      <c r="AA14" s="27">
        <v>1</v>
      </c>
      <c r="AB14" s="27"/>
      <c r="AC14" s="27">
        <v>0.96751302632671599</v>
      </c>
      <c r="AD14" s="27">
        <v>0.96868006271950302</v>
      </c>
      <c r="AE14" s="27">
        <v>0.97896037306274797</v>
      </c>
      <c r="AF14" s="27">
        <v>0.97248760024546399</v>
      </c>
      <c r="AG14" s="27">
        <v>1</v>
      </c>
      <c r="AH14" s="27"/>
      <c r="AI14" s="27">
        <v>0.97336026223012695</v>
      </c>
      <c r="AJ14" s="27">
        <v>0.95732809836001698</v>
      </c>
      <c r="AK14" s="27">
        <v>0.96849866614630298</v>
      </c>
      <c r="AL14" s="27">
        <v>0.97435530228498701</v>
      </c>
      <c r="AM14" s="27">
        <v>1</v>
      </c>
      <c r="AN14" s="27">
        <v>0.95599516267710705</v>
      </c>
      <c r="AO14" s="27"/>
      <c r="AP14" s="27">
        <v>0.96293236720841702</v>
      </c>
      <c r="AQ14" s="27">
        <v>0.97954212681452002</v>
      </c>
      <c r="AR14" s="27"/>
      <c r="AS14" s="27">
        <v>0.97317835906601802</v>
      </c>
      <c r="AT14" s="27">
        <v>0.96876980527254097</v>
      </c>
      <c r="AU14" s="27" t="s">
        <v>88</v>
      </c>
      <c r="AV14" s="27"/>
      <c r="AW14" s="27">
        <v>0.98022140648962797</v>
      </c>
      <c r="AX14" s="27">
        <v>0.96622585048143705</v>
      </c>
      <c r="AY14" s="27"/>
      <c r="AZ14" s="27">
        <v>0.97055127715324896</v>
      </c>
      <c r="BA14" s="27">
        <v>0.98744671178413101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A19"/>
  <sheetViews>
    <sheetView showGridLines="0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0.63509905131833899</v>
      </c>
      <c r="D9" s="14">
        <v>0.63857988623003803</v>
      </c>
      <c r="E9" s="14">
        <v>0.63154930980436597</v>
      </c>
      <c r="F9" s="14"/>
      <c r="G9" s="14">
        <v>0.70723193819191299</v>
      </c>
      <c r="H9" s="14">
        <v>0.63882553161741795</v>
      </c>
      <c r="I9" s="14">
        <v>0.61813897385530903</v>
      </c>
      <c r="J9" s="14">
        <v>0.69040867495921898</v>
      </c>
      <c r="K9" s="14">
        <v>0.62948473007287398</v>
      </c>
      <c r="L9" s="14">
        <v>0.34819201228478702</v>
      </c>
      <c r="M9" s="14"/>
      <c r="N9" s="14">
        <v>0.76379420709059598</v>
      </c>
      <c r="O9" s="14">
        <v>0.64200870606414295</v>
      </c>
      <c r="P9" s="14">
        <v>0.575257958445345</v>
      </c>
      <c r="Q9" s="14">
        <v>0.55044900719666301</v>
      </c>
      <c r="R9" s="14"/>
      <c r="S9" s="14">
        <v>0.67536277797714706</v>
      </c>
      <c r="T9" s="14">
        <v>0.72787716918815504</v>
      </c>
      <c r="U9" s="14">
        <v>0.466635182108671</v>
      </c>
      <c r="V9" s="14">
        <v>0.57060587503007398</v>
      </c>
      <c r="W9" s="14">
        <v>0.697370576572092</v>
      </c>
      <c r="X9" s="14">
        <v>0.54955007483481</v>
      </c>
      <c r="Y9" s="14">
        <v>0.64550312923100495</v>
      </c>
      <c r="Z9" s="14">
        <v>0.60382381126713103</v>
      </c>
      <c r="AA9" s="14">
        <v>0.67994365667531698</v>
      </c>
      <c r="AB9" s="14"/>
      <c r="AC9" s="14">
        <v>0.54281315068720004</v>
      </c>
      <c r="AD9" s="14">
        <v>0.53431270422593602</v>
      </c>
      <c r="AE9" s="14">
        <v>0.71528781217662696</v>
      </c>
      <c r="AF9" s="14">
        <v>0.76791631041015096</v>
      </c>
      <c r="AG9" s="14">
        <v>0.64238882341705605</v>
      </c>
      <c r="AH9" s="14"/>
      <c r="AI9" s="14">
        <v>0.72089100863632805</v>
      </c>
      <c r="AJ9" s="14">
        <v>0.63398231430311303</v>
      </c>
      <c r="AK9" s="14">
        <v>0.59965463588714196</v>
      </c>
      <c r="AL9" s="14">
        <v>0.55665370877222597</v>
      </c>
      <c r="AM9" s="14">
        <v>0.64460345640761496</v>
      </c>
      <c r="AN9" s="14">
        <v>0.56562099661874299</v>
      </c>
      <c r="AO9" s="14"/>
      <c r="AP9" s="14">
        <v>0.66317596656052102</v>
      </c>
      <c r="AQ9" s="14">
        <v>0.60442726729504304</v>
      </c>
      <c r="AR9" s="14"/>
      <c r="AS9" s="14">
        <v>0.61142288394381705</v>
      </c>
      <c r="AT9" s="14">
        <v>0.65664854522592797</v>
      </c>
      <c r="AU9" s="14" t="s">
        <v>88</v>
      </c>
      <c r="AV9" s="14"/>
      <c r="AW9" s="14">
        <v>0.61554502213281803</v>
      </c>
      <c r="AX9" s="14">
        <v>0.74300100765148702</v>
      </c>
      <c r="AY9" s="14"/>
      <c r="AZ9" s="14">
        <v>0.65621529167906201</v>
      </c>
      <c r="BA9" s="14">
        <v>0.56954632924055804</v>
      </c>
    </row>
    <row r="10" spans="2:53" x14ac:dyDescent="0.35">
      <c r="B10" s="15" t="s">
        <v>77</v>
      </c>
      <c r="C10" s="14">
        <v>0.31433901997548003</v>
      </c>
      <c r="D10" s="14">
        <v>0.30852605133673</v>
      </c>
      <c r="E10" s="14">
        <v>0.32026706213198802</v>
      </c>
      <c r="F10" s="14"/>
      <c r="G10" s="14">
        <v>0.29276806180808601</v>
      </c>
      <c r="H10" s="14">
        <v>0.29174250849045003</v>
      </c>
      <c r="I10" s="14">
        <v>0.34350699002865898</v>
      </c>
      <c r="J10" s="14">
        <v>0.25340338076725699</v>
      </c>
      <c r="K10" s="14">
        <v>0.37051526992712602</v>
      </c>
      <c r="L10" s="14">
        <v>0</v>
      </c>
      <c r="M10" s="14"/>
      <c r="N10" s="14">
        <v>0.220759585974483</v>
      </c>
      <c r="O10" s="14">
        <v>0.30238148569572698</v>
      </c>
      <c r="P10" s="14">
        <v>0.35849015355814001</v>
      </c>
      <c r="Q10" s="14">
        <v>0.381743909225494</v>
      </c>
      <c r="R10" s="14"/>
      <c r="S10" s="14">
        <v>0.30539470034174199</v>
      </c>
      <c r="T10" s="14">
        <v>0.20921343585501001</v>
      </c>
      <c r="U10" s="14">
        <v>0.43666312651502798</v>
      </c>
      <c r="V10" s="14">
        <v>0.37629694430284</v>
      </c>
      <c r="W10" s="14">
        <v>0.263540442283341</v>
      </c>
      <c r="X10" s="14">
        <v>0.37918549176826</v>
      </c>
      <c r="Y10" s="14">
        <v>0.29292950315466898</v>
      </c>
      <c r="Z10" s="14">
        <v>0.36910281180332799</v>
      </c>
      <c r="AA10" s="14">
        <v>0.29163801423535402</v>
      </c>
      <c r="AB10" s="14"/>
      <c r="AC10" s="14">
        <v>0.39426108803530402</v>
      </c>
      <c r="AD10" s="14">
        <v>0.40835422879479299</v>
      </c>
      <c r="AE10" s="14">
        <v>0.26484574842374797</v>
      </c>
      <c r="AF10" s="14">
        <v>0.19877057876774601</v>
      </c>
      <c r="AG10" s="14">
        <v>0.357611176582944</v>
      </c>
      <c r="AH10" s="14"/>
      <c r="AI10" s="14">
        <v>0.23071472960975101</v>
      </c>
      <c r="AJ10" s="14">
        <v>0.33992846618721401</v>
      </c>
      <c r="AK10" s="14">
        <v>0.33903341694543399</v>
      </c>
      <c r="AL10" s="14">
        <v>0.37665059130721101</v>
      </c>
      <c r="AM10" s="14">
        <v>0.29217064068137599</v>
      </c>
      <c r="AN10" s="14">
        <v>0.39771478791804998</v>
      </c>
      <c r="AO10" s="14"/>
      <c r="AP10" s="14">
        <v>0.297710653667625</v>
      </c>
      <c r="AQ10" s="14">
        <v>0.33250418006003801</v>
      </c>
      <c r="AR10" s="14"/>
      <c r="AS10" s="14">
        <v>0.33823428993311799</v>
      </c>
      <c r="AT10" s="14">
        <v>0.29259010402017199</v>
      </c>
      <c r="AU10" s="14" t="s">
        <v>88</v>
      </c>
      <c r="AV10" s="14"/>
      <c r="AW10" s="14">
        <v>0.33112160335936502</v>
      </c>
      <c r="AX10" s="14">
        <v>0.25699899234851298</v>
      </c>
      <c r="AY10" s="14"/>
      <c r="AZ10" s="14">
        <v>0.29691106153693703</v>
      </c>
      <c r="BA10" s="14">
        <v>0.39491247680118502</v>
      </c>
    </row>
    <row r="11" spans="2:53" x14ac:dyDescent="0.35">
      <c r="B11" s="15" t="s">
        <v>78</v>
      </c>
      <c r="C11" s="14">
        <v>3.72057960319013E-2</v>
      </c>
      <c r="D11" s="14">
        <v>3.7303068576452901E-2</v>
      </c>
      <c r="E11" s="14">
        <v>3.7106597880215399E-2</v>
      </c>
      <c r="F11" s="14"/>
      <c r="G11" s="14">
        <v>0</v>
      </c>
      <c r="H11" s="14">
        <v>4.9665968898638599E-2</v>
      </c>
      <c r="I11" s="14">
        <v>3.1162899053145902E-2</v>
      </c>
      <c r="J11" s="14">
        <v>2.87959925635374E-2</v>
      </c>
      <c r="K11" s="14">
        <v>0</v>
      </c>
      <c r="L11" s="14">
        <v>0.65180798771521298</v>
      </c>
      <c r="M11" s="14"/>
      <c r="N11" s="14">
        <v>1.54462069349212E-2</v>
      </c>
      <c r="O11" s="14">
        <v>2.77620914629702E-2</v>
      </c>
      <c r="P11" s="14">
        <v>4.8562043555702102E-2</v>
      </c>
      <c r="Q11" s="14">
        <v>6.0193421983132503E-2</v>
      </c>
      <c r="R11" s="14"/>
      <c r="S11" s="14">
        <v>8.2549762554660708E-3</v>
      </c>
      <c r="T11" s="14">
        <v>5.3045793749177297E-2</v>
      </c>
      <c r="U11" s="14">
        <v>5.5205838552739799E-2</v>
      </c>
      <c r="V11" s="14">
        <v>1.6827895929271201E-2</v>
      </c>
      <c r="W11" s="14">
        <v>3.9088981144567297E-2</v>
      </c>
      <c r="X11" s="14">
        <v>5.5485372229513302E-2</v>
      </c>
      <c r="Y11" s="14">
        <v>6.1567367614325998E-2</v>
      </c>
      <c r="Z11" s="14">
        <v>2.7073376929541398E-2</v>
      </c>
      <c r="AA11" s="14">
        <v>2.84183290893288E-2</v>
      </c>
      <c r="AB11" s="14"/>
      <c r="AC11" s="14">
        <v>6.2925761277495704E-2</v>
      </c>
      <c r="AD11" s="14">
        <v>4.0102059080415198E-2</v>
      </c>
      <c r="AE11" s="14">
        <v>1.46109207629608E-2</v>
      </c>
      <c r="AF11" s="14">
        <v>3.33131108221029E-2</v>
      </c>
      <c r="AG11" s="14">
        <v>0</v>
      </c>
      <c r="AH11" s="14"/>
      <c r="AI11" s="14">
        <v>3.73725373613348E-2</v>
      </c>
      <c r="AJ11" s="14">
        <v>2.6089219509672499E-2</v>
      </c>
      <c r="AK11" s="14">
        <v>6.1311947167424101E-2</v>
      </c>
      <c r="AL11" s="14">
        <v>2.54960906001407E-2</v>
      </c>
      <c r="AM11" s="14">
        <v>6.3225902911008797E-2</v>
      </c>
      <c r="AN11" s="14">
        <v>3.6664215463207202E-2</v>
      </c>
      <c r="AO11" s="14"/>
      <c r="AP11" s="14">
        <v>2.53399578899066E-2</v>
      </c>
      <c r="AQ11" s="14">
        <v>5.0168275050959103E-2</v>
      </c>
      <c r="AR11" s="14"/>
      <c r="AS11" s="14">
        <v>2.9050132018130701E-2</v>
      </c>
      <c r="AT11" s="14">
        <v>4.4628890707529303E-2</v>
      </c>
      <c r="AU11" s="14" t="s">
        <v>88</v>
      </c>
      <c r="AV11" s="14"/>
      <c r="AW11" s="14">
        <v>4.2699498693700398E-2</v>
      </c>
      <c r="AX11" s="14">
        <v>0</v>
      </c>
      <c r="AY11" s="14"/>
      <c r="AZ11" s="14">
        <v>3.41841003074531E-2</v>
      </c>
      <c r="BA11" s="14">
        <v>3.5541193958257299E-2</v>
      </c>
    </row>
    <row r="12" spans="2:53" x14ac:dyDescent="0.35">
      <c r="B12" s="15" t="s">
        <v>79</v>
      </c>
      <c r="C12" s="14">
        <v>9.4647067462367597E-3</v>
      </c>
      <c r="D12" s="14">
        <v>7.8836812864829502E-3</v>
      </c>
      <c r="E12" s="14">
        <v>1.1077030183430999E-2</v>
      </c>
      <c r="F12" s="14"/>
      <c r="G12" s="14">
        <v>0</v>
      </c>
      <c r="H12" s="14">
        <v>1.4090702597449999E-2</v>
      </c>
      <c r="I12" s="14">
        <v>7.1911370628862104E-3</v>
      </c>
      <c r="J12" s="14">
        <v>1.22182066340001E-2</v>
      </c>
      <c r="K12" s="14">
        <v>0</v>
      </c>
      <c r="L12" s="14">
        <v>0</v>
      </c>
      <c r="M12" s="14"/>
      <c r="N12" s="14">
        <v>0</v>
      </c>
      <c r="O12" s="14">
        <v>1.4081368105466299E-2</v>
      </c>
      <c r="P12" s="14">
        <v>1.7689844440812799E-2</v>
      </c>
      <c r="Q12" s="14">
        <v>7.61366159471098E-3</v>
      </c>
      <c r="R12" s="14"/>
      <c r="S12" s="14">
        <v>1.09875454256444E-2</v>
      </c>
      <c r="T12" s="14">
        <v>9.8636012076583693E-3</v>
      </c>
      <c r="U12" s="14">
        <v>1.90710539493835E-2</v>
      </c>
      <c r="V12" s="14">
        <v>3.6269284737814503E-2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1.7231007898856301E-2</v>
      </c>
      <c r="AE12" s="14">
        <v>5.2555186366647702E-3</v>
      </c>
      <c r="AF12" s="14">
        <v>0</v>
      </c>
      <c r="AG12" s="14">
        <v>0</v>
      </c>
      <c r="AH12" s="14"/>
      <c r="AI12" s="14">
        <v>4.5807506720455804E-3</v>
      </c>
      <c r="AJ12" s="14">
        <v>0</v>
      </c>
      <c r="AK12" s="14">
        <v>0</v>
      </c>
      <c r="AL12" s="14">
        <v>2.9741823901818999E-2</v>
      </c>
      <c r="AM12" s="14">
        <v>0</v>
      </c>
      <c r="AN12" s="14">
        <v>0</v>
      </c>
      <c r="AO12" s="14"/>
      <c r="AP12" s="14">
        <v>1.08362648956972E-2</v>
      </c>
      <c r="AQ12" s="14">
        <v>7.9663891791971597E-3</v>
      </c>
      <c r="AR12" s="14"/>
      <c r="AS12" s="14">
        <v>1.6344026209888101E-2</v>
      </c>
      <c r="AT12" s="14">
        <v>3.2033110344528298E-3</v>
      </c>
      <c r="AU12" s="14" t="s">
        <v>88</v>
      </c>
      <c r="AV12" s="14"/>
      <c r="AW12" s="14">
        <v>7.5934469298727303E-3</v>
      </c>
      <c r="AX12" s="14">
        <v>0</v>
      </c>
      <c r="AY12" s="14"/>
      <c r="AZ12" s="14">
        <v>9.70357362343955E-3</v>
      </c>
      <c r="BA12" s="14">
        <v>0</v>
      </c>
    </row>
    <row r="13" spans="2:53" x14ac:dyDescent="0.35">
      <c r="B13" s="15" t="s">
        <v>80</v>
      </c>
      <c r="C13" s="18">
        <v>3.89142592804271E-3</v>
      </c>
      <c r="D13" s="18">
        <v>7.70731257029603E-3</v>
      </c>
      <c r="E13" s="18">
        <v>0</v>
      </c>
      <c r="F13" s="18"/>
      <c r="G13" s="18">
        <v>0</v>
      </c>
      <c r="H13" s="18">
        <v>5.67528839604325E-3</v>
      </c>
      <c r="I13" s="18">
        <v>0</v>
      </c>
      <c r="J13" s="18">
        <v>1.5173745075986201E-2</v>
      </c>
      <c r="K13" s="18">
        <v>0</v>
      </c>
      <c r="L13" s="18">
        <v>0</v>
      </c>
      <c r="M13" s="18"/>
      <c r="N13" s="18">
        <v>0</v>
      </c>
      <c r="O13" s="18">
        <v>1.37663486716931E-2</v>
      </c>
      <c r="P13" s="18">
        <v>0</v>
      </c>
      <c r="Q13" s="18">
        <v>0</v>
      </c>
      <c r="R13" s="18"/>
      <c r="S13" s="18">
        <v>0</v>
      </c>
      <c r="T13" s="18">
        <v>0</v>
      </c>
      <c r="U13" s="18">
        <v>2.2424798874177199E-2</v>
      </c>
      <c r="V13" s="18">
        <v>0</v>
      </c>
      <c r="W13" s="18">
        <v>0</v>
      </c>
      <c r="X13" s="18">
        <v>1.5779061167417199E-2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6.4409737205405396E-3</v>
      </c>
      <c r="AJ13" s="18">
        <v>0</v>
      </c>
      <c r="AK13" s="18">
        <v>0</v>
      </c>
      <c r="AL13" s="18">
        <v>1.14577854186026E-2</v>
      </c>
      <c r="AM13" s="18">
        <v>0</v>
      </c>
      <c r="AN13" s="18">
        <v>0</v>
      </c>
      <c r="AO13" s="18"/>
      <c r="AP13" s="18">
        <v>2.9371569862500402E-3</v>
      </c>
      <c r="AQ13" s="18">
        <v>4.9338884147631396E-3</v>
      </c>
      <c r="AR13" s="18"/>
      <c r="AS13" s="18">
        <v>4.9486678950466101E-3</v>
      </c>
      <c r="AT13" s="18">
        <v>2.9291490119184201E-3</v>
      </c>
      <c r="AU13" s="18" t="s">
        <v>88</v>
      </c>
      <c r="AV13" s="18"/>
      <c r="AW13" s="18">
        <v>3.0404288842435698E-3</v>
      </c>
      <c r="AX13" s="18">
        <v>0</v>
      </c>
      <c r="AY13" s="18"/>
      <c r="AZ13" s="18">
        <v>2.9859728531085698E-3</v>
      </c>
      <c r="BA13" s="18">
        <v>0</v>
      </c>
    </row>
    <row r="14" spans="2:53" x14ac:dyDescent="0.35">
      <c r="B14" s="26" t="s">
        <v>81</v>
      </c>
      <c r="C14" s="27">
        <v>0.94943807129381896</v>
      </c>
      <c r="D14" s="27">
        <v>0.94710593756676797</v>
      </c>
      <c r="E14" s="27">
        <v>0.95181637193635404</v>
      </c>
      <c r="F14" s="27"/>
      <c r="G14" s="27">
        <v>1</v>
      </c>
      <c r="H14" s="27">
        <v>0.93056804010786798</v>
      </c>
      <c r="I14" s="27">
        <v>0.96164596388396795</v>
      </c>
      <c r="J14" s="27">
        <v>0.94381205572647597</v>
      </c>
      <c r="K14" s="27">
        <v>1</v>
      </c>
      <c r="L14" s="27">
        <v>0.34819201228478702</v>
      </c>
      <c r="M14" s="27"/>
      <c r="N14" s="27">
        <v>0.98455379306507895</v>
      </c>
      <c r="O14" s="27">
        <v>0.94439019175987005</v>
      </c>
      <c r="P14" s="27">
        <v>0.93374811200348495</v>
      </c>
      <c r="Q14" s="27">
        <v>0.93219291642215696</v>
      </c>
      <c r="R14" s="27"/>
      <c r="S14" s="27">
        <v>0.98075747831888904</v>
      </c>
      <c r="T14" s="27">
        <v>0.93709060504316399</v>
      </c>
      <c r="U14" s="27">
        <v>0.90329830862369997</v>
      </c>
      <c r="V14" s="27">
        <v>0.94690281933291398</v>
      </c>
      <c r="W14" s="27">
        <v>0.96091101885543295</v>
      </c>
      <c r="X14" s="27">
        <v>0.92873556660307</v>
      </c>
      <c r="Y14" s="27">
        <v>0.93843263238567398</v>
      </c>
      <c r="Z14" s="27">
        <v>0.97292662307045896</v>
      </c>
      <c r="AA14" s="27">
        <v>0.97158167091067105</v>
      </c>
      <c r="AB14" s="27"/>
      <c r="AC14" s="27">
        <v>0.93707423872250395</v>
      </c>
      <c r="AD14" s="27">
        <v>0.94266693302072802</v>
      </c>
      <c r="AE14" s="27">
        <v>0.98013356060037404</v>
      </c>
      <c r="AF14" s="27">
        <v>0.96668688917789702</v>
      </c>
      <c r="AG14" s="27">
        <v>1</v>
      </c>
      <c r="AH14" s="27"/>
      <c r="AI14" s="27">
        <v>0.95160573824607897</v>
      </c>
      <c r="AJ14" s="27">
        <v>0.97391078049032798</v>
      </c>
      <c r="AK14" s="27">
        <v>0.93868805283257595</v>
      </c>
      <c r="AL14" s="27">
        <v>0.93330430007943799</v>
      </c>
      <c r="AM14" s="27">
        <v>0.93677409708899095</v>
      </c>
      <c r="AN14" s="27">
        <v>0.96333578453679303</v>
      </c>
      <c r="AO14" s="27"/>
      <c r="AP14" s="27">
        <v>0.96088662022814597</v>
      </c>
      <c r="AQ14" s="27">
        <v>0.93693144735508105</v>
      </c>
      <c r="AR14" s="27"/>
      <c r="AS14" s="27">
        <v>0.94965717387693505</v>
      </c>
      <c r="AT14" s="27">
        <v>0.94923864924610002</v>
      </c>
      <c r="AU14" s="27" t="s">
        <v>88</v>
      </c>
      <c r="AV14" s="27"/>
      <c r="AW14" s="27">
        <v>0.94666662549218294</v>
      </c>
      <c r="AX14" s="27">
        <v>1</v>
      </c>
      <c r="AY14" s="27"/>
      <c r="AZ14" s="27">
        <v>0.95312635321599903</v>
      </c>
      <c r="BA14" s="27">
        <v>0.96445880604174306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A19"/>
  <sheetViews>
    <sheetView showGridLines="0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0.65104291881207299</v>
      </c>
      <c r="D9" s="14">
        <v>0.68936603448814304</v>
      </c>
      <c r="E9" s="14">
        <v>0.61196115880015101</v>
      </c>
      <c r="F9" s="14"/>
      <c r="G9" s="14">
        <v>0.60677512475120599</v>
      </c>
      <c r="H9" s="14">
        <v>0.60237594045563803</v>
      </c>
      <c r="I9" s="14">
        <v>0.68915812182793201</v>
      </c>
      <c r="J9" s="14">
        <v>0.59167273514395802</v>
      </c>
      <c r="K9" s="14">
        <v>0.77162696083350502</v>
      </c>
      <c r="L9" s="14">
        <v>0.34819201228478702</v>
      </c>
      <c r="M9" s="14"/>
      <c r="N9" s="14">
        <v>0.75568747072431097</v>
      </c>
      <c r="O9" s="14">
        <v>0.67531072166275197</v>
      </c>
      <c r="P9" s="14">
        <v>0.60221209312828305</v>
      </c>
      <c r="Q9" s="14">
        <v>0.56299486819168798</v>
      </c>
      <c r="R9" s="14"/>
      <c r="S9" s="14">
        <v>0.68933262442980503</v>
      </c>
      <c r="T9" s="14">
        <v>0.71912714790026599</v>
      </c>
      <c r="U9" s="14">
        <v>0.56910287050473995</v>
      </c>
      <c r="V9" s="14">
        <v>0.59883530565524101</v>
      </c>
      <c r="W9" s="14">
        <v>0.675705255150164</v>
      </c>
      <c r="X9" s="14">
        <v>0.60704130419732305</v>
      </c>
      <c r="Y9" s="14">
        <v>0.65871751327471895</v>
      </c>
      <c r="Z9" s="14">
        <v>0.64898834215636303</v>
      </c>
      <c r="AA9" s="14">
        <v>0.63384290249174402</v>
      </c>
      <c r="AB9" s="14"/>
      <c r="AC9" s="14">
        <v>0.376186236539231</v>
      </c>
      <c r="AD9" s="14">
        <v>0.60340365913918503</v>
      </c>
      <c r="AE9" s="14">
        <v>0.747165888889742</v>
      </c>
      <c r="AF9" s="14">
        <v>0.81685387854283997</v>
      </c>
      <c r="AG9" s="14">
        <v>0.80524073785861106</v>
      </c>
      <c r="AH9" s="14"/>
      <c r="AI9" s="14">
        <v>0.70190383147816204</v>
      </c>
      <c r="AJ9" s="14">
        <v>0.69816711129704101</v>
      </c>
      <c r="AK9" s="14">
        <v>0.68396772432435604</v>
      </c>
      <c r="AL9" s="14">
        <v>0.56616093429452596</v>
      </c>
      <c r="AM9" s="14">
        <v>0.65072439361371603</v>
      </c>
      <c r="AN9" s="14">
        <v>0.62862873774651296</v>
      </c>
      <c r="AO9" s="14"/>
      <c r="AP9" s="14">
        <v>0.68585652759523996</v>
      </c>
      <c r="AQ9" s="14">
        <v>0.61301183596488795</v>
      </c>
      <c r="AR9" s="14"/>
      <c r="AS9" s="14">
        <v>0.67890956852484796</v>
      </c>
      <c r="AT9" s="14">
        <v>0.62567934586924101</v>
      </c>
      <c r="AU9" s="14" t="s">
        <v>88</v>
      </c>
      <c r="AV9" s="14"/>
      <c r="AW9" s="14">
        <v>0.62848303505937497</v>
      </c>
      <c r="AX9" s="14">
        <v>0.79638088192727197</v>
      </c>
      <c r="AY9" s="14"/>
      <c r="AZ9" s="14">
        <v>0.67159110792066701</v>
      </c>
      <c r="BA9" s="14">
        <v>0.58834351420793995</v>
      </c>
    </row>
    <row r="10" spans="2:53" x14ac:dyDescent="0.35">
      <c r="B10" s="15" t="s">
        <v>77</v>
      </c>
      <c r="C10" s="14">
        <v>0.29838982946063702</v>
      </c>
      <c r="D10" s="14">
        <v>0.27166827611365002</v>
      </c>
      <c r="E10" s="14">
        <v>0.325640362634398</v>
      </c>
      <c r="F10" s="14"/>
      <c r="G10" s="14">
        <v>0.39322487524879401</v>
      </c>
      <c r="H10" s="14">
        <v>0.34171613620448399</v>
      </c>
      <c r="I10" s="14">
        <v>0.26457806791316002</v>
      </c>
      <c r="J10" s="14">
        <v>0.35519535560086601</v>
      </c>
      <c r="K10" s="14">
        <v>0.22837303916649501</v>
      </c>
      <c r="L10" s="14">
        <v>0</v>
      </c>
      <c r="M10" s="14"/>
      <c r="N10" s="14">
        <v>0.21683306175114</v>
      </c>
      <c r="O10" s="14">
        <v>0.27242658520156099</v>
      </c>
      <c r="P10" s="14">
        <v>0.32746233243927397</v>
      </c>
      <c r="Q10" s="14">
        <v>0.38032159314092501</v>
      </c>
      <c r="R10" s="14"/>
      <c r="S10" s="14">
        <v>0.263030319996226</v>
      </c>
      <c r="T10" s="14">
        <v>0.22772578089591999</v>
      </c>
      <c r="U10" s="14">
        <v>0.363568701107081</v>
      </c>
      <c r="V10" s="14">
        <v>0.35681218628135603</v>
      </c>
      <c r="W10" s="14">
        <v>0.22928648760623499</v>
      </c>
      <c r="X10" s="14">
        <v>0.31228598171754302</v>
      </c>
      <c r="Y10" s="14">
        <v>0.31859165748971502</v>
      </c>
      <c r="Z10" s="14">
        <v>0.32021892868368201</v>
      </c>
      <c r="AA10" s="14">
        <v>0.34519686090679402</v>
      </c>
      <c r="AB10" s="14"/>
      <c r="AC10" s="14">
        <v>0.54234351925609803</v>
      </c>
      <c r="AD10" s="14">
        <v>0.34131531661380698</v>
      </c>
      <c r="AE10" s="14">
        <v>0.212518349901614</v>
      </c>
      <c r="AF10" s="14">
        <v>0.174022151588025</v>
      </c>
      <c r="AG10" s="14">
        <v>0.194759262141389</v>
      </c>
      <c r="AH10" s="14"/>
      <c r="AI10" s="14">
        <v>0.26507131708663501</v>
      </c>
      <c r="AJ10" s="14">
        <v>0.23770626807904499</v>
      </c>
      <c r="AK10" s="14">
        <v>0.227842062009111</v>
      </c>
      <c r="AL10" s="14">
        <v>0.387186447174028</v>
      </c>
      <c r="AM10" s="14">
        <v>0.34927560638628402</v>
      </c>
      <c r="AN10" s="14">
        <v>0.33580261054888499</v>
      </c>
      <c r="AO10" s="14"/>
      <c r="AP10" s="14">
        <v>0.28693165201354098</v>
      </c>
      <c r="AQ10" s="14">
        <v>0.31090697177938798</v>
      </c>
      <c r="AR10" s="14"/>
      <c r="AS10" s="14">
        <v>0.27267107737895202</v>
      </c>
      <c r="AT10" s="14">
        <v>0.32179843620547</v>
      </c>
      <c r="AU10" s="14" t="s">
        <v>88</v>
      </c>
      <c r="AV10" s="14"/>
      <c r="AW10" s="14">
        <v>0.32072323879851999</v>
      </c>
      <c r="AX10" s="14">
        <v>0.16074693267106399</v>
      </c>
      <c r="AY10" s="14"/>
      <c r="AZ10" s="14">
        <v>0.28125643692361701</v>
      </c>
      <c r="BA10" s="14">
        <v>0.36959577014485001</v>
      </c>
    </row>
    <row r="11" spans="2:53" x14ac:dyDescent="0.35">
      <c r="B11" s="15" t="s">
        <v>78</v>
      </c>
      <c r="C11" s="14">
        <v>3.9917692647647898E-2</v>
      </c>
      <c r="D11" s="14">
        <v>2.9367710183482301E-2</v>
      </c>
      <c r="E11" s="14">
        <v>5.06765225475862E-2</v>
      </c>
      <c r="F11" s="14"/>
      <c r="G11" s="14">
        <v>0</v>
      </c>
      <c r="H11" s="14">
        <v>3.8330885153870099E-2</v>
      </c>
      <c r="I11" s="14">
        <v>4.1394902739192503E-2</v>
      </c>
      <c r="J11" s="14">
        <v>3.1539967589343298E-2</v>
      </c>
      <c r="K11" s="14">
        <v>0</v>
      </c>
      <c r="L11" s="14">
        <v>0.65180798771521298</v>
      </c>
      <c r="M11" s="14"/>
      <c r="N11" s="14">
        <v>2.4088539588281398E-2</v>
      </c>
      <c r="O11" s="14">
        <v>4.5545851055483699E-2</v>
      </c>
      <c r="P11" s="14">
        <v>3.7648859497138899E-2</v>
      </c>
      <c r="Q11" s="14">
        <v>5.1153001423981603E-2</v>
      </c>
      <c r="R11" s="14"/>
      <c r="S11" s="14">
        <v>3.1626667212394703E-2</v>
      </c>
      <c r="T11" s="14">
        <v>4.3283469996156301E-2</v>
      </c>
      <c r="U11" s="14">
        <v>6.7328428388179304E-2</v>
      </c>
      <c r="V11" s="14">
        <v>0</v>
      </c>
      <c r="W11" s="14">
        <v>9.5008257243600902E-2</v>
      </c>
      <c r="X11" s="14">
        <v>6.5683682781255706E-2</v>
      </c>
      <c r="Y11" s="14">
        <v>2.2690829235566399E-2</v>
      </c>
      <c r="Z11" s="14">
        <v>3.0792729159954998E-2</v>
      </c>
      <c r="AA11" s="14">
        <v>2.09602366014622E-2</v>
      </c>
      <c r="AB11" s="14"/>
      <c r="AC11" s="14">
        <v>7.1021404360560994E-2</v>
      </c>
      <c r="AD11" s="14">
        <v>2.98584265108621E-2</v>
      </c>
      <c r="AE11" s="14">
        <v>3.5060242571979497E-2</v>
      </c>
      <c r="AF11" s="14">
        <v>9.12396986913485E-3</v>
      </c>
      <c r="AG11" s="14">
        <v>0</v>
      </c>
      <c r="AH11" s="14"/>
      <c r="AI11" s="14">
        <v>2.8444100763156899E-2</v>
      </c>
      <c r="AJ11" s="14">
        <v>4.2350397066953503E-2</v>
      </c>
      <c r="AK11" s="14">
        <v>8.8190213666533707E-2</v>
      </c>
      <c r="AL11" s="14">
        <v>3.2465706235035099E-2</v>
      </c>
      <c r="AM11" s="14">
        <v>0</v>
      </c>
      <c r="AN11" s="14">
        <v>3.5568651704601599E-2</v>
      </c>
      <c r="AO11" s="14"/>
      <c r="AP11" s="14">
        <v>2.0362994221521401E-2</v>
      </c>
      <c r="AQ11" s="14">
        <v>6.12796364934498E-2</v>
      </c>
      <c r="AR11" s="14"/>
      <c r="AS11" s="14">
        <v>3.44673778339726E-2</v>
      </c>
      <c r="AT11" s="14">
        <v>4.4878441742458197E-2</v>
      </c>
      <c r="AU11" s="14" t="s">
        <v>88</v>
      </c>
      <c r="AV11" s="14"/>
      <c r="AW11" s="14">
        <v>4.5472852771015003E-2</v>
      </c>
      <c r="AX11" s="14">
        <v>2.6243646881840599E-2</v>
      </c>
      <c r="AY11" s="14"/>
      <c r="AZ11" s="14">
        <v>3.77930876939713E-2</v>
      </c>
      <c r="BA11" s="14">
        <v>3.4858529407682401E-2</v>
      </c>
    </row>
    <row r="12" spans="2:53" x14ac:dyDescent="0.35">
      <c r="B12" s="15" t="s">
        <v>79</v>
      </c>
      <c r="C12" s="14">
        <v>8.7508643677171195E-3</v>
      </c>
      <c r="D12" s="14">
        <v>5.83744672843852E-3</v>
      </c>
      <c r="E12" s="14">
        <v>1.1721956017864001E-2</v>
      </c>
      <c r="F12" s="14"/>
      <c r="G12" s="14">
        <v>0</v>
      </c>
      <c r="H12" s="14">
        <v>1.7577038186007601E-2</v>
      </c>
      <c r="I12" s="14">
        <v>4.8689075197156902E-3</v>
      </c>
      <c r="J12" s="14">
        <v>9.3737350318322896E-3</v>
      </c>
      <c r="K12" s="14">
        <v>0</v>
      </c>
      <c r="L12" s="14">
        <v>0</v>
      </c>
      <c r="M12" s="14"/>
      <c r="N12" s="14">
        <v>3.3909279362673598E-3</v>
      </c>
      <c r="O12" s="14">
        <v>0</v>
      </c>
      <c r="P12" s="14">
        <v>3.2676714935303899E-2</v>
      </c>
      <c r="Q12" s="14">
        <v>5.53053724340533E-3</v>
      </c>
      <c r="R12" s="14"/>
      <c r="S12" s="14">
        <v>5.0228429359298497E-3</v>
      </c>
      <c r="T12" s="14">
        <v>9.8636012076583693E-3</v>
      </c>
      <c r="U12" s="14">
        <v>0</v>
      </c>
      <c r="V12" s="14">
        <v>4.4352508063402601E-2</v>
      </c>
      <c r="W12" s="14">
        <v>0</v>
      </c>
      <c r="X12" s="14">
        <v>1.49890313038782E-2</v>
      </c>
      <c r="Y12" s="14">
        <v>0</v>
      </c>
      <c r="Z12" s="14">
        <v>0</v>
      </c>
      <c r="AA12" s="14">
        <v>0</v>
      </c>
      <c r="AB12" s="14"/>
      <c r="AC12" s="14">
        <v>1.04488398441099E-2</v>
      </c>
      <c r="AD12" s="14">
        <v>2.5422597736146E-2</v>
      </c>
      <c r="AE12" s="14">
        <v>5.2555186366647702E-3</v>
      </c>
      <c r="AF12" s="14">
        <v>0</v>
      </c>
      <c r="AG12" s="14">
        <v>0</v>
      </c>
      <c r="AH12" s="14"/>
      <c r="AI12" s="14">
        <v>4.5807506720455804E-3</v>
      </c>
      <c r="AJ12" s="14">
        <v>2.1776223556960399E-2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3.2120685378900799E-3</v>
      </c>
      <c r="AQ12" s="14">
        <v>1.4801555762274401E-2</v>
      </c>
      <c r="AR12" s="14"/>
      <c r="AS12" s="14">
        <v>9.96720871789754E-3</v>
      </c>
      <c r="AT12" s="14">
        <v>7.6437761828300104E-3</v>
      </c>
      <c r="AU12" s="14" t="s">
        <v>88</v>
      </c>
      <c r="AV12" s="14"/>
      <c r="AW12" s="14">
        <v>5.3208733710905804E-3</v>
      </c>
      <c r="AX12" s="14">
        <v>1.6628538519823301E-2</v>
      </c>
      <c r="AY12" s="14"/>
      <c r="AZ12" s="14">
        <v>6.9550016878311399E-3</v>
      </c>
      <c r="BA12" s="14">
        <v>7.2021862395271596E-3</v>
      </c>
    </row>
    <row r="13" spans="2:53" x14ac:dyDescent="0.35">
      <c r="B13" s="15" t="s">
        <v>80</v>
      </c>
      <c r="C13" s="18">
        <v>1.8986947119257599E-3</v>
      </c>
      <c r="D13" s="18">
        <v>3.76053248628593E-3</v>
      </c>
      <c r="E13" s="18">
        <v>0</v>
      </c>
      <c r="F13" s="18"/>
      <c r="G13" s="18">
        <v>0</v>
      </c>
      <c r="H13" s="18">
        <v>0</v>
      </c>
      <c r="I13" s="18">
        <v>0</v>
      </c>
      <c r="J13" s="18">
        <v>1.22182066340001E-2</v>
      </c>
      <c r="K13" s="18">
        <v>0</v>
      </c>
      <c r="L13" s="18">
        <v>0</v>
      </c>
      <c r="M13" s="18"/>
      <c r="N13" s="18">
        <v>0</v>
      </c>
      <c r="O13" s="18">
        <v>6.7168420802028797E-3</v>
      </c>
      <c r="P13" s="18">
        <v>0</v>
      </c>
      <c r="Q13" s="18">
        <v>0</v>
      </c>
      <c r="R13" s="18"/>
      <c r="S13" s="18">
        <v>1.09875454256444E-2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1.4186912296410399E-2</v>
      </c>
      <c r="AM13" s="18">
        <v>0</v>
      </c>
      <c r="AN13" s="18">
        <v>0</v>
      </c>
      <c r="AO13" s="18"/>
      <c r="AP13" s="18">
        <v>3.6367576318077298E-3</v>
      </c>
      <c r="AQ13" s="18">
        <v>0</v>
      </c>
      <c r="AR13" s="18"/>
      <c r="AS13" s="18">
        <v>3.9847675443296501E-3</v>
      </c>
      <c r="AT13" s="18">
        <v>0</v>
      </c>
      <c r="AU13" s="18" t="s">
        <v>88</v>
      </c>
      <c r="AV13" s="18"/>
      <c r="AW13" s="18">
        <v>0</v>
      </c>
      <c r="AX13" s="18">
        <v>0</v>
      </c>
      <c r="AY13" s="18"/>
      <c r="AZ13" s="18">
        <v>2.40436577391386E-3</v>
      </c>
      <c r="BA13" s="18">
        <v>0</v>
      </c>
    </row>
    <row r="14" spans="2:53" x14ac:dyDescent="0.35">
      <c r="B14" s="26" t="s">
        <v>81</v>
      </c>
      <c r="C14" s="27">
        <v>0.94943274827270896</v>
      </c>
      <c r="D14" s="27">
        <v>0.96103431060179301</v>
      </c>
      <c r="E14" s="27">
        <v>0.93760152143455</v>
      </c>
      <c r="F14" s="27"/>
      <c r="G14" s="27">
        <v>1</v>
      </c>
      <c r="H14" s="27">
        <v>0.94409207666012196</v>
      </c>
      <c r="I14" s="27">
        <v>0.95373618974109198</v>
      </c>
      <c r="J14" s="27">
        <v>0.94686809074482403</v>
      </c>
      <c r="K14" s="27">
        <v>1</v>
      </c>
      <c r="L14" s="27">
        <v>0.34819201228478702</v>
      </c>
      <c r="M14" s="27"/>
      <c r="N14" s="27">
        <v>0.97252053247545101</v>
      </c>
      <c r="O14" s="27">
        <v>0.94773730686431301</v>
      </c>
      <c r="P14" s="27">
        <v>0.92967442556755697</v>
      </c>
      <c r="Q14" s="27">
        <v>0.94331646133261304</v>
      </c>
      <c r="R14" s="27"/>
      <c r="S14" s="27">
        <v>0.95236294442603098</v>
      </c>
      <c r="T14" s="27">
        <v>0.94685292879618499</v>
      </c>
      <c r="U14" s="27">
        <v>0.93267157161182102</v>
      </c>
      <c r="V14" s="27">
        <v>0.95564749193659704</v>
      </c>
      <c r="W14" s="27">
        <v>0.90499174275639904</v>
      </c>
      <c r="X14" s="27">
        <v>0.91932728591486601</v>
      </c>
      <c r="Y14" s="27">
        <v>0.97730917076443402</v>
      </c>
      <c r="Z14" s="27">
        <v>0.96920727084004499</v>
      </c>
      <c r="AA14" s="27">
        <v>0.97903976339853804</v>
      </c>
      <c r="AB14" s="27"/>
      <c r="AC14" s="27">
        <v>0.91852975579532903</v>
      </c>
      <c r="AD14" s="27">
        <v>0.94471897575299202</v>
      </c>
      <c r="AE14" s="27">
        <v>0.959684238791356</v>
      </c>
      <c r="AF14" s="27">
        <v>0.990876030130865</v>
      </c>
      <c r="AG14" s="27">
        <v>1</v>
      </c>
      <c r="AH14" s="27"/>
      <c r="AI14" s="27">
        <v>0.96697514856479805</v>
      </c>
      <c r="AJ14" s="27">
        <v>0.93587337937608595</v>
      </c>
      <c r="AK14" s="27">
        <v>0.91180978633346599</v>
      </c>
      <c r="AL14" s="27">
        <v>0.95334738146855402</v>
      </c>
      <c r="AM14" s="27">
        <v>1</v>
      </c>
      <c r="AN14" s="27">
        <v>0.96443134829539801</v>
      </c>
      <c r="AO14" s="27"/>
      <c r="AP14" s="27">
        <v>0.97278817960878095</v>
      </c>
      <c r="AQ14" s="27">
        <v>0.92391880774427604</v>
      </c>
      <c r="AR14" s="27"/>
      <c r="AS14" s="27">
        <v>0.95158064590379998</v>
      </c>
      <c r="AT14" s="27">
        <v>0.947477782074712</v>
      </c>
      <c r="AU14" s="27" t="s">
        <v>88</v>
      </c>
      <c r="AV14" s="27"/>
      <c r="AW14" s="27">
        <v>0.94920627385789402</v>
      </c>
      <c r="AX14" s="27">
        <v>0.95712781459833596</v>
      </c>
      <c r="AY14" s="27"/>
      <c r="AZ14" s="27">
        <v>0.95284754484428402</v>
      </c>
      <c r="BA14" s="27">
        <v>0.95793928435278997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BA19"/>
  <sheetViews>
    <sheetView showGridLines="0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0.46832988580354501</v>
      </c>
      <c r="D9" s="14">
        <v>0.51640291238731695</v>
      </c>
      <c r="E9" s="14">
        <v>0.41930520566338603</v>
      </c>
      <c r="F9" s="14"/>
      <c r="G9" s="14">
        <v>0.470896221967463</v>
      </c>
      <c r="H9" s="14">
        <v>0.50006944030574396</v>
      </c>
      <c r="I9" s="14">
        <v>0.48975939532719298</v>
      </c>
      <c r="J9" s="14">
        <v>0.38487992695485801</v>
      </c>
      <c r="K9" s="14">
        <v>0.29408476599299799</v>
      </c>
      <c r="L9" s="14">
        <v>0.34819201228478702</v>
      </c>
      <c r="M9" s="14"/>
      <c r="N9" s="14">
        <v>0.51589961368434401</v>
      </c>
      <c r="O9" s="14">
        <v>0.45156662553791899</v>
      </c>
      <c r="P9" s="14">
        <v>0.37596018195430198</v>
      </c>
      <c r="Q9" s="14">
        <v>0.51138654633029801</v>
      </c>
      <c r="R9" s="14"/>
      <c r="S9" s="14">
        <v>0.54513000839884995</v>
      </c>
      <c r="T9" s="14">
        <v>0.49219371587613497</v>
      </c>
      <c r="U9" s="14">
        <v>0.40109190217585999</v>
      </c>
      <c r="V9" s="14">
        <v>0.43779562742286698</v>
      </c>
      <c r="W9" s="14">
        <v>0.49708061664083802</v>
      </c>
      <c r="X9" s="14">
        <v>0.50846937646047596</v>
      </c>
      <c r="Y9" s="14">
        <v>0.45642830313809302</v>
      </c>
      <c r="Z9" s="14">
        <v>0.220547206776949</v>
      </c>
      <c r="AA9" s="14">
        <v>0.46381815020042599</v>
      </c>
      <c r="AB9" s="14"/>
      <c r="AC9" s="14">
        <v>0.44009808128974698</v>
      </c>
      <c r="AD9" s="14">
        <v>0.44479930866654799</v>
      </c>
      <c r="AE9" s="14">
        <v>0.47456396441543303</v>
      </c>
      <c r="AF9" s="14">
        <v>0.57810008669249102</v>
      </c>
      <c r="AG9" s="14">
        <v>0.51472186203370096</v>
      </c>
      <c r="AH9" s="14"/>
      <c r="AI9" s="14">
        <v>0.51710780609606499</v>
      </c>
      <c r="AJ9" s="14">
        <v>0.466645268565204</v>
      </c>
      <c r="AK9" s="14">
        <v>0.499947599685303</v>
      </c>
      <c r="AL9" s="14">
        <v>0.37095284586213401</v>
      </c>
      <c r="AM9" s="14">
        <v>0.33024446302935501</v>
      </c>
      <c r="AN9" s="14">
        <v>0.49933708985599701</v>
      </c>
      <c r="AO9" s="14"/>
      <c r="AP9" s="14">
        <v>0.51099089943569898</v>
      </c>
      <c r="AQ9" s="14">
        <v>0.42172614087452798</v>
      </c>
      <c r="AR9" s="14"/>
      <c r="AS9" s="14">
        <v>0.47994436665585399</v>
      </c>
      <c r="AT9" s="14">
        <v>0.45775865692146001</v>
      </c>
      <c r="AU9" s="14" t="s">
        <v>88</v>
      </c>
      <c r="AV9" s="14"/>
      <c r="AW9" s="14">
        <v>0.44559943303023503</v>
      </c>
      <c r="AX9" s="14">
        <v>0.598620303728153</v>
      </c>
      <c r="AY9" s="14"/>
      <c r="AZ9" s="14">
        <v>0.494066385216618</v>
      </c>
      <c r="BA9" s="14">
        <v>0.37809154834465097</v>
      </c>
    </row>
    <row r="10" spans="2:53" x14ac:dyDescent="0.35">
      <c r="B10" s="15" t="s">
        <v>77</v>
      </c>
      <c r="C10" s="14">
        <v>0.395420160475706</v>
      </c>
      <c r="D10" s="14">
        <v>0.34678264497575201</v>
      </c>
      <c r="E10" s="14">
        <v>0.44502050415371802</v>
      </c>
      <c r="F10" s="14"/>
      <c r="G10" s="14">
        <v>0.27088294146101</v>
      </c>
      <c r="H10" s="14">
        <v>0.38037685050321801</v>
      </c>
      <c r="I10" s="14">
        <v>0.38170873186153897</v>
      </c>
      <c r="J10" s="14">
        <v>0.41632431005367998</v>
      </c>
      <c r="K10" s="14">
        <v>0.70591523400700196</v>
      </c>
      <c r="L10" s="14">
        <v>0</v>
      </c>
      <c r="M10" s="14"/>
      <c r="N10" s="14">
        <v>0.38512015595716098</v>
      </c>
      <c r="O10" s="14">
        <v>0.40301422309326101</v>
      </c>
      <c r="P10" s="14">
        <v>0.41703131152385098</v>
      </c>
      <c r="Q10" s="14">
        <v>0.378140196990702</v>
      </c>
      <c r="R10" s="14"/>
      <c r="S10" s="14">
        <v>0.35328996745621499</v>
      </c>
      <c r="T10" s="14">
        <v>0.33916241893221899</v>
      </c>
      <c r="U10" s="14">
        <v>0.47893856743568602</v>
      </c>
      <c r="V10" s="14">
        <v>0.30806639131930502</v>
      </c>
      <c r="W10" s="14">
        <v>0.38917864035011801</v>
      </c>
      <c r="X10" s="14">
        <v>0.35190758448930798</v>
      </c>
      <c r="Y10" s="14">
        <v>0.43928664310270299</v>
      </c>
      <c r="Z10" s="14">
        <v>0.65714224354029804</v>
      </c>
      <c r="AA10" s="14">
        <v>0.44110025918490298</v>
      </c>
      <c r="AB10" s="14"/>
      <c r="AC10" s="14">
        <v>0.370061443808956</v>
      </c>
      <c r="AD10" s="14">
        <v>0.38557432303271599</v>
      </c>
      <c r="AE10" s="14">
        <v>0.40959546733461</v>
      </c>
      <c r="AF10" s="14">
        <v>0.31758250478088301</v>
      </c>
      <c r="AG10" s="14">
        <v>0.42021662001428201</v>
      </c>
      <c r="AH10" s="14"/>
      <c r="AI10" s="14">
        <v>0.383560599623261</v>
      </c>
      <c r="AJ10" s="14">
        <v>0.39627830327595598</v>
      </c>
      <c r="AK10" s="14">
        <v>0.36720268556539898</v>
      </c>
      <c r="AL10" s="14">
        <v>0.44260105171179498</v>
      </c>
      <c r="AM10" s="14">
        <v>0.51083615504228697</v>
      </c>
      <c r="AN10" s="14">
        <v>0.42463895063486701</v>
      </c>
      <c r="AO10" s="14"/>
      <c r="AP10" s="14">
        <v>0.36595982445523001</v>
      </c>
      <c r="AQ10" s="14">
        <v>0.427603221039148</v>
      </c>
      <c r="AR10" s="14"/>
      <c r="AS10" s="14">
        <v>0.390129222635198</v>
      </c>
      <c r="AT10" s="14">
        <v>0.400235848376365</v>
      </c>
      <c r="AU10" s="14" t="s">
        <v>88</v>
      </c>
      <c r="AV10" s="14"/>
      <c r="AW10" s="14">
        <v>0.40561414166281301</v>
      </c>
      <c r="AX10" s="14">
        <v>0.34444486151394899</v>
      </c>
      <c r="AY10" s="14"/>
      <c r="AZ10" s="14">
        <v>0.39155164773433498</v>
      </c>
      <c r="BA10" s="14">
        <v>0.426282845227276</v>
      </c>
    </row>
    <row r="11" spans="2:53" x14ac:dyDescent="0.35">
      <c r="B11" s="15" t="s">
        <v>78</v>
      </c>
      <c r="C11" s="14">
        <v>0.10457355810276001</v>
      </c>
      <c r="D11" s="14">
        <v>0.10427438825011</v>
      </c>
      <c r="E11" s="14">
        <v>0.104878650321329</v>
      </c>
      <c r="F11" s="14"/>
      <c r="G11" s="14">
        <v>0.14895747209976901</v>
      </c>
      <c r="H11" s="14">
        <v>8.0269614017221005E-2</v>
      </c>
      <c r="I11" s="14">
        <v>0.102830711974662</v>
      </c>
      <c r="J11" s="14">
        <v>0.15746558151971901</v>
      </c>
      <c r="K11" s="14">
        <v>0</v>
      </c>
      <c r="L11" s="14">
        <v>0.65180798771521298</v>
      </c>
      <c r="M11" s="14"/>
      <c r="N11" s="14">
        <v>7.9548869479771606E-2</v>
      </c>
      <c r="O11" s="14">
        <v>0.12043346520671799</v>
      </c>
      <c r="P11" s="14">
        <v>0.12927451927167899</v>
      </c>
      <c r="Q11" s="14">
        <v>9.3948120732399096E-2</v>
      </c>
      <c r="R11" s="14"/>
      <c r="S11" s="14">
        <v>7.2866351871594098E-2</v>
      </c>
      <c r="T11" s="14">
        <v>0.15357093296419799</v>
      </c>
      <c r="U11" s="14">
        <v>9.7544734209525794E-2</v>
      </c>
      <c r="V11" s="14">
        <v>0.13720005714040101</v>
      </c>
      <c r="W11" s="14">
        <v>0.11374074300904501</v>
      </c>
      <c r="X11" s="14">
        <v>7.93021262772267E-2</v>
      </c>
      <c r="Y11" s="14">
        <v>9.1458027293454799E-2</v>
      </c>
      <c r="Z11" s="14">
        <v>7.4418135402587404E-2</v>
      </c>
      <c r="AA11" s="14">
        <v>9.5081590614670905E-2</v>
      </c>
      <c r="AB11" s="14"/>
      <c r="AC11" s="14">
        <v>0.12613257434354899</v>
      </c>
      <c r="AD11" s="14">
        <v>0.13183408653725401</v>
      </c>
      <c r="AE11" s="14">
        <v>8.8165459296239798E-2</v>
      </c>
      <c r="AF11" s="14">
        <v>9.1915369644393799E-2</v>
      </c>
      <c r="AG11" s="14">
        <v>6.5061517952017006E-2</v>
      </c>
      <c r="AH11" s="14"/>
      <c r="AI11" s="14">
        <v>7.7097710936583297E-2</v>
      </c>
      <c r="AJ11" s="14">
        <v>9.7391928467418204E-2</v>
      </c>
      <c r="AK11" s="14">
        <v>0.124655920448345</v>
      </c>
      <c r="AL11" s="14">
        <v>0.15129150095562799</v>
      </c>
      <c r="AM11" s="14">
        <v>0.13252543951741699</v>
      </c>
      <c r="AN11" s="14">
        <v>3.6627784834562797E-2</v>
      </c>
      <c r="AO11" s="14"/>
      <c r="AP11" s="14">
        <v>8.7521152432069205E-2</v>
      </c>
      <c r="AQ11" s="14">
        <v>0.12320194727221</v>
      </c>
      <c r="AR11" s="14"/>
      <c r="AS11" s="14">
        <v>9.7483319923241094E-2</v>
      </c>
      <c r="AT11" s="14">
        <v>0.111026927097664</v>
      </c>
      <c r="AU11" s="14" t="s">
        <v>88</v>
      </c>
      <c r="AV11" s="14"/>
      <c r="AW11" s="14">
        <v>0.120867238686372</v>
      </c>
      <c r="AX11" s="14">
        <v>2.92061981610117E-2</v>
      </c>
      <c r="AY11" s="14"/>
      <c r="AZ11" s="14">
        <v>8.5788962878992195E-2</v>
      </c>
      <c r="BA11" s="14">
        <v>0.16713897516131501</v>
      </c>
    </row>
    <row r="12" spans="2:53" x14ac:dyDescent="0.35">
      <c r="B12" s="15" t="s">
        <v>79</v>
      </c>
      <c r="C12" s="14">
        <v>2.8244256832387699E-2</v>
      </c>
      <c r="D12" s="14">
        <v>2.5742400546197301E-2</v>
      </c>
      <c r="E12" s="14">
        <v>3.07956398615673E-2</v>
      </c>
      <c r="F12" s="14"/>
      <c r="G12" s="14">
        <v>0.109263364471757</v>
      </c>
      <c r="H12" s="14">
        <v>3.36088067777736E-2</v>
      </c>
      <c r="I12" s="14">
        <v>2.5701160836605601E-2</v>
      </c>
      <c r="J12" s="14">
        <v>2.91119748377426E-2</v>
      </c>
      <c r="K12" s="14">
        <v>0</v>
      </c>
      <c r="L12" s="14">
        <v>0</v>
      </c>
      <c r="M12" s="14"/>
      <c r="N12" s="14">
        <v>1.94313608787244E-2</v>
      </c>
      <c r="O12" s="14">
        <v>1.2844116442954899E-2</v>
      </c>
      <c r="P12" s="14">
        <v>7.7733987250168501E-2</v>
      </c>
      <c r="Q12" s="14">
        <v>1.6525135946600399E-2</v>
      </c>
      <c r="R12" s="14"/>
      <c r="S12" s="14">
        <v>1.77261268476968E-2</v>
      </c>
      <c r="T12" s="14">
        <v>1.50729322274479E-2</v>
      </c>
      <c r="U12" s="14">
        <v>2.24247961789278E-2</v>
      </c>
      <c r="V12" s="14">
        <v>0.116937924117427</v>
      </c>
      <c r="W12" s="14">
        <v>0</v>
      </c>
      <c r="X12" s="14">
        <v>4.4541851605572301E-2</v>
      </c>
      <c r="Y12" s="14">
        <v>1.28270264657489E-2</v>
      </c>
      <c r="Z12" s="14">
        <v>4.7892414280165101E-2</v>
      </c>
      <c r="AA12" s="14">
        <v>0</v>
      </c>
      <c r="AB12" s="14"/>
      <c r="AC12" s="14">
        <v>6.3707900557749303E-2</v>
      </c>
      <c r="AD12" s="14">
        <v>3.7792281763482601E-2</v>
      </c>
      <c r="AE12" s="14">
        <v>2.76751089537173E-2</v>
      </c>
      <c r="AF12" s="14">
        <v>1.2402038882232E-2</v>
      </c>
      <c r="AG12" s="14">
        <v>0</v>
      </c>
      <c r="AH12" s="14"/>
      <c r="AI12" s="14">
        <v>2.22338833440901E-2</v>
      </c>
      <c r="AJ12" s="14">
        <v>3.9684499691421897E-2</v>
      </c>
      <c r="AK12" s="14">
        <v>8.1937943009527999E-3</v>
      </c>
      <c r="AL12" s="14">
        <v>9.5099037554294292E-3</v>
      </c>
      <c r="AM12" s="14">
        <v>2.6393942410940601E-2</v>
      </c>
      <c r="AN12" s="14">
        <v>3.9396174674572897E-2</v>
      </c>
      <c r="AO12" s="14"/>
      <c r="AP12" s="14">
        <v>2.8954209058944198E-2</v>
      </c>
      <c r="AQ12" s="14">
        <v>2.7468690814113701E-2</v>
      </c>
      <c r="AR12" s="14"/>
      <c r="AS12" s="14">
        <v>2.8458323241376801E-2</v>
      </c>
      <c r="AT12" s="14">
        <v>2.80494185925933E-2</v>
      </c>
      <c r="AU12" s="14" t="s">
        <v>88</v>
      </c>
      <c r="AV12" s="14"/>
      <c r="AW12" s="14">
        <v>2.79191866205807E-2</v>
      </c>
      <c r="AX12" s="14">
        <v>2.77286365968866E-2</v>
      </c>
      <c r="AY12" s="14"/>
      <c r="AZ12" s="14">
        <v>2.6188638396140902E-2</v>
      </c>
      <c r="BA12" s="14">
        <v>2.84866312667581E-2</v>
      </c>
    </row>
    <row r="13" spans="2:53" x14ac:dyDescent="0.35">
      <c r="B13" s="15" t="s">
        <v>80</v>
      </c>
      <c r="C13" s="18">
        <v>3.43213878560099E-3</v>
      </c>
      <c r="D13" s="18">
        <v>6.7976538406239297E-3</v>
      </c>
      <c r="E13" s="18">
        <v>0</v>
      </c>
      <c r="F13" s="18"/>
      <c r="G13" s="18">
        <v>0</v>
      </c>
      <c r="H13" s="18">
        <v>5.67528839604325E-3</v>
      </c>
      <c r="I13" s="18">
        <v>0</v>
      </c>
      <c r="J13" s="18">
        <v>1.22182066340001E-2</v>
      </c>
      <c r="K13" s="18">
        <v>0</v>
      </c>
      <c r="L13" s="18">
        <v>0</v>
      </c>
      <c r="M13" s="18"/>
      <c r="N13" s="18">
        <v>0</v>
      </c>
      <c r="O13" s="18">
        <v>1.21415697191464E-2</v>
      </c>
      <c r="P13" s="18">
        <v>0</v>
      </c>
      <c r="Q13" s="18">
        <v>0</v>
      </c>
      <c r="R13" s="18"/>
      <c r="S13" s="18">
        <v>1.09875454256444E-2</v>
      </c>
      <c r="T13" s="18">
        <v>0</v>
      </c>
      <c r="U13" s="18">
        <v>0</v>
      </c>
      <c r="V13" s="18">
        <v>0</v>
      </c>
      <c r="W13" s="18">
        <v>0</v>
      </c>
      <c r="X13" s="18">
        <v>1.5779061167417199E-2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2.5644697715013001E-2</v>
      </c>
      <c r="AM13" s="18">
        <v>0</v>
      </c>
      <c r="AN13" s="18">
        <v>0</v>
      </c>
      <c r="AO13" s="18"/>
      <c r="AP13" s="18">
        <v>6.57391461805777E-3</v>
      </c>
      <c r="AQ13" s="18">
        <v>0</v>
      </c>
      <c r="AR13" s="18"/>
      <c r="AS13" s="18">
        <v>3.9847675443296501E-3</v>
      </c>
      <c r="AT13" s="18">
        <v>2.9291490119184201E-3</v>
      </c>
      <c r="AU13" s="18" t="s">
        <v>88</v>
      </c>
      <c r="AV13" s="18"/>
      <c r="AW13" s="18">
        <v>0</v>
      </c>
      <c r="AX13" s="18">
        <v>0</v>
      </c>
      <c r="AY13" s="18"/>
      <c r="AZ13" s="18">
        <v>2.40436577391386E-3</v>
      </c>
      <c r="BA13" s="18">
        <v>0</v>
      </c>
    </row>
    <row r="14" spans="2:53" x14ac:dyDescent="0.35">
      <c r="B14" s="26" t="s">
        <v>81</v>
      </c>
      <c r="C14" s="27">
        <v>0.863750046279251</v>
      </c>
      <c r="D14" s="27">
        <v>0.86318555736306901</v>
      </c>
      <c r="E14" s="27">
        <v>0.86432570981710399</v>
      </c>
      <c r="F14" s="27"/>
      <c r="G14" s="27">
        <v>0.74177916342847405</v>
      </c>
      <c r="H14" s="27">
        <v>0.88044629080896197</v>
      </c>
      <c r="I14" s="27">
        <v>0.87146812718873201</v>
      </c>
      <c r="J14" s="27">
        <v>0.80120423700853904</v>
      </c>
      <c r="K14" s="27">
        <v>1</v>
      </c>
      <c r="L14" s="27">
        <v>0.34819201228478702</v>
      </c>
      <c r="M14" s="27"/>
      <c r="N14" s="27">
        <v>0.90101976964150399</v>
      </c>
      <c r="O14" s="27">
        <v>0.85458084863118</v>
      </c>
      <c r="P14" s="27">
        <v>0.79299149347815201</v>
      </c>
      <c r="Q14" s="27">
        <v>0.88952674332100101</v>
      </c>
      <c r="R14" s="27"/>
      <c r="S14" s="27">
        <v>0.89841997585506495</v>
      </c>
      <c r="T14" s="27">
        <v>0.83135613480835402</v>
      </c>
      <c r="U14" s="27">
        <v>0.88003046961154596</v>
      </c>
      <c r="V14" s="27">
        <v>0.74586201874217095</v>
      </c>
      <c r="W14" s="27">
        <v>0.88625925699095498</v>
      </c>
      <c r="X14" s="27">
        <v>0.860376960949784</v>
      </c>
      <c r="Y14" s="27">
        <v>0.89571494624079695</v>
      </c>
      <c r="Z14" s="27">
        <v>0.87768945031724699</v>
      </c>
      <c r="AA14" s="27">
        <v>0.90491840938532897</v>
      </c>
      <c r="AB14" s="27"/>
      <c r="AC14" s="27">
        <v>0.81015952509870204</v>
      </c>
      <c r="AD14" s="27">
        <v>0.83037363169926404</v>
      </c>
      <c r="AE14" s="27">
        <v>0.88415943175004297</v>
      </c>
      <c r="AF14" s="27">
        <v>0.89568259147337403</v>
      </c>
      <c r="AG14" s="27">
        <v>0.93493848204798302</v>
      </c>
      <c r="AH14" s="27"/>
      <c r="AI14" s="27">
        <v>0.90066840571932705</v>
      </c>
      <c r="AJ14" s="27">
        <v>0.86292357184115998</v>
      </c>
      <c r="AK14" s="27">
        <v>0.86715028525070204</v>
      </c>
      <c r="AL14" s="27">
        <v>0.81355389757393004</v>
      </c>
      <c r="AM14" s="27">
        <v>0.84108061807164203</v>
      </c>
      <c r="AN14" s="27">
        <v>0.92397604049086401</v>
      </c>
      <c r="AO14" s="27"/>
      <c r="AP14" s="27">
        <v>0.87695072389092898</v>
      </c>
      <c r="AQ14" s="27">
        <v>0.84932936191367603</v>
      </c>
      <c r="AR14" s="27"/>
      <c r="AS14" s="27">
        <v>0.87007358929105205</v>
      </c>
      <c r="AT14" s="27">
        <v>0.85799450529782495</v>
      </c>
      <c r="AU14" s="27" t="s">
        <v>88</v>
      </c>
      <c r="AV14" s="27"/>
      <c r="AW14" s="27">
        <v>0.85121357469304704</v>
      </c>
      <c r="AX14" s="27">
        <v>0.94306516524210204</v>
      </c>
      <c r="AY14" s="27"/>
      <c r="AZ14" s="27">
        <v>0.88561803295095298</v>
      </c>
      <c r="BA14" s="27">
        <v>0.80437439357192697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BA19"/>
  <sheetViews>
    <sheetView showGridLines="0" topLeftCell="A4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0.41502092064816698</v>
      </c>
      <c r="D9" s="14">
        <v>0.41092085145648</v>
      </c>
      <c r="E9" s="14">
        <v>0.41920215480293099</v>
      </c>
      <c r="F9" s="14"/>
      <c r="G9" s="14">
        <v>0.222480512470702</v>
      </c>
      <c r="H9" s="14">
        <v>0.45976792496929197</v>
      </c>
      <c r="I9" s="14">
        <v>0.43260508793223601</v>
      </c>
      <c r="J9" s="14">
        <v>0.332942041498548</v>
      </c>
      <c r="K9" s="14">
        <v>0.245983580857491</v>
      </c>
      <c r="L9" s="14">
        <v>0.34819201228478702</v>
      </c>
      <c r="M9" s="14"/>
      <c r="N9" s="14">
        <v>0.46594131568803299</v>
      </c>
      <c r="O9" s="14">
        <v>0.40037659875821302</v>
      </c>
      <c r="P9" s="14">
        <v>0.42931439580750902</v>
      </c>
      <c r="Q9" s="14">
        <v>0.37264086377746902</v>
      </c>
      <c r="R9" s="14"/>
      <c r="S9" s="14">
        <v>0.50086010330889597</v>
      </c>
      <c r="T9" s="14">
        <v>0.43177883436035303</v>
      </c>
      <c r="U9" s="14">
        <v>0.37364185447092901</v>
      </c>
      <c r="V9" s="14">
        <v>0.43051132380076701</v>
      </c>
      <c r="W9" s="14">
        <v>0.43131198118533598</v>
      </c>
      <c r="X9" s="14">
        <v>0.368786429293675</v>
      </c>
      <c r="Y9" s="14">
        <v>0.400972322078817</v>
      </c>
      <c r="Z9" s="14">
        <v>0.28629630099404302</v>
      </c>
      <c r="AA9" s="14">
        <v>0.38043379159573498</v>
      </c>
      <c r="AB9" s="14"/>
      <c r="AC9" s="14">
        <v>0.37091786223102102</v>
      </c>
      <c r="AD9" s="14">
        <v>0.367464205543234</v>
      </c>
      <c r="AE9" s="14">
        <v>0.409493367221414</v>
      </c>
      <c r="AF9" s="14">
        <v>0.50222511799930802</v>
      </c>
      <c r="AG9" s="14">
        <v>0.41912667870410802</v>
      </c>
      <c r="AH9" s="14"/>
      <c r="AI9" s="14">
        <v>0.49586948304769402</v>
      </c>
      <c r="AJ9" s="14">
        <v>0.46336190676588701</v>
      </c>
      <c r="AK9" s="14">
        <v>0.324590207852538</v>
      </c>
      <c r="AL9" s="14">
        <v>0.37411273034167902</v>
      </c>
      <c r="AM9" s="14">
        <v>0.31848665162152201</v>
      </c>
      <c r="AN9" s="14">
        <v>0.37825582670645402</v>
      </c>
      <c r="AO9" s="14"/>
      <c r="AP9" s="14">
        <v>0.40967044877694297</v>
      </c>
      <c r="AQ9" s="14">
        <v>0.420865883182027</v>
      </c>
      <c r="AR9" s="14"/>
      <c r="AS9" s="14">
        <v>0.43511161566668299</v>
      </c>
      <c r="AT9" s="14">
        <v>0.39673483983735902</v>
      </c>
      <c r="AU9" s="14" t="s">
        <v>88</v>
      </c>
      <c r="AV9" s="14"/>
      <c r="AW9" s="14">
        <v>0.39377174658026998</v>
      </c>
      <c r="AX9" s="14">
        <v>0.530350092705276</v>
      </c>
      <c r="AY9" s="14"/>
      <c r="AZ9" s="14">
        <v>0.430811296212461</v>
      </c>
      <c r="BA9" s="14">
        <v>0.361492140624598</v>
      </c>
    </row>
    <row r="10" spans="2:53" x14ac:dyDescent="0.35">
      <c r="B10" s="15" t="s">
        <v>77</v>
      </c>
      <c r="C10" s="14">
        <v>0.45237382490831402</v>
      </c>
      <c r="D10" s="14">
        <v>0.446627111851995</v>
      </c>
      <c r="E10" s="14">
        <v>0.45823429988698799</v>
      </c>
      <c r="F10" s="14"/>
      <c r="G10" s="14">
        <v>0.29531195353540401</v>
      </c>
      <c r="H10" s="14">
        <v>0.39379038327931898</v>
      </c>
      <c r="I10" s="14">
        <v>0.44687929154330103</v>
      </c>
      <c r="J10" s="14">
        <v>0.53778142363871695</v>
      </c>
      <c r="K10" s="14">
        <v>0.70928395563880897</v>
      </c>
      <c r="L10" s="14">
        <v>0</v>
      </c>
      <c r="M10" s="14"/>
      <c r="N10" s="14">
        <v>0.44137498156105298</v>
      </c>
      <c r="O10" s="14">
        <v>0.44762287117732102</v>
      </c>
      <c r="P10" s="14">
        <v>0.45575821547912099</v>
      </c>
      <c r="Q10" s="14">
        <v>0.46291436555841398</v>
      </c>
      <c r="R10" s="14"/>
      <c r="S10" s="14">
        <v>0.41044109828387498</v>
      </c>
      <c r="T10" s="14">
        <v>0.468226425363368</v>
      </c>
      <c r="U10" s="14">
        <v>0.52131390012384504</v>
      </c>
      <c r="V10" s="14">
        <v>0.36280174792848802</v>
      </c>
      <c r="W10" s="14">
        <v>0.46033444939041201</v>
      </c>
      <c r="X10" s="14">
        <v>0.51397197118025295</v>
      </c>
      <c r="Y10" s="14">
        <v>0.42557734415980902</v>
      </c>
      <c r="Z10" s="14">
        <v>0.53730753615200599</v>
      </c>
      <c r="AA10" s="14">
        <v>0.44394006633949201</v>
      </c>
      <c r="AB10" s="14"/>
      <c r="AC10" s="14">
        <v>0.43549088695424198</v>
      </c>
      <c r="AD10" s="14">
        <v>0.53674295148949402</v>
      </c>
      <c r="AE10" s="14">
        <v>0.454533143804636</v>
      </c>
      <c r="AF10" s="14">
        <v>0.40367671500635499</v>
      </c>
      <c r="AG10" s="14">
        <v>0.54277251191834996</v>
      </c>
      <c r="AH10" s="14"/>
      <c r="AI10" s="14">
        <v>0.40716172319386501</v>
      </c>
      <c r="AJ10" s="14">
        <v>0.42481891170334202</v>
      </c>
      <c r="AK10" s="14">
        <v>0.54314960456108596</v>
      </c>
      <c r="AL10" s="14">
        <v>0.458856241255575</v>
      </c>
      <c r="AM10" s="14">
        <v>0.52639654407995196</v>
      </c>
      <c r="AN10" s="14">
        <v>0.45285505571756601</v>
      </c>
      <c r="AO10" s="14"/>
      <c r="AP10" s="14">
        <v>0.45574352722014699</v>
      </c>
      <c r="AQ10" s="14">
        <v>0.44869269467588502</v>
      </c>
      <c r="AR10" s="14"/>
      <c r="AS10" s="14">
        <v>0.464143635174606</v>
      </c>
      <c r="AT10" s="14">
        <v>0.44166121882580001</v>
      </c>
      <c r="AU10" s="14" t="s">
        <v>88</v>
      </c>
      <c r="AV10" s="14"/>
      <c r="AW10" s="14">
        <v>0.464821223766334</v>
      </c>
      <c r="AX10" s="14">
        <v>0.38613927567509898</v>
      </c>
      <c r="AY10" s="14"/>
      <c r="AZ10" s="14">
        <v>0.45001680213530298</v>
      </c>
      <c r="BA10" s="14">
        <v>0.47960471154949402</v>
      </c>
    </row>
    <row r="11" spans="2:53" x14ac:dyDescent="0.35">
      <c r="B11" s="15" t="s">
        <v>78</v>
      </c>
      <c r="C11" s="14">
        <v>0.112450767754857</v>
      </c>
      <c r="D11" s="14">
        <v>0.11929945592579801</v>
      </c>
      <c r="E11" s="14">
        <v>0.105466502963976</v>
      </c>
      <c r="F11" s="14"/>
      <c r="G11" s="14">
        <v>0.23794013084486901</v>
      </c>
      <c r="H11" s="14">
        <v>0.12845771883293</v>
      </c>
      <c r="I11" s="14">
        <v>0.102828532591517</v>
      </c>
      <c r="J11" s="14">
        <v>0.107684593196903</v>
      </c>
      <c r="K11" s="14">
        <v>4.47324635036997E-2</v>
      </c>
      <c r="L11" s="14">
        <v>0.65180798771521298</v>
      </c>
      <c r="M11" s="14"/>
      <c r="N11" s="14">
        <v>9.2683702750914698E-2</v>
      </c>
      <c r="O11" s="14">
        <v>0.13985896034532</v>
      </c>
      <c r="P11" s="14">
        <v>8.5630925649238895E-2</v>
      </c>
      <c r="Q11" s="14">
        <v>0.12282952215039</v>
      </c>
      <c r="R11" s="14"/>
      <c r="S11" s="14">
        <v>7.7711252981585002E-2</v>
      </c>
      <c r="T11" s="14">
        <v>7.4279625349116099E-2</v>
      </c>
      <c r="U11" s="14">
        <v>5.47795525794883E-2</v>
      </c>
      <c r="V11" s="14">
        <v>0.189859032341473</v>
      </c>
      <c r="W11" s="14">
        <v>0.108353569424253</v>
      </c>
      <c r="X11" s="14">
        <v>8.6473507054776494E-2</v>
      </c>
      <c r="Y11" s="14">
        <v>0.149163013375363</v>
      </c>
      <c r="Z11" s="14">
        <v>0.17639616285395199</v>
      </c>
      <c r="AA11" s="14">
        <v>0.163942290568793</v>
      </c>
      <c r="AB11" s="14"/>
      <c r="AC11" s="14">
        <v>0.183142410970628</v>
      </c>
      <c r="AD11" s="14">
        <v>8.7637628943335294E-2</v>
      </c>
      <c r="AE11" s="14">
        <v>0.12594236073264001</v>
      </c>
      <c r="AF11" s="14">
        <v>7.8777662148622293E-2</v>
      </c>
      <c r="AG11" s="14">
        <v>3.8100809377542302E-2</v>
      </c>
      <c r="AH11" s="14"/>
      <c r="AI11" s="14">
        <v>8.0863990364721097E-2</v>
      </c>
      <c r="AJ11" s="14">
        <v>0.111819181530771</v>
      </c>
      <c r="AK11" s="14">
        <v>9.3920718155472205E-2</v>
      </c>
      <c r="AL11" s="14">
        <v>0.14138633068773299</v>
      </c>
      <c r="AM11" s="14">
        <v>0.11783513242016</v>
      </c>
      <c r="AN11" s="14">
        <v>0.137836005476105</v>
      </c>
      <c r="AO11" s="14"/>
      <c r="AP11" s="14">
        <v>0.10898342297982901</v>
      </c>
      <c r="AQ11" s="14">
        <v>0.11623856456788299</v>
      </c>
      <c r="AR11" s="14"/>
      <c r="AS11" s="14">
        <v>7.3897512334051299E-2</v>
      </c>
      <c r="AT11" s="14">
        <v>0.14754103932061699</v>
      </c>
      <c r="AU11" s="14" t="s">
        <v>88</v>
      </c>
      <c r="AV11" s="14"/>
      <c r="AW11" s="14">
        <v>0.12200722043213399</v>
      </c>
      <c r="AX11" s="14">
        <v>8.3510631619625006E-2</v>
      </c>
      <c r="AY11" s="14"/>
      <c r="AZ11" s="14">
        <v>0.10453818827873899</v>
      </c>
      <c r="BA11" s="14">
        <v>0.13288098951393801</v>
      </c>
    </row>
    <row r="12" spans="2:53" x14ac:dyDescent="0.35">
      <c r="B12" s="15" t="s">
        <v>79</v>
      </c>
      <c r="C12" s="14">
        <v>1.6722347903060899E-2</v>
      </c>
      <c r="D12" s="14">
        <v>1.63549269251024E-2</v>
      </c>
      <c r="E12" s="14">
        <v>1.7097042346103999E-2</v>
      </c>
      <c r="F12" s="14"/>
      <c r="G12" s="14">
        <v>0.24426740314902501</v>
      </c>
      <c r="H12" s="14">
        <v>1.23086845224161E-2</v>
      </c>
      <c r="I12" s="14">
        <v>1.7687087932945701E-2</v>
      </c>
      <c r="J12" s="14">
        <v>9.3737350318322896E-3</v>
      </c>
      <c r="K12" s="14">
        <v>0</v>
      </c>
      <c r="L12" s="14">
        <v>0</v>
      </c>
      <c r="M12" s="14"/>
      <c r="N12" s="14">
        <v>0</v>
      </c>
      <c r="O12" s="14">
        <v>0</v>
      </c>
      <c r="P12" s="14">
        <v>2.9296463064131001E-2</v>
      </c>
      <c r="Q12" s="14">
        <v>4.16152485137272E-2</v>
      </c>
      <c r="R12" s="14"/>
      <c r="S12" s="14">
        <v>0</v>
      </c>
      <c r="T12" s="14">
        <v>2.5715114927162899E-2</v>
      </c>
      <c r="U12" s="14">
        <v>5.02646928257377E-2</v>
      </c>
      <c r="V12" s="14">
        <v>1.6827895929271201E-2</v>
      </c>
      <c r="W12" s="14">
        <v>0</v>
      </c>
      <c r="X12" s="14">
        <v>1.49890313038782E-2</v>
      </c>
      <c r="Y12" s="14">
        <v>2.42873203860106E-2</v>
      </c>
      <c r="Z12" s="14">
        <v>0</v>
      </c>
      <c r="AA12" s="14">
        <v>1.16838514959802E-2</v>
      </c>
      <c r="AB12" s="14"/>
      <c r="AC12" s="14">
        <v>1.04488398441099E-2</v>
      </c>
      <c r="AD12" s="14">
        <v>8.1552140239365602E-3</v>
      </c>
      <c r="AE12" s="14">
        <v>1.00311282413092E-2</v>
      </c>
      <c r="AF12" s="14">
        <v>1.5320504845714801E-2</v>
      </c>
      <c r="AG12" s="14">
        <v>0</v>
      </c>
      <c r="AH12" s="14"/>
      <c r="AI12" s="14">
        <v>1.6104803393719998E-2</v>
      </c>
      <c r="AJ12" s="14">
        <v>0</v>
      </c>
      <c r="AK12" s="14">
        <v>3.8339469430904001E-2</v>
      </c>
      <c r="AL12" s="14">
        <v>0</v>
      </c>
      <c r="AM12" s="14">
        <v>3.7281671878366E-2</v>
      </c>
      <c r="AN12" s="14">
        <v>3.10531120998748E-2</v>
      </c>
      <c r="AO12" s="14"/>
      <c r="AP12" s="14">
        <v>1.9028686405023001E-2</v>
      </c>
      <c r="AQ12" s="14">
        <v>1.42028575742047E-2</v>
      </c>
      <c r="AR12" s="14"/>
      <c r="AS12" s="14">
        <v>2.28624692803302E-2</v>
      </c>
      <c r="AT12" s="14">
        <v>1.11337530043061E-2</v>
      </c>
      <c r="AU12" s="14" t="s">
        <v>88</v>
      </c>
      <c r="AV12" s="14"/>
      <c r="AW12" s="14">
        <v>1.9399809221261301E-2</v>
      </c>
      <c r="AX12" s="14">
        <v>0</v>
      </c>
      <c r="AY12" s="14"/>
      <c r="AZ12" s="14">
        <v>1.2229347599582399E-2</v>
      </c>
      <c r="BA12" s="14">
        <v>2.6022158311970699E-2</v>
      </c>
    </row>
    <row r="13" spans="2:53" x14ac:dyDescent="0.35">
      <c r="B13" s="15" t="s">
        <v>80</v>
      </c>
      <c r="C13" s="18">
        <v>3.43213878560099E-3</v>
      </c>
      <c r="D13" s="18">
        <v>6.7976538406239297E-3</v>
      </c>
      <c r="E13" s="18">
        <v>0</v>
      </c>
      <c r="F13" s="18"/>
      <c r="G13" s="18">
        <v>0</v>
      </c>
      <c r="H13" s="18">
        <v>5.67528839604325E-3</v>
      </c>
      <c r="I13" s="18">
        <v>0</v>
      </c>
      <c r="J13" s="18">
        <v>1.22182066340001E-2</v>
      </c>
      <c r="K13" s="18">
        <v>0</v>
      </c>
      <c r="L13" s="18">
        <v>0</v>
      </c>
      <c r="M13" s="18"/>
      <c r="N13" s="18">
        <v>0</v>
      </c>
      <c r="O13" s="18">
        <v>1.21415697191464E-2</v>
      </c>
      <c r="P13" s="18">
        <v>0</v>
      </c>
      <c r="Q13" s="18">
        <v>0</v>
      </c>
      <c r="R13" s="18"/>
      <c r="S13" s="18">
        <v>1.09875454256444E-2</v>
      </c>
      <c r="T13" s="18">
        <v>0</v>
      </c>
      <c r="U13" s="18">
        <v>0</v>
      </c>
      <c r="V13" s="18">
        <v>0</v>
      </c>
      <c r="W13" s="18">
        <v>0</v>
      </c>
      <c r="X13" s="18">
        <v>1.5779061167417199E-2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2.5644697715013001E-2</v>
      </c>
      <c r="AM13" s="18">
        <v>0</v>
      </c>
      <c r="AN13" s="18">
        <v>0</v>
      </c>
      <c r="AO13" s="18"/>
      <c r="AP13" s="18">
        <v>6.57391461805777E-3</v>
      </c>
      <c r="AQ13" s="18">
        <v>0</v>
      </c>
      <c r="AR13" s="18"/>
      <c r="AS13" s="18">
        <v>3.9847675443296501E-3</v>
      </c>
      <c r="AT13" s="18">
        <v>2.9291490119184201E-3</v>
      </c>
      <c r="AU13" s="18" t="s">
        <v>88</v>
      </c>
      <c r="AV13" s="18"/>
      <c r="AW13" s="18">
        <v>0</v>
      </c>
      <c r="AX13" s="18">
        <v>0</v>
      </c>
      <c r="AY13" s="18"/>
      <c r="AZ13" s="18">
        <v>2.40436577391386E-3</v>
      </c>
      <c r="BA13" s="18">
        <v>0</v>
      </c>
    </row>
    <row r="14" spans="2:53" x14ac:dyDescent="0.35">
      <c r="B14" s="26" t="s">
        <v>81</v>
      </c>
      <c r="C14" s="27">
        <v>0.86739474555648099</v>
      </c>
      <c r="D14" s="27">
        <v>0.85754796330847505</v>
      </c>
      <c r="E14" s="27">
        <v>0.87743645468992004</v>
      </c>
      <c r="F14" s="27"/>
      <c r="G14" s="27">
        <v>0.51779246600610596</v>
      </c>
      <c r="H14" s="27">
        <v>0.85355830824861101</v>
      </c>
      <c r="I14" s="27">
        <v>0.87948437947553704</v>
      </c>
      <c r="J14" s="27">
        <v>0.87072346513726495</v>
      </c>
      <c r="K14" s="27">
        <v>0.95526753649630003</v>
      </c>
      <c r="L14" s="27">
        <v>0.34819201228478702</v>
      </c>
      <c r="M14" s="27"/>
      <c r="N14" s="27">
        <v>0.90731629724908502</v>
      </c>
      <c r="O14" s="27">
        <v>0.84799946993553399</v>
      </c>
      <c r="P14" s="27">
        <v>0.88507261128662995</v>
      </c>
      <c r="Q14" s="27">
        <v>0.835555229335883</v>
      </c>
      <c r="R14" s="27"/>
      <c r="S14" s="27">
        <v>0.91130120159277095</v>
      </c>
      <c r="T14" s="27">
        <v>0.90000525972372103</v>
      </c>
      <c r="U14" s="27">
        <v>0.89495575459477394</v>
      </c>
      <c r="V14" s="27">
        <v>0.79331307172925603</v>
      </c>
      <c r="W14" s="27">
        <v>0.891646430575747</v>
      </c>
      <c r="X14" s="27">
        <v>0.88275840047392795</v>
      </c>
      <c r="Y14" s="27">
        <v>0.82654966623862602</v>
      </c>
      <c r="Z14" s="27">
        <v>0.82360383714604801</v>
      </c>
      <c r="AA14" s="27">
        <v>0.82437385793522699</v>
      </c>
      <c r="AB14" s="27"/>
      <c r="AC14" s="27">
        <v>0.80640874918526295</v>
      </c>
      <c r="AD14" s="27">
        <v>0.90420715703272803</v>
      </c>
      <c r="AE14" s="27">
        <v>0.86402651102604999</v>
      </c>
      <c r="AF14" s="27">
        <v>0.90590183300566296</v>
      </c>
      <c r="AG14" s="27">
        <v>0.96189919062245799</v>
      </c>
      <c r="AH14" s="27"/>
      <c r="AI14" s="27">
        <v>0.90303120624155897</v>
      </c>
      <c r="AJ14" s="27">
        <v>0.88818081846922903</v>
      </c>
      <c r="AK14" s="27">
        <v>0.86773981241362397</v>
      </c>
      <c r="AL14" s="27">
        <v>0.83296897159725403</v>
      </c>
      <c r="AM14" s="27">
        <v>0.84488319570147397</v>
      </c>
      <c r="AN14" s="27">
        <v>0.83111088242401998</v>
      </c>
      <c r="AO14" s="27"/>
      <c r="AP14" s="27">
        <v>0.86541397599709002</v>
      </c>
      <c r="AQ14" s="27">
        <v>0.86955857785791202</v>
      </c>
      <c r="AR14" s="27"/>
      <c r="AS14" s="27">
        <v>0.89925525084128899</v>
      </c>
      <c r="AT14" s="27">
        <v>0.83839605866315903</v>
      </c>
      <c r="AU14" s="27" t="s">
        <v>88</v>
      </c>
      <c r="AV14" s="27"/>
      <c r="AW14" s="27">
        <v>0.85859297034660398</v>
      </c>
      <c r="AX14" s="27">
        <v>0.91648936838037498</v>
      </c>
      <c r="AY14" s="27"/>
      <c r="AZ14" s="27">
        <v>0.88082809834776499</v>
      </c>
      <c r="BA14" s="27">
        <v>0.84109685217409202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BA19"/>
  <sheetViews>
    <sheetView showGridLines="0" topLeftCell="A6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0.38624315893349598</v>
      </c>
      <c r="D9" s="14">
        <v>0.38112598478363002</v>
      </c>
      <c r="E9" s="14">
        <v>0.39146163265454498</v>
      </c>
      <c r="F9" s="14"/>
      <c r="G9" s="14">
        <v>0.143810589708317</v>
      </c>
      <c r="H9" s="14">
        <v>0.39262619460915599</v>
      </c>
      <c r="I9" s="14">
        <v>0.40384511017457198</v>
      </c>
      <c r="J9" s="14">
        <v>0.37720898377909501</v>
      </c>
      <c r="K9" s="14">
        <v>0.245983580857491</v>
      </c>
      <c r="L9" s="14">
        <v>0</v>
      </c>
      <c r="M9" s="14"/>
      <c r="N9" s="14">
        <v>0.44091259120996001</v>
      </c>
      <c r="O9" s="14">
        <v>0.31728411524142403</v>
      </c>
      <c r="P9" s="14">
        <v>0.37754901888862702</v>
      </c>
      <c r="Q9" s="14">
        <v>0.415533453305857</v>
      </c>
      <c r="R9" s="14"/>
      <c r="S9" s="14">
        <v>0.44260072359715302</v>
      </c>
      <c r="T9" s="14">
        <v>0.451433970676268</v>
      </c>
      <c r="U9" s="14">
        <v>0.33292916871168898</v>
      </c>
      <c r="V9" s="14">
        <v>0.349770108831856</v>
      </c>
      <c r="W9" s="14">
        <v>0.44579585003983002</v>
      </c>
      <c r="X9" s="14">
        <v>0.37738303208299101</v>
      </c>
      <c r="Y9" s="14">
        <v>0.27824357714602699</v>
      </c>
      <c r="Z9" s="14">
        <v>0.33895187956002198</v>
      </c>
      <c r="AA9" s="14">
        <v>0.36532643657557901</v>
      </c>
      <c r="AB9" s="14"/>
      <c r="AC9" s="14">
        <v>0.314630241363267</v>
      </c>
      <c r="AD9" s="14">
        <v>0.36828189316629101</v>
      </c>
      <c r="AE9" s="14">
        <v>0.39498962248365399</v>
      </c>
      <c r="AF9" s="14">
        <v>0.45764318286669797</v>
      </c>
      <c r="AG9" s="14">
        <v>0.30902634923109901</v>
      </c>
      <c r="AH9" s="14"/>
      <c r="AI9" s="14">
        <v>0.42891319120835297</v>
      </c>
      <c r="AJ9" s="14">
        <v>0.40001499682388503</v>
      </c>
      <c r="AK9" s="14">
        <v>0.30305288987847501</v>
      </c>
      <c r="AL9" s="14">
        <v>0.40770555617716098</v>
      </c>
      <c r="AM9" s="14">
        <v>0.142635471301815</v>
      </c>
      <c r="AN9" s="14">
        <v>0.48565658005616302</v>
      </c>
      <c r="AO9" s="14"/>
      <c r="AP9" s="14">
        <v>0.40315196925275798</v>
      </c>
      <c r="AQ9" s="14">
        <v>0.36777163619925701</v>
      </c>
      <c r="AR9" s="14"/>
      <c r="AS9" s="14">
        <v>0.39032306789319399</v>
      </c>
      <c r="AT9" s="14">
        <v>0.38252972120179901</v>
      </c>
      <c r="AU9" s="14" t="s">
        <v>88</v>
      </c>
      <c r="AV9" s="14"/>
      <c r="AW9" s="14">
        <v>0.38182056144003501</v>
      </c>
      <c r="AX9" s="14">
        <v>0.43447197799667497</v>
      </c>
      <c r="AY9" s="14"/>
      <c r="AZ9" s="14">
        <v>0.39027266181317299</v>
      </c>
      <c r="BA9" s="14">
        <v>0.37748713120627497</v>
      </c>
    </row>
    <row r="10" spans="2:53" x14ac:dyDescent="0.35">
      <c r="B10" s="15" t="s">
        <v>77</v>
      </c>
      <c r="C10" s="14">
        <v>0.471371723622105</v>
      </c>
      <c r="D10" s="14">
        <v>0.46708911374448497</v>
      </c>
      <c r="E10" s="14">
        <v>0.47573911203792602</v>
      </c>
      <c r="F10" s="14"/>
      <c r="G10" s="14">
        <v>7.8669922762385103E-2</v>
      </c>
      <c r="H10" s="14">
        <v>0.45385563265130102</v>
      </c>
      <c r="I10" s="14">
        <v>0.464918639821088</v>
      </c>
      <c r="J10" s="14">
        <v>0.49366058537288998</v>
      </c>
      <c r="K10" s="14">
        <v>0.65236404217543698</v>
      </c>
      <c r="L10" s="14">
        <v>1</v>
      </c>
      <c r="M10" s="14"/>
      <c r="N10" s="14">
        <v>0.45608791641971602</v>
      </c>
      <c r="O10" s="14">
        <v>0.51873807717364795</v>
      </c>
      <c r="P10" s="14">
        <v>0.48011697261522801</v>
      </c>
      <c r="Q10" s="14">
        <v>0.42623376631558302</v>
      </c>
      <c r="R10" s="14"/>
      <c r="S10" s="14">
        <v>0.387257325711032</v>
      </c>
      <c r="T10" s="14">
        <v>0.44597861174261799</v>
      </c>
      <c r="U10" s="14">
        <v>0.58037598764031495</v>
      </c>
      <c r="V10" s="14">
        <v>0.44640521610566702</v>
      </c>
      <c r="W10" s="14">
        <v>0.47750619357770402</v>
      </c>
      <c r="X10" s="14">
        <v>0.44624947070870302</v>
      </c>
      <c r="Y10" s="14">
        <v>0.57494085348373503</v>
      </c>
      <c r="Z10" s="14">
        <v>0.46102898163300798</v>
      </c>
      <c r="AA10" s="14">
        <v>0.49263836647794301</v>
      </c>
      <c r="AB10" s="14"/>
      <c r="AC10" s="14">
        <v>0.52888261722743801</v>
      </c>
      <c r="AD10" s="14">
        <v>0.522727989496239</v>
      </c>
      <c r="AE10" s="14">
        <v>0.44281880940448698</v>
      </c>
      <c r="AF10" s="14">
        <v>0.42066230982715802</v>
      </c>
      <c r="AG10" s="14">
        <v>0.47232978050437602</v>
      </c>
      <c r="AH10" s="14"/>
      <c r="AI10" s="14">
        <v>0.46075083734915101</v>
      </c>
      <c r="AJ10" s="14">
        <v>0.43838437421609799</v>
      </c>
      <c r="AK10" s="14">
        <v>0.55224368442361205</v>
      </c>
      <c r="AL10" s="14">
        <v>0.37101514501976302</v>
      </c>
      <c r="AM10" s="14">
        <v>0.76729497086397203</v>
      </c>
      <c r="AN10" s="14">
        <v>0.43966186046299799</v>
      </c>
      <c r="AO10" s="14"/>
      <c r="AP10" s="14">
        <v>0.461427223618325</v>
      </c>
      <c r="AQ10" s="14">
        <v>0.48223529441343499</v>
      </c>
      <c r="AR10" s="14"/>
      <c r="AS10" s="14">
        <v>0.47895673218448298</v>
      </c>
      <c r="AT10" s="14">
        <v>0.46446802619429101</v>
      </c>
      <c r="AU10" s="14" t="s">
        <v>88</v>
      </c>
      <c r="AV10" s="14"/>
      <c r="AW10" s="14">
        <v>0.48489643422199302</v>
      </c>
      <c r="AX10" s="14">
        <v>0.41976546698732897</v>
      </c>
      <c r="AY10" s="14"/>
      <c r="AZ10" s="14">
        <v>0.47227963362116099</v>
      </c>
      <c r="BA10" s="14">
        <v>0.47166663043090701</v>
      </c>
    </row>
    <row r="11" spans="2:53" x14ac:dyDescent="0.35">
      <c r="B11" s="15" t="s">
        <v>78</v>
      </c>
      <c r="C11" s="14">
        <v>0.118585102307876</v>
      </c>
      <c r="D11" s="14">
        <v>0.12498922998673399</v>
      </c>
      <c r="E11" s="14">
        <v>0.11205419852786</v>
      </c>
      <c r="F11" s="14"/>
      <c r="G11" s="14">
        <v>0.29531195353540401</v>
      </c>
      <c r="H11" s="14">
        <v>0.13246176687127301</v>
      </c>
      <c r="I11" s="14">
        <v>0.114879785809161</v>
      </c>
      <c r="J11" s="14">
        <v>0.101839151884507</v>
      </c>
      <c r="K11" s="14">
        <v>0.10165237696707199</v>
      </c>
      <c r="L11" s="14">
        <v>0</v>
      </c>
      <c r="M11" s="14"/>
      <c r="N11" s="14">
        <v>8.4829002810916904E-2</v>
      </c>
      <c r="O11" s="14">
        <v>0.14447171184051899</v>
      </c>
      <c r="P11" s="14">
        <v>0.124644164055333</v>
      </c>
      <c r="Q11" s="14">
        <v>0.11967291819574601</v>
      </c>
      <c r="R11" s="14"/>
      <c r="S11" s="14">
        <v>0.14591593015156901</v>
      </c>
      <c r="T11" s="14">
        <v>5.5811457914656998E-2</v>
      </c>
      <c r="U11" s="14">
        <v>6.7623792152847598E-2</v>
      </c>
      <c r="V11" s="14">
        <v>0.16755539032466199</v>
      </c>
      <c r="W11" s="14">
        <v>7.31777255311125E-2</v>
      </c>
      <c r="X11" s="14">
        <v>0.13218018004228299</v>
      </c>
      <c r="Y11" s="14">
        <v>0.13398854290449</v>
      </c>
      <c r="Z11" s="14">
        <v>0.20001913880697</v>
      </c>
      <c r="AA11" s="14">
        <v>0.14203519694647801</v>
      </c>
      <c r="AB11" s="14"/>
      <c r="AC11" s="14">
        <v>0.12175092844001301</v>
      </c>
      <c r="AD11" s="14">
        <v>9.2898235659638007E-2</v>
      </c>
      <c r="AE11" s="14">
        <v>0.14870883162955501</v>
      </c>
      <c r="AF11" s="14">
        <v>0.106374002460429</v>
      </c>
      <c r="AG11" s="14">
        <v>0.208883270860481</v>
      </c>
      <c r="AH11" s="14"/>
      <c r="AI11" s="14">
        <v>9.5100708088770705E-2</v>
      </c>
      <c r="AJ11" s="14">
        <v>0.151591547560713</v>
      </c>
      <c r="AK11" s="14">
        <v>0.11320209184421599</v>
      </c>
      <c r="AL11" s="14">
        <v>0.18007968948265499</v>
      </c>
      <c r="AM11" s="14">
        <v>2.6393942410940601E-2</v>
      </c>
      <c r="AN11" s="14">
        <v>7.0978158823471305E-2</v>
      </c>
      <c r="AO11" s="14"/>
      <c r="AP11" s="14">
        <v>0.113001748063273</v>
      </c>
      <c r="AQ11" s="14">
        <v>0.12468447020633799</v>
      </c>
      <c r="AR11" s="14"/>
      <c r="AS11" s="14">
        <v>0.113235697326961</v>
      </c>
      <c r="AT11" s="14">
        <v>0.123454005632554</v>
      </c>
      <c r="AU11" s="14" t="s">
        <v>88</v>
      </c>
      <c r="AV11" s="14"/>
      <c r="AW11" s="14">
        <v>0.11639357631236601</v>
      </c>
      <c r="AX11" s="14">
        <v>0.13095141947050201</v>
      </c>
      <c r="AY11" s="14"/>
      <c r="AZ11" s="14">
        <v>0.113377417106026</v>
      </c>
      <c r="BA11" s="14">
        <v>0.14364405212329001</v>
      </c>
    </row>
    <row r="12" spans="2:53" x14ac:dyDescent="0.35">
      <c r="B12" s="15" t="s">
        <v>79</v>
      </c>
      <c r="C12" s="14">
        <v>1.7672863618817401E-2</v>
      </c>
      <c r="D12" s="14">
        <v>1.46603070234478E-2</v>
      </c>
      <c r="E12" s="14">
        <v>2.07450567796694E-2</v>
      </c>
      <c r="F12" s="14"/>
      <c r="G12" s="14">
        <v>0.23794013084486901</v>
      </c>
      <c r="H12" s="14">
        <v>1.5381117472226299E-2</v>
      </c>
      <c r="I12" s="14">
        <v>1.63564641951781E-2</v>
      </c>
      <c r="J12" s="14">
        <v>1.50730723295082E-2</v>
      </c>
      <c r="K12" s="14">
        <v>0</v>
      </c>
      <c r="L12" s="14">
        <v>0</v>
      </c>
      <c r="M12" s="14"/>
      <c r="N12" s="14">
        <v>1.8170489559407199E-2</v>
      </c>
      <c r="O12" s="14">
        <v>7.3645260252634603E-3</v>
      </c>
      <c r="P12" s="14">
        <v>1.7689844440812799E-2</v>
      </c>
      <c r="Q12" s="14">
        <v>2.8327691070546002E-2</v>
      </c>
      <c r="R12" s="14"/>
      <c r="S12" s="14">
        <v>1.3238475114601699E-2</v>
      </c>
      <c r="T12" s="14">
        <v>3.0924445946952501E-2</v>
      </c>
      <c r="U12" s="14">
        <v>1.9071051495149101E-2</v>
      </c>
      <c r="V12" s="14">
        <v>3.6269284737814503E-2</v>
      </c>
      <c r="W12" s="14">
        <v>3.5202308513542901E-3</v>
      </c>
      <c r="X12" s="14">
        <v>2.8408255998606202E-2</v>
      </c>
      <c r="Y12" s="14">
        <v>1.28270264657489E-2</v>
      </c>
      <c r="Z12" s="14">
        <v>0</v>
      </c>
      <c r="AA12" s="14">
        <v>0</v>
      </c>
      <c r="AB12" s="14"/>
      <c r="AC12" s="14">
        <v>3.4736212969282303E-2</v>
      </c>
      <c r="AD12" s="14">
        <v>1.60918816778323E-2</v>
      </c>
      <c r="AE12" s="14">
        <v>1.34827364823041E-2</v>
      </c>
      <c r="AF12" s="14">
        <v>0</v>
      </c>
      <c r="AG12" s="14">
        <v>9.76059940404371E-3</v>
      </c>
      <c r="AH12" s="14"/>
      <c r="AI12" s="14">
        <v>7.8736688818010405E-3</v>
      </c>
      <c r="AJ12" s="14">
        <v>1.00090813993045E-2</v>
      </c>
      <c r="AK12" s="14">
        <v>3.15013338536968E-2</v>
      </c>
      <c r="AL12" s="14">
        <v>1.5554911605408599E-2</v>
      </c>
      <c r="AM12" s="14">
        <v>6.3675615423273005E-2</v>
      </c>
      <c r="AN12" s="14">
        <v>3.7034006573671602E-3</v>
      </c>
      <c r="AO12" s="14"/>
      <c r="AP12" s="14">
        <v>1.0683120210757201E-2</v>
      </c>
      <c r="AQ12" s="14">
        <v>2.5308599180970101E-2</v>
      </c>
      <c r="AR12" s="14"/>
      <c r="AS12" s="14">
        <v>1.34997350510322E-2</v>
      </c>
      <c r="AT12" s="14">
        <v>2.1471147657975E-2</v>
      </c>
      <c r="AU12" s="14" t="s">
        <v>88</v>
      </c>
      <c r="AV12" s="14"/>
      <c r="AW12" s="14">
        <v>1.34144247981979E-2</v>
      </c>
      <c r="AX12" s="14">
        <v>1.48111355454942E-2</v>
      </c>
      <c r="AY12" s="14"/>
      <c r="AZ12" s="14">
        <v>1.8253157994630499E-2</v>
      </c>
      <c r="BA12" s="14">
        <v>7.2021862395271596E-3</v>
      </c>
    </row>
    <row r="13" spans="2:53" x14ac:dyDescent="0.35">
      <c r="B13" s="15" t="s">
        <v>80</v>
      </c>
      <c r="C13" s="18">
        <v>6.1271515177057003E-3</v>
      </c>
      <c r="D13" s="18">
        <v>1.21353644617036E-2</v>
      </c>
      <c r="E13" s="18">
        <v>0</v>
      </c>
      <c r="F13" s="18"/>
      <c r="G13" s="18">
        <v>0.24426740314902501</v>
      </c>
      <c r="H13" s="18">
        <v>5.67528839604325E-3</v>
      </c>
      <c r="I13" s="18">
        <v>0</v>
      </c>
      <c r="J13" s="18">
        <v>1.22182066340001E-2</v>
      </c>
      <c r="K13" s="18">
        <v>0</v>
      </c>
      <c r="L13" s="18">
        <v>0</v>
      </c>
      <c r="M13" s="18"/>
      <c r="N13" s="18">
        <v>0</v>
      </c>
      <c r="O13" s="18">
        <v>1.21415697191464E-2</v>
      </c>
      <c r="P13" s="18">
        <v>0</v>
      </c>
      <c r="Q13" s="18">
        <v>1.0232171112268399E-2</v>
      </c>
      <c r="R13" s="18"/>
      <c r="S13" s="18">
        <v>1.09875454256444E-2</v>
      </c>
      <c r="T13" s="18">
        <v>1.5851513719504499E-2</v>
      </c>
      <c r="U13" s="18">
        <v>0</v>
      </c>
      <c r="V13" s="18">
        <v>0</v>
      </c>
      <c r="W13" s="18">
        <v>0</v>
      </c>
      <c r="X13" s="18">
        <v>1.5779061167417199E-2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1.5320504845714801E-2</v>
      </c>
      <c r="AG13" s="18">
        <v>0</v>
      </c>
      <c r="AH13" s="18"/>
      <c r="AI13" s="18">
        <v>7.3615944719239504E-3</v>
      </c>
      <c r="AJ13" s="18">
        <v>0</v>
      </c>
      <c r="AK13" s="18">
        <v>0</v>
      </c>
      <c r="AL13" s="18">
        <v>2.5644697715013001E-2</v>
      </c>
      <c r="AM13" s="18">
        <v>0</v>
      </c>
      <c r="AN13" s="18">
        <v>0</v>
      </c>
      <c r="AO13" s="18"/>
      <c r="AP13" s="18">
        <v>1.1735938854887299E-2</v>
      </c>
      <c r="AQ13" s="18">
        <v>0</v>
      </c>
      <c r="AR13" s="18"/>
      <c r="AS13" s="18">
        <v>3.9847675443296501E-3</v>
      </c>
      <c r="AT13" s="18">
        <v>8.07709931338077E-3</v>
      </c>
      <c r="AU13" s="18" t="s">
        <v>88</v>
      </c>
      <c r="AV13" s="18"/>
      <c r="AW13" s="18">
        <v>3.4750032274075099E-3</v>
      </c>
      <c r="AX13" s="18">
        <v>0</v>
      </c>
      <c r="AY13" s="18"/>
      <c r="AZ13" s="18">
        <v>5.8171294650090398E-3</v>
      </c>
      <c r="BA13" s="18">
        <v>0</v>
      </c>
    </row>
    <row r="14" spans="2:53" x14ac:dyDescent="0.35">
      <c r="B14" s="26" t="s">
        <v>81</v>
      </c>
      <c r="C14" s="27">
        <v>0.85761488255560103</v>
      </c>
      <c r="D14" s="27">
        <v>0.84821509852811405</v>
      </c>
      <c r="E14" s="27">
        <v>0.86720074469247099</v>
      </c>
      <c r="F14" s="27"/>
      <c r="G14" s="27">
        <v>0.222480512470702</v>
      </c>
      <c r="H14" s="27">
        <v>0.84648182726045695</v>
      </c>
      <c r="I14" s="27">
        <v>0.86876374999565997</v>
      </c>
      <c r="J14" s="27">
        <v>0.87086956915198499</v>
      </c>
      <c r="K14" s="27">
        <v>0.89834762303292803</v>
      </c>
      <c r="L14" s="27">
        <v>1</v>
      </c>
      <c r="M14" s="27"/>
      <c r="N14" s="27">
        <v>0.89700050762967598</v>
      </c>
      <c r="O14" s="27">
        <v>0.83602219241507103</v>
      </c>
      <c r="P14" s="27">
        <v>0.85766599150385503</v>
      </c>
      <c r="Q14" s="27">
        <v>0.84176721962143997</v>
      </c>
      <c r="R14" s="27"/>
      <c r="S14" s="27">
        <v>0.82985804930818496</v>
      </c>
      <c r="T14" s="27">
        <v>0.897412582418886</v>
      </c>
      <c r="U14" s="27">
        <v>0.91330515635200304</v>
      </c>
      <c r="V14" s="27">
        <v>0.79617532493752297</v>
      </c>
      <c r="W14" s="27">
        <v>0.92330204361753299</v>
      </c>
      <c r="X14" s="27">
        <v>0.82363250279169398</v>
      </c>
      <c r="Y14" s="27">
        <v>0.85318443062976101</v>
      </c>
      <c r="Z14" s="27">
        <v>0.79998086119303002</v>
      </c>
      <c r="AA14" s="27">
        <v>0.85796480305352196</v>
      </c>
      <c r="AB14" s="27"/>
      <c r="AC14" s="27">
        <v>0.84351285859070502</v>
      </c>
      <c r="AD14" s="27">
        <v>0.89100988266253001</v>
      </c>
      <c r="AE14" s="27">
        <v>0.83780843188814003</v>
      </c>
      <c r="AF14" s="27">
        <v>0.87830549269385605</v>
      </c>
      <c r="AG14" s="27">
        <v>0.78135612973547497</v>
      </c>
      <c r="AH14" s="27"/>
      <c r="AI14" s="27">
        <v>0.88966402855750404</v>
      </c>
      <c r="AJ14" s="27">
        <v>0.83839937103998297</v>
      </c>
      <c r="AK14" s="27">
        <v>0.85529657430208805</v>
      </c>
      <c r="AL14" s="27">
        <v>0.77872070119692305</v>
      </c>
      <c r="AM14" s="27">
        <v>0.909930442165786</v>
      </c>
      <c r="AN14" s="27">
        <v>0.92531844051916201</v>
      </c>
      <c r="AO14" s="27"/>
      <c r="AP14" s="27">
        <v>0.86457919287108298</v>
      </c>
      <c r="AQ14" s="27">
        <v>0.85000693061269095</v>
      </c>
      <c r="AR14" s="27"/>
      <c r="AS14" s="27">
        <v>0.86927980007767702</v>
      </c>
      <c r="AT14" s="27">
        <v>0.84699774739609002</v>
      </c>
      <c r="AU14" s="27" t="s">
        <v>88</v>
      </c>
      <c r="AV14" s="27"/>
      <c r="AW14" s="27">
        <v>0.86671699566202798</v>
      </c>
      <c r="AX14" s="27">
        <v>0.854237444984004</v>
      </c>
      <c r="AY14" s="27"/>
      <c r="AZ14" s="27">
        <v>0.86255229543433498</v>
      </c>
      <c r="BA14" s="27">
        <v>0.84915376163718204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BA19"/>
  <sheetViews>
    <sheetView showGridLines="0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0.33525827087981103</v>
      </c>
      <c r="D9" s="14">
        <v>0.31416500966414002</v>
      </c>
      <c r="E9" s="14">
        <v>0.35676909426034298</v>
      </c>
      <c r="F9" s="14"/>
      <c r="G9" s="14">
        <v>6.3536252325513298E-2</v>
      </c>
      <c r="H9" s="14">
        <v>0.35718009181063798</v>
      </c>
      <c r="I9" s="14">
        <v>0.37116535873309497</v>
      </c>
      <c r="J9" s="14">
        <v>0.25678556134980202</v>
      </c>
      <c r="K9" s="14">
        <v>7.0037208011000801E-2</v>
      </c>
      <c r="L9" s="14">
        <v>0.34819201228478702</v>
      </c>
      <c r="M9" s="14"/>
      <c r="N9" s="14">
        <v>0.336705608110419</v>
      </c>
      <c r="O9" s="14">
        <v>0.32095595216273498</v>
      </c>
      <c r="P9" s="14">
        <v>0.35566441579902103</v>
      </c>
      <c r="Q9" s="14">
        <v>0.33563046285944798</v>
      </c>
      <c r="R9" s="14"/>
      <c r="S9" s="14">
        <v>0.42047496635718301</v>
      </c>
      <c r="T9" s="14">
        <v>0.24388868470392</v>
      </c>
      <c r="U9" s="14">
        <v>0.30705040424105601</v>
      </c>
      <c r="V9" s="14">
        <v>0.35874152912734603</v>
      </c>
      <c r="W9" s="14">
        <v>0.29458478676710398</v>
      </c>
      <c r="X9" s="14">
        <v>0.31487046187561701</v>
      </c>
      <c r="Y9" s="14">
        <v>0.289563851951884</v>
      </c>
      <c r="Z9" s="14">
        <v>0.26916997651346097</v>
      </c>
      <c r="AA9" s="14">
        <v>0.44047976323638599</v>
      </c>
      <c r="AB9" s="14"/>
      <c r="AC9" s="14">
        <v>0.26647539165105599</v>
      </c>
      <c r="AD9" s="14">
        <v>0.307768827454102</v>
      </c>
      <c r="AE9" s="14">
        <v>0.34252830941559698</v>
      </c>
      <c r="AF9" s="14">
        <v>0.437510053436792</v>
      </c>
      <c r="AG9" s="14">
        <v>0.436328925978406</v>
      </c>
      <c r="AH9" s="14"/>
      <c r="AI9" s="14">
        <v>0.39032177658258799</v>
      </c>
      <c r="AJ9" s="14">
        <v>0.30784332340034698</v>
      </c>
      <c r="AK9" s="14">
        <v>0.27818238760469</v>
      </c>
      <c r="AL9" s="14">
        <v>0.22696361120302999</v>
      </c>
      <c r="AM9" s="14">
        <v>0.45840707221642202</v>
      </c>
      <c r="AN9" s="14">
        <v>0.26713026097375803</v>
      </c>
      <c r="AO9" s="14"/>
      <c r="AP9" s="14">
        <v>0.32739377782092199</v>
      </c>
      <c r="AQ9" s="14">
        <v>0.34384960046407298</v>
      </c>
      <c r="AR9" s="14"/>
      <c r="AS9" s="14">
        <v>0.34941385420991999</v>
      </c>
      <c r="AT9" s="14">
        <v>0.322374189942843</v>
      </c>
      <c r="AU9" s="14" t="s">
        <v>88</v>
      </c>
      <c r="AV9" s="14"/>
      <c r="AW9" s="14">
        <v>0.30317814203791799</v>
      </c>
      <c r="AX9" s="14">
        <v>0.49378058456742102</v>
      </c>
      <c r="AY9" s="14"/>
      <c r="AZ9" s="14">
        <v>0.35240418684487501</v>
      </c>
      <c r="BA9" s="14">
        <v>0.27325815938572501</v>
      </c>
    </row>
    <row r="10" spans="2:53" x14ac:dyDescent="0.35">
      <c r="B10" s="15" t="s">
        <v>77</v>
      </c>
      <c r="C10" s="14">
        <v>0.44795028057882502</v>
      </c>
      <c r="D10" s="14">
        <v>0.44444654419193602</v>
      </c>
      <c r="E10" s="14">
        <v>0.451523376925553</v>
      </c>
      <c r="F10" s="14"/>
      <c r="G10" s="14">
        <v>0.53188842966732597</v>
      </c>
      <c r="H10" s="14">
        <v>0.42435255619858298</v>
      </c>
      <c r="I10" s="14">
        <v>0.43111440695228398</v>
      </c>
      <c r="J10" s="14">
        <v>0.465697193121759</v>
      </c>
      <c r="K10" s="14">
        <v>0.74057355968645</v>
      </c>
      <c r="L10" s="14">
        <v>0.65180798771521298</v>
      </c>
      <c r="M10" s="14"/>
      <c r="N10" s="14">
        <v>0.47313589037415299</v>
      </c>
      <c r="O10" s="14">
        <v>0.39746902840207599</v>
      </c>
      <c r="P10" s="14">
        <v>0.44017041887241498</v>
      </c>
      <c r="Q10" s="14">
        <v>0.48071906990656399</v>
      </c>
      <c r="R10" s="14"/>
      <c r="S10" s="14">
        <v>0.37339745658930201</v>
      </c>
      <c r="T10" s="14">
        <v>0.50352028100396296</v>
      </c>
      <c r="U10" s="14">
        <v>0.55553025630724295</v>
      </c>
      <c r="V10" s="14">
        <v>0.39419090887423203</v>
      </c>
      <c r="W10" s="14">
        <v>0.35547568815063302</v>
      </c>
      <c r="X10" s="14">
        <v>0.548476275970467</v>
      </c>
      <c r="Y10" s="14">
        <v>0.47990955542040298</v>
      </c>
      <c r="Z10" s="14">
        <v>0.407060486602278</v>
      </c>
      <c r="AA10" s="14">
        <v>0.40302004097646699</v>
      </c>
      <c r="AB10" s="14"/>
      <c r="AC10" s="14">
        <v>0.45693322961809102</v>
      </c>
      <c r="AD10" s="14">
        <v>0.49948557825807099</v>
      </c>
      <c r="AE10" s="14">
        <v>0.43506394626584899</v>
      </c>
      <c r="AF10" s="14">
        <v>0.38105898974771402</v>
      </c>
      <c r="AG10" s="14">
        <v>0.37394605612777698</v>
      </c>
      <c r="AH10" s="14"/>
      <c r="AI10" s="14">
        <v>0.42265651055311598</v>
      </c>
      <c r="AJ10" s="14">
        <v>0.49226000432994099</v>
      </c>
      <c r="AK10" s="14">
        <v>0.47045388496915402</v>
      </c>
      <c r="AL10" s="14">
        <v>0.43319968939200598</v>
      </c>
      <c r="AM10" s="14">
        <v>0.44892985732953999</v>
      </c>
      <c r="AN10" s="14">
        <v>0.57553640142639295</v>
      </c>
      <c r="AO10" s="14"/>
      <c r="AP10" s="14">
        <v>0.45731665221138301</v>
      </c>
      <c r="AQ10" s="14">
        <v>0.437718268788436</v>
      </c>
      <c r="AR10" s="14"/>
      <c r="AS10" s="14">
        <v>0.42915497333268399</v>
      </c>
      <c r="AT10" s="14">
        <v>0.46505732973019298</v>
      </c>
      <c r="AU10" s="14" t="s">
        <v>88</v>
      </c>
      <c r="AV10" s="14"/>
      <c r="AW10" s="14">
        <v>0.459228489486258</v>
      </c>
      <c r="AX10" s="14">
        <v>0.39323351997876399</v>
      </c>
      <c r="AY10" s="14"/>
      <c r="AZ10" s="14">
        <v>0.44436006971102898</v>
      </c>
      <c r="BA10" s="14">
        <v>0.46487443122099598</v>
      </c>
    </row>
    <row r="11" spans="2:53" x14ac:dyDescent="0.35">
      <c r="B11" s="15" t="s">
        <v>78</v>
      </c>
      <c r="C11" s="14">
        <v>0.18214899534557599</v>
      </c>
      <c r="D11" s="14">
        <v>0.20673756008254299</v>
      </c>
      <c r="E11" s="14">
        <v>0.157073675420902</v>
      </c>
      <c r="F11" s="14"/>
      <c r="G11" s="14">
        <v>0.258220836571526</v>
      </c>
      <c r="H11" s="14">
        <v>0.18084813130799199</v>
      </c>
      <c r="I11" s="14">
        <v>0.17169936453836601</v>
      </c>
      <c r="J11" s="14">
        <v>0.21791431162973901</v>
      </c>
      <c r="K11" s="14">
        <v>0.189389232302549</v>
      </c>
      <c r="L11" s="14">
        <v>0</v>
      </c>
      <c r="M11" s="14"/>
      <c r="N11" s="14">
        <v>0.165671713653751</v>
      </c>
      <c r="O11" s="14">
        <v>0.243685508007185</v>
      </c>
      <c r="P11" s="14">
        <v>0.15564370929735499</v>
      </c>
      <c r="Q11" s="14">
        <v>0.15281410619788</v>
      </c>
      <c r="R11" s="14"/>
      <c r="S11" s="14">
        <v>0.15309710170535601</v>
      </c>
      <c r="T11" s="14">
        <v>0.205334902807081</v>
      </c>
      <c r="U11" s="14">
        <v>0.10308787040638601</v>
      </c>
      <c r="V11" s="14">
        <v>0.19426445192660799</v>
      </c>
      <c r="W11" s="14">
        <v>0.319628000555637</v>
      </c>
      <c r="X11" s="14">
        <v>8.4439867592633597E-2</v>
      </c>
      <c r="Y11" s="14">
        <v>0.230526592627713</v>
      </c>
      <c r="Z11" s="14">
        <v>0.30721751523566498</v>
      </c>
      <c r="AA11" s="14">
        <v>0.156500195787147</v>
      </c>
      <c r="AB11" s="14"/>
      <c r="AC11" s="14">
        <v>0.25411343848219098</v>
      </c>
      <c r="AD11" s="14">
        <v>0.167933270774827</v>
      </c>
      <c r="AE11" s="14">
        <v>0.199151574917452</v>
      </c>
      <c r="AF11" s="14">
        <v>0.141431989539435</v>
      </c>
      <c r="AG11" s="14">
        <v>0.13182765733707699</v>
      </c>
      <c r="AH11" s="14"/>
      <c r="AI11" s="14">
        <v>0.15955916298973</v>
      </c>
      <c r="AJ11" s="14">
        <v>0.178495431017137</v>
      </c>
      <c r="AK11" s="14">
        <v>0.21302425799525199</v>
      </c>
      <c r="AL11" s="14">
        <v>0.299661491721816</v>
      </c>
      <c r="AM11" s="14">
        <v>6.6269128043097494E-2</v>
      </c>
      <c r="AN11" s="14">
        <v>0.130975795128217</v>
      </c>
      <c r="AO11" s="14"/>
      <c r="AP11" s="14">
        <v>0.173903240683628</v>
      </c>
      <c r="AQ11" s="14">
        <v>0.19115682273397799</v>
      </c>
      <c r="AR11" s="14"/>
      <c r="AS11" s="14">
        <v>0.17740161826305001</v>
      </c>
      <c r="AT11" s="14">
        <v>0.186469946954789</v>
      </c>
      <c r="AU11" s="14" t="s">
        <v>88</v>
      </c>
      <c r="AV11" s="14"/>
      <c r="AW11" s="14">
        <v>0.20257700878108101</v>
      </c>
      <c r="AX11" s="14">
        <v>9.9576974737480395E-2</v>
      </c>
      <c r="AY11" s="14"/>
      <c r="AZ11" s="14">
        <v>0.17049893393870699</v>
      </c>
      <c r="BA11" s="14">
        <v>0.234894960858792</v>
      </c>
    </row>
    <row r="12" spans="2:53" x14ac:dyDescent="0.35">
      <c r="B12" s="15" t="s">
        <v>79</v>
      </c>
      <c r="C12" s="14">
        <v>3.1210314410186998E-2</v>
      </c>
      <c r="D12" s="14">
        <v>2.7853232220755999E-2</v>
      </c>
      <c r="E12" s="14">
        <v>3.46338533932024E-2</v>
      </c>
      <c r="F12" s="14"/>
      <c r="G12" s="14">
        <v>0.14635448143563501</v>
      </c>
      <c r="H12" s="14">
        <v>3.1943932286744102E-2</v>
      </c>
      <c r="I12" s="14">
        <v>2.6020869776254701E-2</v>
      </c>
      <c r="J12" s="14">
        <v>4.7384727264700097E-2</v>
      </c>
      <c r="K12" s="14">
        <v>0</v>
      </c>
      <c r="L12" s="14">
        <v>0</v>
      </c>
      <c r="M12" s="14"/>
      <c r="N12" s="14">
        <v>2.4486787861677399E-2</v>
      </c>
      <c r="O12" s="14">
        <v>2.5747941708857799E-2</v>
      </c>
      <c r="P12" s="14">
        <v>4.8521456031209102E-2</v>
      </c>
      <c r="Q12" s="14">
        <v>3.0836361036108598E-2</v>
      </c>
      <c r="R12" s="14"/>
      <c r="S12" s="14">
        <v>4.2042929922514301E-2</v>
      </c>
      <c r="T12" s="14">
        <v>4.7256131485035602E-2</v>
      </c>
      <c r="U12" s="14">
        <v>3.4331469045315498E-2</v>
      </c>
      <c r="V12" s="14">
        <v>5.2803110071813902E-2</v>
      </c>
      <c r="W12" s="14">
        <v>3.0311524526626402E-2</v>
      </c>
      <c r="X12" s="14">
        <v>3.6434333393864399E-2</v>
      </c>
      <c r="Y12" s="14">
        <v>0</v>
      </c>
      <c r="Z12" s="14">
        <v>1.65520216485966E-2</v>
      </c>
      <c r="AA12" s="14">
        <v>0</v>
      </c>
      <c r="AB12" s="14"/>
      <c r="AC12" s="14">
        <v>2.2477940248661999E-2</v>
      </c>
      <c r="AD12" s="14">
        <v>2.48123235130004E-2</v>
      </c>
      <c r="AE12" s="14">
        <v>2.32561694011021E-2</v>
      </c>
      <c r="AF12" s="14">
        <v>3.9998967276058998E-2</v>
      </c>
      <c r="AG12" s="14">
        <v>5.7897360556740697E-2</v>
      </c>
      <c r="AH12" s="14"/>
      <c r="AI12" s="14">
        <v>2.7462549874565201E-2</v>
      </c>
      <c r="AJ12" s="14">
        <v>2.1401241252575001E-2</v>
      </c>
      <c r="AK12" s="14">
        <v>3.8339469430904001E-2</v>
      </c>
      <c r="AL12" s="14">
        <v>1.4530509968135199E-2</v>
      </c>
      <c r="AM12" s="14">
        <v>2.6393942410940601E-2</v>
      </c>
      <c r="AN12" s="14">
        <v>2.6357542471631999E-2</v>
      </c>
      <c r="AO12" s="14"/>
      <c r="AP12" s="14">
        <v>3.48124146660099E-2</v>
      </c>
      <c r="AQ12" s="14">
        <v>2.7275308013513001E-2</v>
      </c>
      <c r="AR12" s="14"/>
      <c r="AS12" s="14">
        <v>4.0044786650016699E-2</v>
      </c>
      <c r="AT12" s="14">
        <v>2.31693843602566E-2</v>
      </c>
      <c r="AU12" s="14" t="s">
        <v>88</v>
      </c>
      <c r="AV12" s="14"/>
      <c r="AW12" s="14">
        <v>3.5016359694743399E-2</v>
      </c>
      <c r="AX12" s="14">
        <v>1.3408920716334399E-2</v>
      </c>
      <c r="AY12" s="14"/>
      <c r="AZ12" s="14">
        <v>3.03324437314746E-2</v>
      </c>
      <c r="BA12" s="14">
        <v>2.69724485344866E-2</v>
      </c>
    </row>
    <row r="13" spans="2:53" x14ac:dyDescent="0.35">
      <c r="B13" s="15" t="s">
        <v>80</v>
      </c>
      <c r="C13" s="18">
        <v>3.43213878560099E-3</v>
      </c>
      <c r="D13" s="18">
        <v>6.7976538406239297E-3</v>
      </c>
      <c r="E13" s="18">
        <v>0</v>
      </c>
      <c r="F13" s="18"/>
      <c r="G13" s="18">
        <v>0</v>
      </c>
      <c r="H13" s="18">
        <v>5.67528839604325E-3</v>
      </c>
      <c r="I13" s="18">
        <v>0</v>
      </c>
      <c r="J13" s="18">
        <v>1.22182066340001E-2</v>
      </c>
      <c r="K13" s="18">
        <v>0</v>
      </c>
      <c r="L13" s="18">
        <v>0</v>
      </c>
      <c r="M13" s="18"/>
      <c r="N13" s="18">
        <v>0</v>
      </c>
      <c r="O13" s="18">
        <v>1.21415697191464E-2</v>
      </c>
      <c r="P13" s="18">
        <v>0</v>
      </c>
      <c r="Q13" s="18">
        <v>0</v>
      </c>
      <c r="R13" s="18"/>
      <c r="S13" s="18">
        <v>1.09875454256444E-2</v>
      </c>
      <c r="T13" s="18">
        <v>0</v>
      </c>
      <c r="U13" s="18">
        <v>0</v>
      </c>
      <c r="V13" s="18">
        <v>0</v>
      </c>
      <c r="W13" s="18">
        <v>0</v>
      </c>
      <c r="X13" s="18">
        <v>1.5779061167417199E-2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2.5644697715013001E-2</v>
      </c>
      <c r="AM13" s="18">
        <v>0</v>
      </c>
      <c r="AN13" s="18">
        <v>0</v>
      </c>
      <c r="AO13" s="18"/>
      <c r="AP13" s="18">
        <v>6.57391461805777E-3</v>
      </c>
      <c r="AQ13" s="18">
        <v>0</v>
      </c>
      <c r="AR13" s="18"/>
      <c r="AS13" s="18">
        <v>3.9847675443296501E-3</v>
      </c>
      <c r="AT13" s="18">
        <v>2.9291490119184201E-3</v>
      </c>
      <c r="AU13" s="18" t="s">
        <v>88</v>
      </c>
      <c r="AV13" s="18"/>
      <c r="AW13" s="18">
        <v>0</v>
      </c>
      <c r="AX13" s="18">
        <v>0</v>
      </c>
      <c r="AY13" s="18"/>
      <c r="AZ13" s="18">
        <v>2.40436577391386E-3</v>
      </c>
      <c r="BA13" s="18">
        <v>0</v>
      </c>
    </row>
    <row r="14" spans="2:53" x14ac:dyDescent="0.35">
      <c r="B14" s="26" t="s">
        <v>81</v>
      </c>
      <c r="C14" s="27">
        <v>0.78320855145863599</v>
      </c>
      <c r="D14" s="27">
        <v>0.75861155385607704</v>
      </c>
      <c r="E14" s="27">
        <v>0.80829247118589498</v>
      </c>
      <c r="F14" s="27"/>
      <c r="G14" s="27">
        <v>0.59542468199283904</v>
      </c>
      <c r="H14" s="27">
        <v>0.78153264800922095</v>
      </c>
      <c r="I14" s="27">
        <v>0.80227976568537995</v>
      </c>
      <c r="J14" s="27">
        <v>0.72248275447156096</v>
      </c>
      <c r="K14" s="27">
        <v>0.81061076769745</v>
      </c>
      <c r="L14" s="27">
        <v>1</v>
      </c>
      <c r="M14" s="27"/>
      <c r="N14" s="27">
        <v>0.80984149848457199</v>
      </c>
      <c r="O14" s="27">
        <v>0.71842498056481097</v>
      </c>
      <c r="P14" s="27">
        <v>0.79583483467143601</v>
      </c>
      <c r="Q14" s="27">
        <v>0.81634953276601196</v>
      </c>
      <c r="R14" s="27"/>
      <c r="S14" s="27">
        <v>0.79387242294648497</v>
      </c>
      <c r="T14" s="27">
        <v>0.74740896570788296</v>
      </c>
      <c r="U14" s="27">
        <v>0.86258066054829796</v>
      </c>
      <c r="V14" s="27">
        <v>0.75293243800157805</v>
      </c>
      <c r="W14" s="27">
        <v>0.650060474917737</v>
      </c>
      <c r="X14" s="27">
        <v>0.86334673784608496</v>
      </c>
      <c r="Y14" s="27">
        <v>0.76947340737228698</v>
      </c>
      <c r="Z14" s="27">
        <v>0.67623046311573798</v>
      </c>
      <c r="AA14" s="27">
        <v>0.84349980421285298</v>
      </c>
      <c r="AB14" s="27"/>
      <c r="AC14" s="27">
        <v>0.72340862126914596</v>
      </c>
      <c r="AD14" s="27">
        <v>0.807254405712173</v>
      </c>
      <c r="AE14" s="27">
        <v>0.77759225568144597</v>
      </c>
      <c r="AF14" s="27">
        <v>0.81856904318450696</v>
      </c>
      <c r="AG14" s="27">
        <v>0.81027498210618198</v>
      </c>
      <c r="AH14" s="27"/>
      <c r="AI14" s="27">
        <v>0.81297828713570397</v>
      </c>
      <c r="AJ14" s="27">
        <v>0.80010332773028803</v>
      </c>
      <c r="AK14" s="27">
        <v>0.74863627257384402</v>
      </c>
      <c r="AL14" s="27">
        <v>0.66016330059503603</v>
      </c>
      <c r="AM14" s="27">
        <v>0.90733692954596201</v>
      </c>
      <c r="AN14" s="27">
        <v>0.84266666240015098</v>
      </c>
      <c r="AO14" s="27"/>
      <c r="AP14" s="27">
        <v>0.78471043003230501</v>
      </c>
      <c r="AQ14" s="27">
        <v>0.78156786925250898</v>
      </c>
      <c r="AR14" s="27"/>
      <c r="AS14" s="27">
        <v>0.77856882754260404</v>
      </c>
      <c r="AT14" s="27">
        <v>0.78743151967303604</v>
      </c>
      <c r="AU14" s="27" t="s">
        <v>88</v>
      </c>
      <c r="AV14" s="27"/>
      <c r="AW14" s="27">
        <v>0.76240663152417498</v>
      </c>
      <c r="AX14" s="27">
        <v>0.88701410454618501</v>
      </c>
      <c r="AY14" s="27"/>
      <c r="AZ14" s="27">
        <v>0.79676425655590499</v>
      </c>
      <c r="BA14" s="27">
        <v>0.73813259060672098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BA19"/>
  <sheetViews>
    <sheetView showGridLines="0" topLeftCell="A6" workbookViewId="0">
      <pane xSplit="2" topLeftCell="C1" activePane="topRight" state="frozen"/>
      <selection activeCell="AQ11" sqref="AQ11"/>
      <selection pane="topRight" activeCell="AQ11" sqref="AQ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746</v>
      </c>
      <c r="D7" s="10">
        <v>309</v>
      </c>
      <c r="E7" s="10">
        <v>437</v>
      </c>
      <c r="F7" s="10"/>
      <c r="G7" s="10">
        <v>8</v>
      </c>
      <c r="H7" s="10">
        <v>227</v>
      </c>
      <c r="I7" s="10">
        <v>376</v>
      </c>
      <c r="J7" s="10">
        <v>113</v>
      </c>
      <c r="K7" s="10">
        <v>20</v>
      </c>
      <c r="L7" s="10">
        <v>2</v>
      </c>
      <c r="M7" s="10"/>
      <c r="N7" s="10">
        <v>312</v>
      </c>
      <c r="O7" s="10">
        <v>196</v>
      </c>
      <c r="P7" s="10">
        <v>103</v>
      </c>
      <c r="Q7" s="10">
        <v>134</v>
      </c>
      <c r="R7" s="10"/>
      <c r="S7" s="10">
        <v>151</v>
      </c>
      <c r="T7" s="10">
        <v>118</v>
      </c>
      <c r="U7" s="10">
        <v>61</v>
      </c>
      <c r="V7" s="10">
        <v>66</v>
      </c>
      <c r="W7" s="10">
        <v>56</v>
      </c>
      <c r="X7" s="10">
        <v>80</v>
      </c>
      <c r="Y7" s="10">
        <v>75</v>
      </c>
      <c r="Z7" s="10">
        <v>36</v>
      </c>
      <c r="AA7" s="10">
        <v>103</v>
      </c>
      <c r="AB7" s="10"/>
      <c r="AC7" s="10">
        <v>77</v>
      </c>
      <c r="AD7" s="10">
        <v>142</v>
      </c>
      <c r="AE7" s="10">
        <v>254</v>
      </c>
      <c r="AF7" s="10">
        <v>160</v>
      </c>
      <c r="AG7" s="10">
        <v>39</v>
      </c>
      <c r="AH7" s="10"/>
      <c r="AI7" s="10">
        <v>284</v>
      </c>
      <c r="AJ7" s="10">
        <v>136</v>
      </c>
      <c r="AK7" s="10">
        <v>66</v>
      </c>
      <c r="AL7" s="10">
        <v>97</v>
      </c>
      <c r="AM7" s="10">
        <v>38</v>
      </c>
      <c r="AN7" s="10">
        <v>54</v>
      </c>
      <c r="AO7" s="10"/>
      <c r="AP7" s="10">
        <v>387</v>
      </c>
      <c r="AQ7" s="10">
        <v>359</v>
      </c>
      <c r="AR7" s="10"/>
      <c r="AS7" s="10">
        <v>363</v>
      </c>
      <c r="AT7" s="10">
        <v>383</v>
      </c>
      <c r="AU7" s="10" t="s">
        <v>87</v>
      </c>
      <c r="AV7" s="10"/>
      <c r="AW7" s="10">
        <v>545</v>
      </c>
      <c r="AX7" s="10">
        <v>173</v>
      </c>
      <c r="AY7" s="10"/>
      <c r="AZ7" s="10">
        <v>596</v>
      </c>
      <c r="BA7" s="10">
        <v>146</v>
      </c>
    </row>
    <row r="8" spans="2:53" ht="30" customHeight="1" x14ac:dyDescent="0.35">
      <c r="B8" s="11" t="s">
        <v>19</v>
      </c>
      <c r="C8" s="11">
        <v>745</v>
      </c>
      <c r="D8" s="11">
        <v>376</v>
      </c>
      <c r="E8" s="11">
        <v>369</v>
      </c>
      <c r="F8" s="11"/>
      <c r="G8" s="11">
        <v>8</v>
      </c>
      <c r="H8" s="11">
        <v>201</v>
      </c>
      <c r="I8" s="11">
        <v>390</v>
      </c>
      <c r="J8" s="11">
        <v>116</v>
      </c>
      <c r="K8" s="11">
        <v>27</v>
      </c>
      <c r="L8" s="11">
        <v>3</v>
      </c>
      <c r="M8" s="11"/>
      <c r="N8" s="11">
        <v>191</v>
      </c>
      <c r="O8" s="11">
        <v>211</v>
      </c>
      <c r="P8" s="11">
        <v>147</v>
      </c>
      <c r="Q8" s="11">
        <v>196</v>
      </c>
      <c r="R8" s="11"/>
      <c r="S8" s="11">
        <v>129</v>
      </c>
      <c r="T8" s="11">
        <v>127</v>
      </c>
      <c r="U8" s="11">
        <v>78</v>
      </c>
      <c r="V8" s="11">
        <v>80</v>
      </c>
      <c r="W8" s="11">
        <v>58</v>
      </c>
      <c r="X8" s="11">
        <v>72</v>
      </c>
      <c r="Y8" s="11">
        <v>70</v>
      </c>
      <c r="Z8" s="11">
        <v>34</v>
      </c>
      <c r="AA8" s="11">
        <v>97</v>
      </c>
      <c r="AB8" s="11"/>
      <c r="AC8" s="11">
        <v>104</v>
      </c>
      <c r="AD8" s="11">
        <v>165</v>
      </c>
      <c r="AE8" s="11">
        <v>238</v>
      </c>
      <c r="AF8" s="11">
        <v>131</v>
      </c>
      <c r="AG8" s="11">
        <v>21</v>
      </c>
      <c r="AH8" s="11"/>
      <c r="AI8" s="11">
        <v>273</v>
      </c>
      <c r="AJ8" s="11">
        <v>131</v>
      </c>
      <c r="AK8" s="11">
        <v>64</v>
      </c>
      <c r="AL8" s="11">
        <v>100</v>
      </c>
      <c r="AM8" s="11">
        <v>40</v>
      </c>
      <c r="AN8" s="11">
        <v>55</v>
      </c>
      <c r="AO8" s="11"/>
      <c r="AP8" s="11">
        <v>389</v>
      </c>
      <c r="AQ8" s="11">
        <v>356</v>
      </c>
      <c r="AR8" s="11"/>
      <c r="AS8" s="11">
        <v>355</v>
      </c>
      <c r="AT8" s="11">
        <v>390</v>
      </c>
      <c r="AU8" s="11" t="s">
        <v>87</v>
      </c>
      <c r="AV8" s="11"/>
      <c r="AW8" s="11">
        <v>578</v>
      </c>
      <c r="AX8" s="11">
        <v>132</v>
      </c>
      <c r="AY8" s="11"/>
      <c r="AZ8" s="11">
        <v>589</v>
      </c>
      <c r="BA8" s="11">
        <v>151</v>
      </c>
    </row>
    <row r="9" spans="2:53" x14ac:dyDescent="0.35">
      <c r="B9" s="15" t="s">
        <v>76</v>
      </c>
      <c r="C9" s="14">
        <v>0.30406199846753301</v>
      </c>
      <c r="D9" s="14">
        <v>0.27685259753334701</v>
      </c>
      <c r="E9" s="14">
        <v>0.33181003665853998</v>
      </c>
      <c r="F9" s="14"/>
      <c r="G9" s="14">
        <v>0</v>
      </c>
      <c r="H9" s="14">
        <v>0.280862974698316</v>
      </c>
      <c r="I9" s="14">
        <v>0.319597550128841</v>
      </c>
      <c r="J9" s="14">
        <v>0.33014929181901698</v>
      </c>
      <c r="K9" s="14">
        <v>0.188532767312417</v>
      </c>
      <c r="L9" s="14">
        <v>0.65180798771521298</v>
      </c>
      <c r="M9" s="14"/>
      <c r="N9" s="14">
        <v>0.36743284977062302</v>
      </c>
      <c r="O9" s="14">
        <v>0.24750390668815</v>
      </c>
      <c r="P9" s="14">
        <v>0.30572885495290297</v>
      </c>
      <c r="Q9" s="14">
        <v>0.30344232431060197</v>
      </c>
      <c r="R9" s="14"/>
      <c r="S9" s="14">
        <v>0.38223476546185797</v>
      </c>
      <c r="T9" s="14">
        <v>0.30790734751592402</v>
      </c>
      <c r="U9" s="14">
        <v>0.173714558022799</v>
      </c>
      <c r="V9" s="14">
        <v>0.27676278678910399</v>
      </c>
      <c r="W9" s="14">
        <v>0.36237823531496799</v>
      </c>
      <c r="X9" s="14">
        <v>0.322976205671762</v>
      </c>
      <c r="Y9" s="14">
        <v>0.26012963587898402</v>
      </c>
      <c r="Z9" s="14">
        <v>0.30802808548689498</v>
      </c>
      <c r="AA9" s="14">
        <v>0.30456427087782401</v>
      </c>
      <c r="AB9" s="14"/>
      <c r="AC9" s="14">
        <v>0.21930643542116199</v>
      </c>
      <c r="AD9" s="14">
        <v>0.25596260878488603</v>
      </c>
      <c r="AE9" s="14">
        <v>0.37001933371687201</v>
      </c>
      <c r="AF9" s="14">
        <v>0.37354162843379501</v>
      </c>
      <c r="AG9" s="14">
        <v>0.39323367255381297</v>
      </c>
      <c r="AH9" s="14"/>
      <c r="AI9" s="14">
        <v>0.33230767568912301</v>
      </c>
      <c r="AJ9" s="14">
        <v>0.32182296628801299</v>
      </c>
      <c r="AK9" s="14">
        <v>0.32912911217241803</v>
      </c>
      <c r="AL9" s="14">
        <v>0.18236204660066499</v>
      </c>
      <c r="AM9" s="14">
        <v>0.35718975249610002</v>
      </c>
      <c r="AN9" s="14">
        <v>0.32812675985836998</v>
      </c>
      <c r="AO9" s="14"/>
      <c r="AP9" s="14">
        <v>0.29571702047138099</v>
      </c>
      <c r="AQ9" s="14">
        <v>0.31317821941165602</v>
      </c>
      <c r="AR9" s="14"/>
      <c r="AS9" s="14">
        <v>0.27843258361331202</v>
      </c>
      <c r="AT9" s="14">
        <v>0.32738929255696497</v>
      </c>
      <c r="AU9" s="14" t="s">
        <v>88</v>
      </c>
      <c r="AV9" s="14"/>
      <c r="AW9" s="14">
        <v>0.28123812521773101</v>
      </c>
      <c r="AX9" s="14">
        <v>0.406985601365699</v>
      </c>
      <c r="AY9" s="14"/>
      <c r="AZ9" s="14">
        <v>0.30958729194243301</v>
      </c>
      <c r="BA9" s="14">
        <v>0.27124530248705297</v>
      </c>
    </row>
    <row r="10" spans="2:53" x14ac:dyDescent="0.35">
      <c r="B10" s="15" t="s">
        <v>77</v>
      </c>
      <c r="C10" s="14">
        <v>0.48454615114062199</v>
      </c>
      <c r="D10" s="14">
        <v>0.52192451877303303</v>
      </c>
      <c r="E10" s="14">
        <v>0.44642784140310199</v>
      </c>
      <c r="F10" s="14"/>
      <c r="G10" s="14">
        <v>0.62705583047786395</v>
      </c>
      <c r="H10" s="14">
        <v>0.522463047586185</v>
      </c>
      <c r="I10" s="14">
        <v>0.45466439989977198</v>
      </c>
      <c r="J10" s="14">
        <v>0.46717505783987401</v>
      </c>
      <c r="K10" s="14">
        <v>0.68246648858325198</v>
      </c>
      <c r="L10" s="14">
        <v>0.34819201228478702</v>
      </c>
      <c r="M10" s="14"/>
      <c r="N10" s="14">
        <v>0.49865016296598802</v>
      </c>
      <c r="O10" s="14">
        <v>0.51338972135586902</v>
      </c>
      <c r="P10" s="14">
        <v>0.46092578286192898</v>
      </c>
      <c r="Q10" s="14">
        <v>0.45495914654690001</v>
      </c>
      <c r="R10" s="14"/>
      <c r="S10" s="14">
        <v>0.443573091525787</v>
      </c>
      <c r="T10" s="14">
        <v>0.45508170107027002</v>
      </c>
      <c r="U10" s="14">
        <v>0.62028125727737404</v>
      </c>
      <c r="V10" s="14">
        <v>0.48922803155336198</v>
      </c>
      <c r="W10" s="14">
        <v>0.39812298552667802</v>
      </c>
      <c r="X10" s="14">
        <v>0.505157477324226</v>
      </c>
      <c r="Y10" s="14">
        <v>0.46871355654661101</v>
      </c>
      <c r="Z10" s="14">
        <v>0.43335631169392103</v>
      </c>
      <c r="AA10" s="14">
        <v>0.52932526740335495</v>
      </c>
      <c r="AB10" s="14"/>
      <c r="AC10" s="14">
        <v>0.475162200676154</v>
      </c>
      <c r="AD10" s="14">
        <v>0.497818355149101</v>
      </c>
      <c r="AE10" s="14">
        <v>0.45124363641322301</v>
      </c>
      <c r="AF10" s="14">
        <v>0.49268417674534398</v>
      </c>
      <c r="AG10" s="14">
        <v>0.47238241941044201</v>
      </c>
      <c r="AH10" s="14"/>
      <c r="AI10" s="14">
        <v>0.49492507127941698</v>
      </c>
      <c r="AJ10" s="14">
        <v>0.45841799635492098</v>
      </c>
      <c r="AK10" s="14">
        <v>0.53067232485399896</v>
      </c>
      <c r="AL10" s="14">
        <v>0.50364424650564499</v>
      </c>
      <c r="AM10" s="14">
        <v>0.50556435676584699</v>
      </c>
      <c r="AN10" s="14">
        <v>0.50481528203348802</v>
      </c>
      <c r="AO10" s="14"/>
      <c r="AP10" s="14">
        <v>0.48817402498818901</v>
      </c>
      <c r="AQ10" s="14">
        <v>0.48058298915660302</v>
      </c>
      <c r="AR10" s="14"/>
      <c r="AS10" s="14">
        <v>0.493276457458796</v>
      </c>
      <c r="AT10" s="14">
        <v>0.476600030476797</v>
      </c>
      <c r="AU10" s="14" t="s">
        <v>88</v>
      </c>
      <c r="AV10" s="14"/>
      <c r="AW10" s="14">
        <v>0.49148130245177202</v>
      </c>
      <c r="AX10" s="14">
        <v>0.47702278969853801</v>
      </c>
      <c r="AY10" s="14"/>
      <c r="AZ10" s="14">
        <v>0.49149673630229401</v>
      </c>
      <c r="BA10" s="14">
        <v>0.47671818762738699</v>
      </c>
    </row>
    <row r="11" spans="2:53" x14ac:dyDescent="0.35">
      <c r="B11" s="15" t="s">
        <v>78</v>
      </c>
      <c r="C11" s="14">
        <v>0.15976532179226699</v>
      </c>
      <c r="D11" s="14">
        <v>0.167415437792935</v>
      </c>
      <c r="E11" s="14">
        <v>0.15196376410764001</v>
      </c>
      <c r="F11" s="14"/>
      <c r="G11" s="14">
        <v>0.37294416952213599</v>
      </c>
      <c r="H11" s="14">
        <v>0.14603555132493101</v>
      </c>
      <c r="I11" s="14">
        <v>0.179334347441056</v>
      </c>
      <c r="J11" s="14">
        <v>0.114583967370623</v>
      </c>
      <c r="K11" s="14">
        <v>0.12900074410433099</v>
      </c>
      <c r="L11" s="14">
        <v>0</v>
      </c>
      <c r="M11" s="14"/>
      <c r="N11" s="14">
        <v>0.120405849755124</v>
      </c>
      <c r="O11" s="14">
        <v>0.18233258440060199</v>
      </c>
      <c r="P11" s="14">
        <v>0.17315551766784301</v>
      </c>
      <c r="Q11" s="14">
        <v>0.16459182958301599</v>
      </c>
      <c r="R11" s="14"/>
      <c r="S11" s="14">
        <v>0.15818175465078099</v>
      </c>
      <c r="T11" s="14">
        <v>0.14827696208201199</v>
      </c>
      <c r="U11" s="14">
        <v>0.153812900577742</v>
      </c>
      <c r="V11" s="14">
        <v>0.13442699165724001</v>
      </c>
      <c r="W11" s="14">
        <v>0.21434111192772801</v>
      </c>
      <c r="X11" s="14">
        <v>0.11803205456082</v>
      </c>
      <c r="Y11" s="14">
        <v>0.241718904644844</v>
      </c>
      <c r="Z11" s="14">
        <v>0.22727521018761601</v>
      </c>
      <c r="AA11" s="14">
        <v>0.118296745170026</v>
      </c>
      <c r="AB11" s="14"/>
      <c r="AC11" s="14">
        <v>0.23236304318852</v>
      </c>
      <c r="AD11" s="14">
        <v>0.17136545654729499</v>
      </c>
      <c r="AE11" s="14">
        <v>0.13205934640901101</v>
      </c>
      <c r="AF11" s="14">
        <v>0.133774194820861</v>
      </c>
      <c r="AG11" s="14">
        <v>0.102627641530687</v>
      </c>
      <c r="AH11" s="14"/>
      <c r="AI11" s="14">
        <v>0.13548853317432599</v>
      </c>
      <c r="AJ11" s="14">
        <v>0.199723860307507</v>
      </c>
      <c r="AK11" s="14">
        <v>0.11299551717997</v>
      </c>
      <c r="AL11" s="14">
        <v>0.209986650081745</v>
      </c>
      <c r="AM11" s="14">
        <v>0.13724589073805299</v>
      </c>
      <c r="AN11" s="14">
        <v>0.10403620017330301</v>
      </c>
      <c r="AO11" s="14"/>
      <c r="AP11" s="14">
        <v>0.17120791566861901</v>
      </c>
      <c r="AQ11" s="14">
        <v>0.14726520327801901</v>
      </c>
      <c r="AR11" s="14"/>
      <c r="AS11" s="14">
        <v>0.16859625190678701</v>
      </c>
      <c r="AT11" s="14">
        <v>0.151727615701965</v>
      </c>
      <c r="AU11" s="14" t="s">
        <v>88</v>
      </c>
      <c r="AV11" s="14"/>
      <c r="AW11" s="14">
        <v>0.17057145248980199</v>
      </c>
      <c r="AX11" s="14">
        <v>0.101677627611692</v>
      </c>
      <c r="AY11" s="14"/>
      <c r="AZ11" s="14">
        <v>0.15723617012799501</v>
      </c>
      <c r="BA11" s="14">
        <v>0.17600721896383401</v>
      </c>
    </row>
    <row r="12" spans="2:53" x14ac:dyDescent="0.35">
      <c r="B12" s="15" t="s">
        <v>79</v>
      </c>
      <c r="C12" s="14">
        <v>4.3581533243162003E-2</v>
      </c>
      <c r="D12" s="14">
        <v>2.7009792060060399E-2</v>
      </c>
      <c r="E12" s="14">
        <v>6.0481328587882799E-2</v>
      </c>
      <c r="F12" s="14"/>
      <c r="G12" s="14">
        <v>0</v>
      </c>
      <c r="H12" s="14">
        <v>4.4963137994525497E-2</v>
      </c>
      <c r="I12" s="14">
        <v>4.1099544306491702E-2</v>
      </c>
      <c r="J12" s="14">
        <v>6.4030305298158799E-2</v>
      </c>
      <c r="K12" s="14">
        <v>0</v>
      </c>
      <c r="L12" s="14">
        <v>0</v>
      </c>
      <c r="M12" s="14"/>
      <c r="N12" s="14">
        <v>1.35111375082652E-2</v>
      </c>
      <c r="O12" s="14">
        <v>4.07568667524369E-2</v>
      </c>
      <c r="P12" s="14">
        <v>5.1662620865544302E-2</v>
      </c>
      <c r="Q12" s="14">
        <v>7.0019186227276306E-2</v>
      </c>
      <c r="R12" s="14"/>
      <c r="S12" s="14">
        <v>5.0228429359298497E-3</v>
      </c>
      <c r="T12" s="14">
        <v>6.8045449301420105E-2</v>
      </c>
      <c r="U12" s="14">
        <v>5.2191284122084597E-2</v>
      </c>
      <c r="V12" s="14">
        <v>9.9582190000293905E-2</v>
      </c>
      <c r="W12" s="14">
        <v>2.5157667230626499E-2</v>
      </c>
      <c r="X12" s="14">
        <v>3.8055201275775302E-2</v>
      </c>
      <c r="Y12" s="14">
        <v>2.9437902929560899E-2</v>
      </c>
      <c r="Z12" s="14">
        <v>3.1340392631568501E-2</v>
      </c>
      <c r="AA12" s="14">
        <v>3.9414316573153703E-2</v>
      </c>
      <c r="AB12" s="14"/>
      <c r="AC12" s="14">
        <v>4.7937716639446903E-2</v>
      </c>
      <c r="AD12" s="14">
        <v>7.4853579518717697E-2</v>
      </c>
      <c r="AE12" s="14">
        <v>4.3244547117905E-2</v>
      </c>
      <c r="AF12" s="14">
        <v>0</v>
      </c>
      <c r="AG12" s="14">
        <v>3.1756266505058299E-2</v>
      </c>
      <c r="AH12" s="14"/>
      <c r="AI12" s="14">
        <v>3.72787198571332E-2</v>
      </c>
      <c r="AJ12" s="14">
        <v>2.0035177049558699E-2</v>
      </c>
      <c r="AK12" s="14">
        <v>2.7203045793613202E-2</v>
      </c>
      <c r="AL12" s="14">
        <v>5.6425626569390999E-2</v>
      </c>
      <c r="AM12" s="14">
        <v>0</v>
      </c>
      <c r="AN12" s="14">
        <v>6.3021757934839204E-2</v>
      </c>
      <c r="AO12" s="14"/>
      <c r="AP12" s="14">
        <v>3.5115056897777802E-2</v>
      </c>
      <c r="AQ12" s="14">
        <v>5.2830481415140199E-2</v>
      </c>
      <c r="AR12" s="14"/>
      <c r="AS12" s="14">
        <v>4.98914492260795E-2</v>
      </c>
      <c r="AT12" s="14">
        <v>3.7838395264774401E-2</v>
      </c>
      <c r="AU12" s="14" t="s">
        <v>88</v>
      </c>
      <c r="AV12" s="14"/>
      <c r="AW12" s="14">
        <v>5.2173733211502898E-2</v>
      </c>
      <c r="AX12" s="14">
        <v>8.1334414774061701E-3</v>
      </c>
      <c r="AY12" s="14"/>
      <c r="AZ12" s="14">
        <v>3.7888212304482603E-2</v>
      </c>
      <c r="BA12" s="14">
        <v>5.8638316211330602E-2</v>
      </c>
    </row>
    <row r="13" spans="2:53" x14ac:dyDescent="0.35">
      <c r="B13" s="15" t="s">
        <v>80</v>
      </c>
      <c r="C13" s="18">
        <v>8.04499535641638E-3</v>
      </c>
      <c r="D13" s="18">
        <v>6.7976538406239297E-3</v>
      </c>
      <c r="E13" s="18">
        <v>9.3170292428351297E-3</v>
      </c>
      <c r="F13" s="18"/>
      <c r="G13" s="18">
        <v>0</v>
      </c>
      <c r="H13" s="18">
        <v>5.67528839604325E-3</v>
      </c>
      <c r="I13" s="18">
        <v>5.3041582238393401E-3</v>
      </c>
      <c r="J13" s="18">
        <v>2.4061377672327501E-2</v>
      </c>
      <c r="K13" s="18">
        <v>0</v>
      </c>
      <c r="L13" s="18">
        <v>0</v>
      </c>
      <c r="M13" s="18"/>
      <c r="N13" s="18">
        <v>0</v>
      </c>
      <c r="O13" s="18">
        <v>1.60169208029418E-2</v>
      </c>
      <c r="P13" s="18">
        <v>8.5272236517797799E-3</v>
      </c>
      <c r="Q13" s="18">
        <v>6.9875133322054202E-3</v>
      </c>
      <c r="R13" s="18"/>
      <c r="S13" s="18">
        <v>1.09875454256444E-2</v>
      </c>
      <c r="T13" s="18">
        <v>2.0688540030374802E-2</v>
      </c>
      <c r="U13" s="18">
        <v>0</v>
      </c>
      <c r="V13" s="18">
        <v>0</v>
      </c>
      <c r="W13" s="18">
        <v>0</v>
      </c>
      <c r="X13" s="18">
        <v>1.5779061167417199E-2</v>
      </c>
      <c r="Y13" s="18">
        <v>0</v>
      </c>
      <c r="Z13" s="18">
        <v>0</v>
      </c>
      <c r="AA13" s="18">
        <v>8.3993999756419094E-3</v>
      </c>
      <c r="AB13" s="18"/>
      <c r="AC13" s="18">
        <v>2.5230604074716601E-2</v>
      </c>
      <c r="AD13" s="18">
        <v>0</v>
      </c>
      <c r="AE13" s="18">
        <v>3.4331363429881199E-3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4.7581430242553999E-2</v>
      </c>
      <c r="AM13" s="18">
        <v>0</v>
      </c>
      <c r="AN13" s="18">
        <v>0</v>
      </c>
      <c r="AO13" s="18"/>
      <c r="AP13" s="18">
        <v>9.7859819740334694E-3</v>
      </c>
      <c r="AQ13" s="18">
        <v>6.1431067385822602E-3</v>
      </c>
      <c r="AR13" s="18"/>
      <c r="AS13" s="18">
        <v>9.8032577950262108E-3</v>
      </c>
      <c r="AT13" s="18">
        <v>6.4446659994978296E-3</v>
      </c>
      <c r="AU13" s="18" t="s">
        <v>88</v>
      </c>
      <c r="AV13" s="18"/>
      <c r="AW13" s="18">
        <v>4.5353866291924696E-3</v>
      </c>
      <c r="AX13" s="18">
        <v>6.1805398466640103E-3</v>
      </c>
      <c r="AY13" s="18"/>
      <c r="AZ13" s="18">
        <v>3.7915893227956701E-3</v>
      </c>
      <c r="BA13" s="18">
        <v>1.7390974710394899E-2</v>
      </c>
    </row>
    <row r="14" spans="2:53" x14ac:dyDescent="0.35">
      <c r="B14" s="26" t="s">
        <v>81</v>
      </c>
      <c r="C14" s="27">
        <v>0.78860814960815495</v>
      </c>
      <c r="D14" s="27">
        <v>0.79877711630638004</v>
      </c>
      <c r="E14" s="27">
        <v>0.77823787806164202</v>
      </c>
      <c r="F14" s="27"/>
      <c r="G14" s="27">
        <v>0.62705583047786395</v>
      </c>
      <c r="H14" s="27">
        <v>0.80332602228450101</v>
      </c>
      <c r="I14" s="27">
        <v>0.77426195002861298</v>
      </c>
      <c r="J14" s="27">
        <v>0.79732434965889099</v>
      </c>
      <c r="K14" s="27">
        <v>0.87099925589566896</v>
      </c>
      <c r="L14" s="27">
        <v>1</v>
      </c>
      <c r="M14" s="27"/>
      <c r="N14" s="27">
        <v>0.86608301273661104</v>
      </c>
      <c r="O14" s="27">
        <v>0.76089362804401905</v>
      </c>
      <c r="P14" s="27">
        <v>0.76665463781483201</v>
      </c>
      <c r="Q14" s="27">
        <v>0.75840147085750198</v>
      </c>
      <c r="R14" s="27"/>
      <c r="S14" s="27">
        <v>0.82580785698764403</v>
      </c>
      <c r="T14" s="27">
        <v>0.76298904858619299</v>
      </c>
      <c r="U14" s="27">
        <v>0.79399581530017405</v>
      </c>
      <c r="V14" s="27">
        <v>0.76599081834246596</v>
      </c>
      <c r="W14" s="27">
        <v>0.76050122084164595</v>
      </c>
      <c r="X14" s="27">
        <v>0.828133682995988</v>
      </c>
      <c r="Y14" s="27">
        <v>0.72884319242559503</v>
      </c>
      <c r="Z14" s="27">
        <v>0.74138439718081495</v>
      </c>
      <c r="AA14" s="27">
        <v>0.83388953828117895</v>
      </c>
      <c r="AB14" s="27"/>
      <c r="AC14" s="27">
        <v>0.69446863609731602</v>
      </c>
      <c r="AD14" s="27">
        <v>0.75378096393398697</v>
      </c>
      <c r="AE14" s="27">
        <v>0.82126297013009597</v>
      </c>
      <c r="AF14" s="27">
        <v>0.86622580517913905</v>
      </c>
      <c r="AG14" s="27">
        <v>0.86561609196425504</v>
      </c>
      <c r="AH14" s="27"/>
      <c r="AI14" s="27">
        <v>0.82723274696854099</v>
      </c>
      <c r="AJ14" s="27">
        <v>0.78024096264293397</v>
      </c>
      <c r="AK14" s="27">
        <v>0.85980143702641698</v>
      </c>
      <c r="AL14" s="27">
        <v>0.68600629310631001</v>
      </c>
      <c r="AM14" s="27">
        <v>0.86275410926194696</v>
      </c>
      <c r="AN14" s="27">
        <v>0.83294204189185805</v>
      </c>
      <c r="AO14" s="27"/>
      <c r="AP14" s="27">
        <v>0.78389104545957</v>
      </c>
      <c r="AQ14" s="27">
        <v>0.79376120856825805</v>
      </c>
      <c r="AR14" s="27"/>
      <c r="AS14" s="27">
        <v>0.77170904107210803</v>
      </c>
      <c r="AT14" s="27">
        <v>0.80398932303376203</v>
      </c>
      <c r="AU14" s="27" t="s">
        <v>88</v>
      </c>
      <c r="AV14" s="27"/>
      <c r="AW14" s="27">
        <v>0.77271942766950297</v>
      </c>
      <c r="AX14" s="27">
        <v>0.88400839106423801</v>
      </c>
      <c r="AY14" s="27"/>
      <c r="AZ14" s="27">
        <v>0.80108402824472702</v>
      </c>
      <c r="BA14" s="27">
        <v>0.74796349011443997</v>
      </c>
    </row>
    <row r="15" spans="2:53" x14ac:dyDescent="0.35">
      <c r="B15" s="25" t="s">
        <v>86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N19"/>
  <sheetViews>
    <sheetView showGridLines="0" workbookViewId="0">
      <pane xSplit="2" topLeftCell="C1" activePane="topRight" state="frozen"/>
      <selection pane="topRight" activeCell="D9" sqref="D9"/>
    </sheetView>
  </sheetViews>
  <sheetFormatPr defaultColWidth="10.90625" defaultRowHeight="14.5" x14ac:dyDescent="0.35"/>
  <cols>
    <col min="2" max="2" width="25.7265625" customWidth="1"/>
    <col min="3" max="14" width="20.7265625" customWidth="1"/>
  </cols>
  <sheetData>
    <row r="2" spans="2:14" ht="40" customHeight="1" x14ac:dyDescent="0.35">
      <c r="D2" s="35" t="s">
        <v>83</v>
      </c>
      <c r="E2" s="32"/>
      <c r="F2" s="32"/>
      <c r="G2" s="32"/>
      <c r="H2" s="32"/>
      <c r="I2" s="32"/>
      <c r="J2" s="32"/>
      <c r="K2" s="32"/>
      <c r="L2" s="32"/>
      <c r="M2" s="32"/>
      <c r="N2" s="32"/>
    </row>
    <row r="6" spans="2:14" ht="50" customHeight="1" x14ac:dyDescent="0.35">
      <c r="B6" s="17" t="s">
        <v>14</v>
      </c>
      <c r="C6" s="17" t="s">
        <v>67</v>
      </c>
      <c r="D6" s="17" t="s">
        <v>68</v>
      </c>
      <c r="E6" s="17" t="s">
        <v>70</v>
      </c>
      <c r="F6" s="17" t="s">
        <v>98</v>
      </c>
      <c r="G6" s="17" t="s">
        <v>69</v>
      </c>
      <c r="H6" s="17" t="s">
        <v>71</v>
      </c>
      <c r="I6" s="17" t="s">
        <v>99</v>
      </c>
      <c r="J6" s="17" t="s">
        <v>100</v>
      </c>
      <c r="K6" s="17" t="s">
        <v>73</v>
      </c>
      <c r="L6" s="17" t="s">
        <v>75</v>
      </c>
      <c r="M6" s="17" t="s">
        <v>74</v>
      </c>
    </row>
    <row r="7" spans="2:14" x14ac:dyDescent="0.35">
      <c r="B7" s="15" t="s">
        <v>76</v>
      </c>
      <c r="C7" s="14">
        <v>0.19774352649830301</v>
      </c>
      <c r="D7" s="14">
        <v>0.25347463051191399</v>
      </c>
      <c r="E7" s="14">
        <v>0.32849688761708901</v>
      </c>
      <c r="F7" s="14">
        <v>0.32478850607368998</v>
      </c>
      <c r="G7" s="14">
        <v>0.28112935423907298</v>
      </c>
      <c r="H7" s="14">
        <v>0.31536205182667498</v>
      </c>
      <c r="I7" s="14">
        <v>0.35809679181709397</v>
      </c>
      <c r="J7" s="14">
        <v>0.36954159700897499</v>
      </c>
      <c r="K7" s="14">
        <v>0.60891261173126598</v>
      </c>
      <c r="L7" s="14">
        <v>0.78597674477940804</v>
      </c>
      <c r="M7" s="14">
        <v>0.802358000797469</v>
      </c>
    </row>
    <row r="8" spans="2:14" x14ac:dyDescent="0.35">
      <c r="B8" s="15" t="s">
        <v>77</v>
      </c>
      <c r="C8" s="14">
        <v>0.37394892884620401</v>
      </c>
      <c r="D8" s="14">
        <v>0.44239364701072598</v>
      </c>
      <c r="E8" s="14">
        <v>0.38879997410054801</v>
      </c>
      <c r="F8" s="14">
        <v>0.42337628004641598</v>
      </c>
      <c r="G8" s="14">
        <v>0.47091997594313101</v>
      </c>
      <c r="H8" s="14">
        <v>0.45031227517526401</v>
      </c>
      <c r="I8" s="14">
        <v>0.41135299287060201</v>
      </c>
      <c r="J8" s="14">
        <v>0.44656731973178698</v>
      </c>
      <c r="K8" s="14">
        <v>0.32750348474317698</v>
      </c>
      <c r="L8" s="14">
        <v>0.18138915661945601</v>
      </c>
      <c r="M8" s="14">
        <v>0.17023070884634101</v>
      </c>
    </row>
    <row r="9" spans="2:14" x14ac:dyDescent="0.35">
      <c r="B9" s="15" t="s">
        <v>78</v>
      </c>
      <c r="C9" s="14">
        <v>0.31602983257911599</v>
      </c>
      <c r="D9" s="14">
        <v>0.22707750211621699</v>
      </c>
      <c r="E9" s="14">
        <v>0.198995639808904</v>
      </c>
      <c r="F9" s="14">
        <v>0.196327958232312</v>
      </c>
      <c r="G9" s="14">
        <v>0.184159479244974</v>
      </c>
      <c r="H9" s="14">
        <v>0.170744257762422</v>
      </c>
      <c r="I9" s="14">
        <v>0.18004432640399301</v>
      </c>
      <c r="J9" s="14">
        <v>0.13872208905910599</v>
      </c>
      <c r="K9" s="14">
        <v>4.6411719638993897E-2</v>
      </c>
      <c r="L9" s="14">
        <v>2.0857317384783001E-2</v>
      </c>
      <c r="M9" s="14">
        <v>1.8144584569114299E-2</v>
      </c>
    </row>
    <row r="10" spans="2:14" x14ac:dyDescent="0.35">
      <c r="B10" s="15" t="s">
        <v>79</v>
      </c>
      <c r="C10" s="14">
        <v>9.4429138617526401E-2</v>
      </c>
      <c r="D10" s="14">
        <v>6.60570135253256E-2</v>
      </c>
      <c r="E10" s="14">
        <v>7.2609028257810806E-2</v>
      </c>
      <c r="F10" s="14">
        <v>4.1236035344118599E-2</v>
      </c>
      <c r="G10" s="14">
        <v>5.0862826808700697E-2</v>
      </c>
      <c r="H10" s="14">
        <v>4.8997209431926002E-2</v>
      </c>
      <c r="I10" s="14">
        <v>3.3004043498949601E-2</v>
      </c>
      <c r="J10" s="14">
        <v>3.1201002846779902E-2</v>
      </c>
      <c r="K10" s="14">
        <v>8.8744384103124005E-3</v>
      </c>
      <c r="L10" s="14">
        <v>4.5557722638892503E-3</v>
      </c>
      <c r="M10" s="14">
        <v>6.3082115321691397E-3</v>
      </c>
    </row>
    <row r="11" spans="2:14" x14ac:dyDescent="0.35">
      <c r="B11" s="20" t="s">
        <v>80</v>
      </c>
      <c r="C11" s="18">
        <v>1.7848573458850402E-2</v>
      </c>
      <c r="D11" s="18">
        <v>1.0997206835817E-2</v>
      </c>
      <c r="E11" s="18">
        <v>1.10984702156473E-2</v>
      </c>
      <c r="F11" s="18">
        <v>1.42712203034637E-2</v>
      </c>
      <c r="G11" s="18">
        <v>1.29283637641214E-2</v>
      </c>
      <c r="H11" s="18">
        <v>1.4584205803713E-2</v>
      </c>
      <c r="I11" s="18">
        <v>1.7501845409360998E-2</v>
      </c>
      <c r="J11" s="18">
        <v>1.3967991353353301E-2</v>
      </c>
      <c r="K11" s="18">
        <v>8.2977454762506505E-3</v>
      </c>
      <c r="L11" s="18">
        <v>7.2210089524631501E-3</v>
      </c>
      <c r="M11" s="18">
        <v>2.95849425490661E-3</v>
      </c>
    </row>
    <row r="12" spans="2:14" x14ac:dyDescent="0.35">
      <c r="B12" s="20" t="s">
        <v>81</v>
      </c>
      <c r="C12" s="18">
        <v>0.57169245534450697</v>
      </c>
      <c r="D12" s="18">
        <v>0.69586827752264102</v>
      </c>
      <c r="E12" s="18">
        <v>0.71729686171763796</v>
      </c>
      <c r="F12" s="18">
        <v>0.74816478612010595</v>
      </c>
      <c r="G12" s="18">
        <v>0.75204933018220399</v>
      </c>
      <c r="H12" s="18">
        <v>0.76567432700193905</v>
      </c>
      <c r="I12" s="18">
        <v>0.76944978468769598</v>
      </c>
      <c r="J12" s="18">
        <v>0.81610891674076103</v>
      </c>
      <c r="K12" s="18">
        <v>0.93641609647444302</v>
      </c>
      <c r="L12" s="18">
        <v>0.96736590139886502</v>
      </c>
      <c r="M12" s="18">
        <v>0.97258870964380995</v>
      </c>
    </row>
    <row r="13" spans="2:14" x14ac:dyDescent="0.35">
      <c r="B13" s="16" t="s">
        <v>101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2:14" x14ac:dyDescent="0.35">
      <c r="B14" t="s">
        <v>84</v>
      </c>
    </row>
    <row r="15" spans="2:14" x14ac:dyDescent="0.35">
      <c r="B15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N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89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0.78597674477940804</v>
      </c>
      <c r="D9" s="14">
        <v>0.81092652808163501</v>
      </c>
      <c r="E9" s="14">
        <v>0.76245744052501696</v>
      </c>
      <c r="F9" s="14"/>
      <c r="G9" s="14">
        <v>0.56074380449106598</v>
      </c>
      <c r="H9" s="14">
        <v>0.65347759640557801</v>
      </c>
      <c r="I9" s="14">
        <v>0.78551911598431801</v>
      </c>
      <c r="J9" s="14">
        <v>0.80640782999410598</v>
      </c>
      <c r="K9" s="14">
        <v>0.81480800321193403</v>
      </c>
      <c r="L9" s="14">
        <v>0.78701286253090996</v>
      </c>
      <c r="M9" s="14"/>
      <c r="N9" s="14">
        <v>0.82569349628407895</v>
      </c>
      <c r="O9" s="14">
        <v>0.80867597185679996</v>
      </c>
      <c r="P9" s="14">
        <v>0.74769305541228004</v>
      </c>
      <c r="Q9" s="14">
        <v>0.75349896478425105</v>
      </c>
      <c r="R9" s="14"/>
      <c r="S9" s="14">
        <v>0.77548636863572196</v>
      </c>
      <c r="T9" s="14">
        <v>0.83951961001605802</v>
      </c>
      <c r="U9" s="14">
        <v>0.82680109385732403</v>
      </c>
      <c r="V9" s="14">
        <v>0.73775582024601805</v>
      </c>
      <c r="W9" s="14">
        <v>0.79736257930654997</v>
      </c>
      <c r="X9" s="14">
        <v>0.766843019404578</v>
      </c>
      <c r="Y9" s="14">
        <v>0.77178958450925905</v>
      </c>
      <c r="Z9" s="14">
        <v>0.75004354362074499</v>
      </c>
      <c r="AA9" s="14">
        <v>0.77776732370113799</v>
      </c>
      <c r="AB9" s="14"/>
      <c r="AC9" s="14">
        <v>0.77880072850156801</v>
      </c>
      <c r="AD9" s="14">
        <v>0.82486510759981302</v>
      </c>
      <c r="AE9" s="14">
        <v>0.78576066653668297</v>
      </c>
      <c r="AF9" s="14">
        <v>0.77171788489353998</v>
      </c>
      <c r="AG9" s="14">
        <v>0.83408985189024198</v>
      </c>
      <c r="AH9" s="14"/>
      <c r="AI9" s="14">
        <v>0.78079090805661999</v>
      </c>
      <c r="AJ9" s="14">
        <v>0.84581520046630498</v>
      </c>
      <c r="AK9" s="14">
        <v>0.76379871609702099</v>
      </c>
      <c r="AL9" s="14">
        <v>0.78803046822443201</v>
      </c>
      <c r="AM9" s="14">
        <v>0.77608941964919498</v>
      </c>
      <c r="AN9" s="14">
        <v>0.76084637089146201</v>
      </c>
      <c r="AO9" s="14"/>
      <c r="AP9" s="14">
        <v>0.80373771667318505</v>
      </c>
      <c r="AQ9" s="14">
        <v>0.76671530439662605</v>
      </c>
      <c r="AR9" s="14"/>
      <c r="AS9" s="14" t="s">
        <v>88</v>
      </c>
      <c r="AT9" s="14" t="s">
        <v>88</v>
      </c>
      <c r="AU9" s="14">
        <v>0.78597674477940804</v>
      </c>
      <c r="AV9" s="14"/>
      <c r="AW9" s="14">
        <v>0.80734454929091304</v>
      </c>
      <c r="AX9" s="14">
        <v>0.82022150846379305</v>
      </c>
      <c r="AY9" s="14"/>
      <c r="AZ9" s="14">
        <v>0.80835715906071204</v>
      </c>
      <c r="BA9" s="14">
        <v>0.70607801681930205</v>
      </c>
    </row>
    <row r="10" spans="2:53" x14ac:dyDescent="0.35">
      <c r="B10" s="15" t="s">
        <v>77</v>
      </c>
      <c r="C10" s="14">
        <v>0.18138915661945601</v>
      </c>
      <c r="D10" s="14">
        <v>0.15865300406743599</v>
      </c>
      <c r="E10" s="14">
        <v>0.202667220054398</v>
      </c>
      <c r="F10" s="14"/>
      <c r="G10" s="14">
        <v>0.43925619550893402</v>
      </c>
      <c r="H10" s="14">
        <v>0.294043389514695</v>
      </c>
      <c r="I10" s="14">
        <v>0.18192098114196101</v>
      </c>
      <c r="J10" s="14">
        <v>0.16750967054073301</v>
      </c>
      <c r="K10" s="14">
        <v>0.151264703639337</v>
      </c>
      <c r="L10" s="14">
        <v>0.14060557753925401</v>
      </c>
      <c r="M10" s="14"/>
      <c r="N10" s="14">
        <v>0.15129248486514199</v>
      </c>
      <c r="O10" s="14">
        <v>0.164399228891211</v>
      </c>
      <c r="P10" s="14">
        <v>0.22623500134889599</v>
      </c>
      <c r="Q10" s="14">
        <v>0.19020810062673299</v>
      </c>
      <c r="R10" s="14"/>
      <c r="S10" s="14">
        <v>0.191627399705559</v>
      </c>
      <c r="T10" s="14">
        <v>0.139393804808568</v>
      </c>
      <c r="U10" s="14">
        <v>0.14397662668914499</v>
      </c>
      <c r="V10" s="14">
        <v>0.21948802955998301</v>
      </c>
      <c r="W10" s="14">
        <v>0.16355549237401801</v>
      </c>
      <c r="X10" s="14">
        <v>0.19401957324920199</v>
      </c>
      <c r="Y10" s="14">
        <v>0.20402553144154401</v>
      </c>
      <c r="Z10" s="14">
        <v>0.20717897007546501</v>
      </c>
      <c r="AA10" s="14">
        <v>0.189581175467884</v>
      </c>
      <c r="AB10" s="14"/>
      <c r="AC10" s="14">
        <v>0.19660960628555499</v>
      </c>
      <c r="AD10" s="14">
        <v>0.15630362260757999</v>
      </c>
      <c r="AE10" s="14">
        <v>0.19185271456758099</v>
      </c>
      <c r="AF10" s="14">
        <v>0.183034098080506</v>
      </c>
      <c r="AG10" s="14">
        <v>0.14657774055790601</v>
      </c>
      <c r="AH10" s="14"/>
      <c r="AI10" s="14">
        <v>0.18297934892096401</v>
      </c>
      <c r="AJ10" s="14">
        <v>0.13107207506714399</v>
      </c>
      <c r="AK10" s="14">
        <v>0.21864392967567101</v>
      </c>
      <c r="AL10" s="14">
        <v>0.175545496154978</v>
      </c>
      <c r="AM10" s="14">
        <v>0.168439052671913</v>
      </c>
      <c r="AN10" s="14">
        <v>0.20395827611992801</v>
      </c>
      <c r="AO10" s="14"/>
      <c r="AP10" s="14">
        <v>0.170072763272482</v>
      </c>
      <c r="AQ10" s="14">
        <v>0.19526022636424401</v>
      </c>
      <c r="AR10" s="14"/>
      <c r="AS10" s="14" t="s">
        <v>88</v>
      </c>
      <c r="AT10" s="14" t="s">
        <v>88</v>
      </c>
      <c r="AU10" s="14">
        <v>0.18138915661945601</v>
      </c>
      <c r="AV10" s="14"/>
      <c r="AW10" s="14">
        <v>0.167896637265394</v>
      </c>
      <c r="AX10" s="14">
        <v>0.148665290726821</v>
      </c>
      <c r="AY10" s="14"/>
      <c r="AZ10" s="14">
        <v>0.16518157561478</v>
      </c>
      <c r="BA10" s="14">
        <v>0.24231038993701201</v>
      </c>
    </row>
    <row r="11" spans="2:53" x14ac:dyDescent="0.35">
      <c r="B11" s="15" t="s">
        <v>78</v>
      </c>
      <c r="C11" s="14">
        <v>2.0857317384783001E-2</v>
      </c>
      <c r="D11" s="14">
        <v>2.2984981793607001E-2</v>
      </c>
      <c r="E11" s="14">
        <v>1.8781948195764401E-2</v>
      </c>
      <c r="F11" s="14"/>
      <c r="G11" s="14">
        <v>0</v>
      </c>
      <c r="H11" s="14">
        <v>5.2479014079726397E-2</v>
      </c>
      <c r="I11" s="14">
        <v>1.9958887810319001E-2</v>
      </c>
      <c r="J11" s="14">
        <v>1.0733753765555101E-2</v>
      </c>
      <c r="K11" s="14">
        <v>2.5854386714950502E-2</v>
      </c>
      <c r="L11" s="14">
        <v>7.2381559929835901E-2</v>
      </c>
      <c r="M11" s="14"/>
      <c r="N11" s="14">
        <v>1.8443198059458401E-2</v>
      </c>
      <c r="O11" s="14">
        <v>1.77808786416161E-2</v>
      </c>
      <c r="P11" s="14">
        <v>2.0331815559038801E-2</v>
      </c>
      <c r="Q11" s="14">
        <v>2.75887620955385E-2</v>
      </c>
      <c r="R11" s="14"/>
      <c r="S11" s="14">
        <v>2.6201501729481901E-2</v>
      </c>
      <c r="T11" s="14">
        <v>7.5904540645790599E-3</v>
      </c>
      <c r="U11" s="14">
        <v>1.9005987091347799E-2</v>
      </c>
      <c r="V11" s="14">
        <v>2.1367014325609099E-2</v>
      </c>
      <c r="W11" s="14">
        <v>2.7785103401377902E-2</v>
      </c>
      <c r="X11" s="14">
        <v>2.5877615280736E-2</v>
      </c>
      <c r="Y11" s="14">
        <v>2.4184884049196002E-2</v>
      </c>
      <c r="Z11" s="14">
        <v>0</v>
      </c>
      <c r="AA11" s="14">
        <v>2.7870207151417602E-2</v>
      </c>
      <c r="AB11" s="14"/>
      <c r="AC11" s="14">
        <v>2.2326027479962301E-2</v>
      </c>
      <c r="AD11" s="14">
        <v>9.7961638764281697E-3</v>
      </c>
      <c r="AE11" s="14">
        <v>1.1483424705056901E-2</v>
      </c>
      <c r="AF11" s="14">
        <v>4.5248017025954601E-2</v>
      </c>
      <c r="AG11" s="14">
        <v>1.9332407551852698E-2</v>
      </c>
      <c r="AH11" s="14"/>
      <c r="AI11" s="14">
        <v>2.7610815528883999E-2</v>
      </c>
      <c r="AJ11" s="14">
        <v>9.6182694004422198E-3</v>
      </c>
      <c r="AK11" s="14">
        <v>0</v>
      </c>
      <c r="AL11" s="14">
        <v>1.9137913769599901E-2</v>
      </c>
      <c r="AM11" s="14">
        <v>5.5471527678891699E-2</v>
      </c>
      <c r="AN11" s="14">
        <v>2.0213983664775202E-2</v>
      </c>
      <c r="AO11" s="14"/>
      <c r="AP11" s="14">
        <v>2.1847035750408899E-2</v>
      </c>
      <c r="AQ11" s="14">
        <v>1.9831173262020101E-2</v>
      </c>
      <c r="AR11" s="14"/>
      <c r="AS11" s="14" t="s">
        <v>88</v>
      </c>
      <c r="AT11" s="14" t="s">
        <v>88</v>
      </c>
      <c r="AU11" s="14">
        <v>2.0857317384783001E-2</v>
      </c>
      <c r="AV11" s="14"/>
      <c r="AW11" s="14">
        <v>1.8378890447125901E-2</v>
      </c>
      <c r="AX11" s="14">
        <v>2.4152789153297799E-2</v>
      </c>
      <c r="AY11" s="14"/>
      <c r="AZ11" s="14">
        <v>1.58433508528424E-2</v>
      </c>
      <c r="BA11" s="14">
        <v>3.9314907715527501E-2</v>
      </c>
    </row>
    <row r="12" spans="2:53" x14ac:dyDescent="0.35">
      <c r="B12" s="15" t="s">
        <v>79</v>
      </c>
      <c r="C12" s="14">
        <v>4.5557722638892503E-3</v>
      </c>
      <c r="D12" s="14">
        <v>2.7515248714075598E-3</v>
      </c>
      <c r="E12" s="14">
        <v>6.3492492481115898E-3</v>
      </c>
      <c r="F12" s="14"/>
      <c r="G12" s="14">
        <v>0</v>
      </c>
      <c r="H12" s="14">
        <v>0</v>
      </c>
      <c r="I12" s="14">
        <v>2.6774757145777402E-3</v>
      </c>
      <c r="J12" s="14">
        <v>6.5632541738189299E-3</v>
      </c>
      <c r="K12" s="14">
        <v>8.0729064337786999E-3</v>
      </c>
      <c r="L12" s="14">
        <v>0</v>
      </c>
      <c r="M12" s="14"/>
      <c r="N12" s="14">
        <v>9.7242295348863399E-4</v>
      </c>
      <c r="O12" s="14">
        <v>9.1439206103725492E-3</v>
      </c>
      <c r="P12" s="14">
        <v>0</v>
      </c>
      <c r="Q12" s="14">
        <v>8.4454979714297194E-3</v>
      </c>
      <c r="R12" s="14"/>
      <c r="S12" s="14">
        <v>0</v>
      </c>
      <c r="T12" s="14">
        <v>6.7480655553974703E-3</v>
      </c>
      <c r="U12" s="14">
        <v>0</v>
      </c>
      <c r="V12" s="14">
        <v>1.13764513537233E-2</v>
      </c>
      <c r="W12" s="14">
        <v>1.1296824918053901E-2</v>
      </c>
      <c r="X12" s="14">
        <v>5.1922625452746601E-3</v>
      </c>
      <c r="Y12" s="14">
        <v>0</v>
      </c>
      <c r="Z12" s="14">
        <v>0</v>
      </c>
      <c r="AA12" s="14">
        <v>4.7812936795605396E-3</v>
      </c>
      <c r="AB12" s="14"/>
      <c r="AC12" s="14">
        <v>2.2636377329150899E-3</v>
      </c>
      <c r="AD12" s="14">
        <v>0</v>
      </c>
      <c r="AE12" s="14">
        <v>1.09031941906792E-2</v>
      </c>
      <c r="AF12" s="14">
        <v>0</v>
      </c>
      <c r="AG12" s="14">
        <v>0</v>
      </c>
      <c r="AH12" s="14"/>
      <c r="AI12" s="14">
        <v>0</v>
      </c>
      <c r="AJ12" s="14">
        <v>1.3494455066108701E-2</v>
      </c>
      <c r="AK12" s="14">
        <v>1.7557354227307701E-2</v>
      </c>
      <c r="AL12" s="14">
        <v>3.2025315501234201E-3</v>
      </c>
      <c r="AM12" s="14">
        <v>0</v>
      </c>
      <c r="AN12" s="14">
        <v>0</v>
      </c>
      <c r="AO12" s="14"/>
      <c r="AP12" s="14">
        <v>2.6625785277727201E-3</v>
      </c>
      <c r="AQ12" s="14">
        <v>4.59580954201207E-3</v>
      </c>
      <c r="AR12" s="14"/>
      <c r="AS12" s="14" t="s">
        <v>88</v>
      </c>
      <c r="AT12" s="14" t="s">
        <v>88</v>
      </c>
      <c r="AU12" s="14">
        <v>4.5557722638892503E-3</v>
      </c>
      <c r="AV12" s="14"/>
      <c r="AW12" s="14">
        <v>2.43763030921776E-3</v>
      </c>
      <c r="AX12" s="14">
        <v>6.9604116560878296E-3</v>
      </c>
      <c r="AY12" s="14"/>
      <c r="AZ12" s="14">
        <v>3.8678737116512102E-3</v>
      </c>
      <c r="BA12" s="14">
        <v>7.1067795863912001E-3</v>
      </c>
    </row>
    <row r="13" spans="2:53" x14ac:dyDescent="0.35">
      <c r="B13" s="15" t="s">
        <v>80</v>
      </c>
      <c r="C13" s="18">
        <v>7.2210089524631501E-3</v>
      </c>
      <c r="D13" s="18">
        <v>4.68396118591513E-3</v>
      </c>
      <c r="E13" s="18">
        <v>9.7441419767091992E-3</v>
      </c>
      <c r="F13" s="18"/>
      <c r="G13" s="18">
        <v>0</v>
      </c>
      <c r="H13" s="18">
        <v>0</v>
      </c>
      <c r="I13" s="18">
        <v>9.9235393488246396E-3</v>
      </c>
      <c r="J13" s="18">
        <v>8.7854915257873593E-3</v>
      </c>
      <c r="K13" s="18">
        <v>0</v>
      </c>
      <c r="L13" s="18">
        <v>0</v>
      </c>
      <c r="M13" s="18"/>
      <c r="N13" s="18">
        <v>3.5983978378326298E-3</v>
      </c>
      <c r="O13" s="18">
        <v>0</v>
      </c>
      <c r="P13" s="18">
        <v>5.7401276797851902E-3</v>
      </c>
      <c r="Q13" s="18">
        <v>2.0258674522047101E-2</v>
      </c>
      <c r="R13" s="18"/>
      <c r="S13" s="18">
        <v>6.6847299292369699E-3</v>
      </c>
      <c r="T13" s="18">
        <v>6.7480655553974703E-3</v>
      </c>
      <c r="U13" s="18">
        <v>1.0216292362183301E-2</v>
      </c>
      <c r="V13" s="18">
        <v>1.0012684514666701E-2</v>
      </c>
      <c r="W13" s="18">
        <v>0</v>
      </c>
      <c r="X13" s="18">
        <v>8.0675295202096292E-3</v>
      </c>
      <c r="Y13" s="18">
        <v>0</v>
      </c>
      <c r="Z13" s="18">
        <v>4.2777486303790198E-2</v>
      </c>
      <c r="AA13" s="18">
        <v>0</v>
      </c>
      <c r="AB13" s="18"/>
      <c r="AC13" s="18">
        <v>0</v>
      </c>
      <c r="AD13" s="18">
        <v>9.0351059161793996E-3</v>
      </c>
      <c r="AE13" s="18">
        <v>0</v>
      </c>
      <c r="AF13" s="18">
        <v>0</v>
      </c>
      <c r="AG13" s="18">
        <v>0</v>
      </c>
      <c r="AH13" s="18"/>
      <c r="AI13" s="18">
        <v>8.6189274935317504E-3</v>
      </c>
      <c r="AJ13" s="18">
        <v>0</v>
      </c>
      <c r="AK13" s="18">
        <v>0</v>
      </c>
      <c r="AL13" s="18">
        <v>1.4083590300866301E-2</v>
      </c>
      <c r="AM13" s="18">
        <v>0</v>
      </c>
      <c r="AN13" s="18">
        <v>1.49813693238342E-2</v>
      </c>
      <c r="AO13" s="18"/>
      <c r="AP13" s="18">
        <v>1.6799057761514801E-3</v>
      </c>
      <c r="AQ13" s="18">
        <v>1.3597486435098E-2</v>
      </c>
      <c r="AR13" s="18"/>
      <c r="AS13" s="18" t="s">
        <v>88</v>
      </c>
      <c r="AT13" s="18" t="s">
        <v>88</v>
      </c>
      <c r="AU13" s="18">
        <v>7.2210089524631501E-3</v>
      </c>
      <c r="AV13" s="18"/>
      <c r="AW13" s="18">
        <v>3.9422926873500398E-3</v>
      </c>
      <c r="AX13" s="18">
        <v>0</v>
      </c>
      <c r="AY13" s="18"/>
      <c r="AZ13" s="18">
        <v>6.7500407600137001E-3</v>
      </c>
      <c r="BA13" s="18">
        <v>5.1899059417677496E-3</v>
      </c>
    </row>
    <row r="14" spans="2:53" x14ac:dyDescent="0.35">
      <c r="B14" s="26" t="s">
        <v>81</v>
      </c>
      <c r="C14" s="27">
        <v>0.96736590139886502</v>
      </c>
      <c r="D14" s="27">
        <v>0.96957953214907</v>
      </c>
      <c r="E14" s="27">
        <v>0.96512466057941504</v>
      </c>
      <c r="F14" s="27"/>
      <c r="G14" s="27">
        <v>1</v>
      </c>
      <c r="H14" s="27">
        <v>0.94752098592027401</v>
      </c>
      <c r="I14" s="27">
        <v>0.96744009712627899</v>
      </c>
      <c r="J14" s="27">
        <v>0.97391750053483905</v>
      </c>
      <c r="K14" s="27">
        <v>0.966072706851271</v>
      </c>
      <c r="L14" s="27">
        <v>0.92761844007016403</v>
      </c>
      <c r="M14" s="27"/>
      <c r="N14" s="27">
        <v>0.97698598114921997</v>
      </c>
      <c r="O14" s="27">
        <v>0.97307520074801102</v>
      </c>
      <c r="P14" s="27">
        <v>0.973928056761176</v>
      </c>
      <c r="Q14" s="27">
        <v>0.94370706541098504</v>
      </c>
      <c r="R14" s="27"/>
      <c r="S14" s="27">
        <v>0.96711376834128104</v>
      </c>
      <c r="T14" s="27">
        <v>0.97891341482462602</v>
      </c>
      <c r="U14" s="27">
        <v>0.97077772054646905</v>
      </c>
      <c r="V14" s="27">
        <v>0.95724384980600097</v>
      </c>
      <c r="W14" s="27">
        <v>0.96091807168056798</v>
      </c>
      <c r="X14" s="27">
        <v>0.96086259265378005</v>
      </c>
      <c r="Y14" s="27">
        <v>0.97581511595080395</v>
      </c>
      <c r="Z14" s="27">
        <v>0.95722251369621003</v>
      </c>
      <c r="AA14" s="27">
        <v>0.96734849916902199</v>
      </c>
      <c r="AB14" s="27"/>
      <c r="AC14" s="27">
        <v>0.97541033478712302</v>
      </c>
      <c r="AD14" s="27">
        <v>0.98116873020739304</v>
      </c>
      <c r="AE14" s="27">
        <v>0.97761338110426399</v>
      </c>
      <c r="AF14" s="27">
        <v>0.95475198297404595</v>
      </c>
      <c r="AG14" s="27">
        <v>0.98066759244814705</v>
      </c>
      <c r="AH14" s="27"/>
      <c r="AI14" s="27">
        <v>0.96377025697758401</v>
      </c>
      <c r="AJ14" s="27">
        <v>0.97688727553344901</v>
      </c>
      <c r="AK14" s="27">
        <v>0.98244264577269202</v>
      </c>
      <c r="AL14" s="27">
        <v>0.96357596437940995</v>
      </c>
      <c r="AM14" s="27">
        <v>0.94452847232110804</v>
      </c>
      <c r="AN14" s="27">
        <v>0.96480464701139101</v>
      </c>
      <c r="AO14" s="27"/>
      <c r="AP14" s="27">
        <v>0.97381047994566705</v>
      </c>
      <c r="AQ14" s="27">
        <v>0.96197553076086995</v>
      </c>
      <c r="AR14" s="27"/>
      <c r="AS14" s="27" t="s">
        <v>88</v>
      </c>
      <c r="AT14" s="27" t="s">
        <v>88</v>
      </c>
      <c r="AU14" s="27">
        <v>0.96736590139886502</v>
      </c>
      <c r="AV14" s="27"/>
      <c r="AW14" s="27">
        <v>0.97524118655630598</v>
      </c>
      <c r="AX14" s="27">
        <v>0.96888679919061405</v>
      </c>
      <c r="AY14" s="27"/>
      <c r="AZ14" s="27">
        <v>0.97353873467549301</v>
      </c>
      <c r="BA14" s="27">
        <v>0.94838840675631397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0.802358000797469</v>
      </c>
      <c r="D9" s="14">
        <v>0.79706809919724697</v>
      </c>
      <c r="E9" s="14">
        <v>0.80729781796298405</v>
      </c>
      <c r="F9" s="14"/>
      <c r="G9" s="14">
        <v>0.56074380449106598</v>
      </c>
      <c r="H9" s="14">
        <v>0.68934828800368497</v>
      </c>
      <c r="I9" s="14">
        <v>0.78561439833813596</v>
      </c>
      <c r="J9" s="14">
        <v>0.84560682029411705</v>
      </c>
      <c r="K9" s="14">
        <v>0.800485869466802</v>
      </c>
      <c r="L9" s="14">
        <v>0.795386690402478</v>
      </c>
      <c r="M9" s="14"/>
      <c r="N9" s="14">
        <v>0.81410133924658201</v>
      </c>
      <c r="O9" s="14">
        <v>0.81844212247989201</v>
      </c>
      <c r="P9" s="14">
        <v>0.79431319494944996</v>
      </c>
      <c r="Q9" s="14">
        <v>0.77715111058184605</v>
      </c>
      <c r="R9" s="14"/>
      <c r="S9" s="14">
        <v>0.80416767548071499</v>
      </c>
      <c r="T9" s="14">
        <v>0.813594711639407</v>
      </c>
      <c r="U9" s="14">
        <v>0.85662493114935301</v>
      </c>
      <c r="V9" s="14">
        <v>0.81148423321136898</v>
      </c>
      <c r="W9" s="14">
        <v>0.72909825790570904</v>
      </c>
      <c r="X9" s="14">
        <v>0.83901675554326904</v>
      </c>
      <c r="Y9" s="14">
        <v>0.80481104811864801</v>
      </c>
      <c r="Z9" s="14">
        <v>0.68741275270544899</v>
      </c>
      <c r="AA9" s="14">
        <v>0.80855887666327997</v>
      </c>
      <c r="AB9" s="14"/>
      <c r="AC9" s="14">
        <v>0.78671244813514496</v>
      </c>
      <c r="AD9" s="14">
        <v>0.81523210972323001</v>
      </c>
      <c r="AE9" s="14">
        <v>0.78475203909201896</v>
      </c>
      <c r="AF9" s="14">
        <v>0.81981093508395597</v>
      </c>
      <c r="AG9" s="14">
        <v>0.87132927497019297</v>
      </c>
      <c r="AH9" s="14"/>
      <c r="AI9" s="14">
        <v>0.79410073000997405</v>
      </c>
      <c r="AJ9" s="14">
        <v>0.85533866679096804</v>
      </c>
      <c r="AK9" s="14">
        <v>0.783023833087379</v>
      </c>
      <c r="AL9" s="14">
        <v>0.80681093401206805</v>
      </c>
      <c r="AM9" s="14">
        <v>0.72485875195494998</v>
      </c>
      <c r="AN9" s="14">
        <v>0.81116954207435699</v>
      </c>
      <c r="AO9" s="14"/>
      <c r="AP9" s="14">
        <v>0.81615765368781301</v>
      </c>
      <c r="AQ9" s="14">
        <v>0.78556300886645403</v>
      </c>
      <c r="AR9" s="14"/>
      <c r="AS9" s="14" t="s">
        <v>88</v>
      </c>
      <c r="AT9" s="14" t="s">
        <v>88</v>
      </c>
      <c r="AU9" s="14">
        <v>0.802358000797469</v>
      </c>
      <c r="AV9" s="14"/>
      <c r="AW9" s="14">
        <v>0.813060080354162</v>
      </c>
      <c r="AX9" s="14">
        <v>0.83342090320668205</v>
      </c>
      <c r="AY9" s="14"/>
      <c r="AZ9" s="14">
        <v>0.81965357588156496</v>
      </c>
      <c r="BA9" s="14">
        <v>0.74485099756506901</v>
      </c>
    </row>
    <row r="10" spans="2:53" x14ac:dyDescent="0.35">
      <c r="B10" s="15" t="s">
        <v>77</v>
      </c>
      <c r="C10" s="14">
        <v>0.17023070884634101</v>
      </c>
      <c r="D10" s="14">
        <v>0.17557894721408199</v>
      </c>
      <c r="E10" s="14">
        <v>0.16519174773595199</v>
      </c>
      <c r="F10" s="14"/>
      <c r="G10" s="14">
        <v>0.43925619550893402</v>
      </c>
      <c r="H10" s="14">
        <v>0.25114420592162101</v>
      </c>
      <c r="I10" s="14">
        <v>0.183862734658191</v>
      </c>
      <c r="J10" s="14">
        <v>0.136857766370135</v>
      </c>
      <c r="K10" s="14">
        <v>0.167180393334809</v>
      </c>
      <c r="L10" s="14">
        <v>0.204613309597522</v>
      </c>
      <c r="M10" s="14"/>
      <c r="N10" s="14">
        <v>0.16432937151330601</v>
      </c>
      <c r="O10" s="14">
        <v>0.15537046317997899</v>
      </c>
      <c r="P10" s="14">
        <v>0.172209100233428</v>
      </c>
      <c r="Q10" s="14">
        <v>0.192897896841317</v>
      </c>
      <c r="R10" s="14"/>
      <c r="S10" s="14">
        <v>0.16156537798607001</v>
      </c>
      <c r="T10" s="14">
        <v>0.15072483063042399</v>
      </c>
      <c r="U10" s="14">
        <v>0.12963674564800401</v>
      </c>
      <c r="V10" s="14">
        <v>0.13980081031983399</v>
      </c>
      <c r="W10" s="14">
        <v>0.23844694251186499</v>
      </c>
      <c r="X10" s="14">
        <v>0.14137323871374599</v>
      </c>
      <c r="Y10" s="14">
        <v>0.17756454126367299</v>
      </c>
      <c r="Z10" s="14">
        <v>0.29720921861268401</v>
      </c>
      <c r="AA10" s="14">
        <v>0.174964642937466</v>
      </c>
      <c r="AB10" s="14"/>
      <c r="AC10" s="14">
        <v>0.177584722107234</v>
      </c>
      <c r="AD10" s="14">
        <v>0.174288286628522</v>
      </c>
      <c r="AE10" s="14">
        <v>0.17924965439089299</v>
      </c>
      <c r="AF10" s="14">
        <v>0.15928057147979799</v>
      </c>
      <c r="AG10" s="14">
        <v>0.109338317477954</v>
      </c>
      <c r="AH10" s="14"/>
      <c r="AI10" s="14">
        <v>0.17752546323887999</v>
      </c>
      <c r="AJ10" s="14">
        <v>0.12797514030211199</v>
      </c>
      <c r="AK10" s="14">
        <v>0.14581991676714401</v>
      </c>
      <c r="AL10" s="14">
        <v>0.185037959098976</v>
      </c>
      <c r="AM10" s="14">
        <v>0.24676301611552401</v>
      </c>
      <c r="AN10" s="14">
        <v>0.16077754395392499</v>
      </c>
      <c r="AO10" s="14"/>
      <c r="AP10" s="14">
        <v>0.15770568965192799</v>
      </c>
      <c r="AQ10" s="14">
        <v>0.18542777119864701</v>
      </c>
      <c r="AR10" s="14"/>
      <c r="AS10" s="14" t="s">
        <v>88</v>
      </c>
      <c r="AT10" s="14" t="s">
        <v>88</v>
      </c>
      <c r="AU10" s="14">
        <v>0.17023070884634101</v>
      </c>
      <c r="AV10" s="14"/>
      <c r="AW10" s="14">
        <v>0.164687014014752</v>
      </c>
      <c r="AX10" s="14">
        <v>0.12370650350182499</v>
      </c>
      <c r="AY10" s="14"/>
      <c r="AZ10" s="14">
        <v>0.15526303823398499</v>
      </c>
      <c r="BA10" s="14">
        <v>0.22279547202995301</v>
      </c>
    </row>
    <row r="11" spans="2:53" x14ac:dyDescent="0.35">
      <c r="B11" s="15" t="s">
        <v>78</v>
      </c>
      <c r="C11" s="14">
        <v>1.8144584569114299E-2</v>
      </c>
      <c r="D11" s="14">
        <v>2.2955617221934298E-2</v>
      </c>
      <c r="E11" s="14">
        <v>1.3407998358360399E-2</v>
      </c>
      <c r="F11" s="14"/>
      <c r="G11" s="14">
        <v>0</v>
      </c>
      <c r="H11" s="14">
        <v>4.9649281448358798E-2</v>
      </c>
      <c r="I11" s="14">
        <v>2.2422719089212301E-2</v>
      </c>
      <c r="J11" s="14">
        <v>5.7900966699213803E-3</v>
      </c>
      <c r="K11" s="14">
        <v>2.57281366591149E-2</v>
      </c>
      <c r="L11" s="14">
        <v>0</v>
      </c>
      <c r="M11" s="14"/>
      <c r="N11" s="14">
        <v>1.6966877994832701E-2</v>
      </c>
      <c r="O11" s="14">
        <v>1.7043493729756502E-2</v>
      </c>
      <c r="P11" s="14">
        <v>2.9398403959374899E-2</v>
      </c>
      <c r="Q11" s="14">
        <v>1.00801548324497E-2</v>
      </c>
      <c r="R11" s="14"/>
      <c r="S11" s="14">
        <v>2.7582216603978599E-2</v>
      </c>
      <c r="T11" s="14">
        <v>1.7471988252547001E-2</v>
      </c>
      <c r="U11" s="14">
        <v>1.1826474483305999E-2</v>
      </c>
      <c r="V11" s="14">
        <v>3.6289867993202399E-2</v>
      </c>
      <c r="W11" s="14">
        <v>2.1157974664371401E-2</v>
      </c>
      <c r="X11" s="14">
        <v>6.3502136775007304E-3</v>
      </c>
      <c r="Y11" s="14">
        <v>1.7624410617679099E-2</v>
      </c>
      <c r="Z11" s="14">
        <v>0</v>
      </c>
      <c r="AA11" s="14">
        <v>1.1695186719694399E-2</v>
      </c>
      <c r="AB11" s="14"/>
      <c r="AC11" s="14">
        <v>3.34391920247065E-2</v>
      </c>
      <c r="AD11" s="14">
        <v>5.5105855404445599E-3</v>
      </c>
      <c r="AE11" s="14">
        <v>2.1620470069907301E-2</v>
      </c>
      <c r="AF11" s="14">
        <v>2.0908493436246602E-2</v>
      </c>
      <c r="AG11" s="14">
        <v>1.9332407551852698E-2</v>
      </c>
      <c r="AH11" s="14"/>
      <c r="AI11" s="14">
        <v>2.0028284381068601E-2</v>
      </c>
      <c r="AJ11" s="14">
        <v>3.7091982169859001E-3</v>
      </c>
      <c r="AK11" s="14">
        <v>6.4445091862130696E-2</v>
      </c>
      <c r="AL11" s="14">
        <v>0</v>
      </c>
      <c r="AM11" s="14">
        <v>2.8378231929526699E-2</v>
      </c>
      <c r="AN11" s="14">
        <v>1.05719752542333E-2</v>
      </c>
      <c r="AO11" s="14"/>
      <c r="AP11" s="14">
        <v>2.13446932308765E-2</v>
      </c>
      <c r="AQ11" s="14">
        <v>1.45756671143236E-2</v>
      </c>
      <c r="AR11" s="14"/>
      <c r="AS11" s="14" t="s">
        <v>88</v>
      </c>
      <c r="AT11" s="14" t="s">
        <v>88</v>
      </c>
      <c r="AU11" s="14">
        <v>1.8144584569114299E-2</v>
      </c>
      <c r="AV11" s="14"/>
      <c r="AW11" s="14">
        <v>1.68447799608324E-2</v>
      </c>
      <c r="AX11" s="14">
        <v>2.5657770423132002E-2</v>
      </c>
      <c r="AY11" s="14"/>
      <c r="AZ11" s="14">
        <v>1.7962337431716699E-2</v>
      </c>
      <c r="BA11" s="14">
        <v>1.9007289410417402E-2</v>
      </c>
    </row>
    <row r="12" spans="2:53" x14ac:dyDescent="0.35">
      <c r="B12" s="15" t="s">
        <v>79</v>
      </c>
      <c r="C12" s="14">
        <v>6.3082115321691397E-3</v>
      </c>
      <c r="D12" s="14">
        <v>4.3973363667362203E-3</v>
      </c>
      <c r="E12" s="14">
        <v>8.2099186932149595E-3</v>
      </c>
      <c r="F12" s="14"/>
      <c r="G12" s="14">
        <v>0</v>
      </c>
      <c r="H12" s="14">
        <v>9.8582246263348005E-3</v>
      </c>
      <c r="I12" s="14">
        <v>4.8001072848184002E-4</v>
      </c>
      <c r="J12" s="14">
        <v>1.17453166658259E-2</v>
      </c>
      <c r="K12" s="14">
        <v>6.60560053927355E-3</v>
      </c>
      <c r="L12" s="14">
        <v>0</v>
      </c>
      <c r="M12" s="14"/>
      <c r="N12" s="14">
        <v>4.6024112452800097E-3</v>
      </c>
      <c r="O12" s="14">
        <v>9.1439206103725492E-3</v>
      </c>
      <c r="P12" s="14">
        <v>4.0793008577466004E-3</v>
      </c>
      <c r="Q12" s="14">
        <v>7.61992952093506E-3</v>
      </c>
      <c r="R12" s="14"/>
      <c r="S12" s="14">
        <v>0</v>
      </c>
      <c r="T12" s="14">
        <v>1.8208469477622301E-2</v>
      </c>
      <c r="U12" s="14">
        <v>1.91184871933707E-3</v>
      </c>
      <c r="V12" s="14">
        <v>2.41240396092766E-3</v>
      </c>
      <c r="W12" s="14">
        <v>1.1296824918053901E-2</v>
      </c>
      <c r="X12" s="14">
        <v>5.1922625452746601E-3</v>
      </c>
      <c r="Y12" s="14">
        <v>0</v>
      </c>
      <c r="Z12" s="14">
        <v>1.5378028681867001E-2</v>
      </c>
      <c r="AA12" s="14">
        <v>4.7812936795605396E-3</v>
      </c>
      <c r="AB12" s="14"/>
      <c r="AC12" s="14">
        <v>2.2636377329150899E-3</v>
      </c>
      <c r="AD12" s="14">
        <v>4.9690181078041297E-3</v>
      </c>
      <c r="AE12" s="14">
        <v>1.43778364471804E-2</v>
      </c>
      <c r="AF12" s="14">
        <v>0</v>
      </c>
      <c r="AG12" s="14">
        <v>0</v>
      </c>
      <c r="AH12" s="14"/>
      <c r="AI12" s="14">
        <v>5.3716612023186703E-3</v>
      </c>
      <c r="AJ12" s="14">
        <v>1.29769946899349E-2</v>
      </c>
      <c r="AK12" s="14">
        <v>6.7111582833459301E-3</v>
      </c>
      <c r="AL12" s="14">
        <v>8.1511068889552306E-3</v>
      </c>
      <c r="AM12" s="14">
        <v>0</v>
      </c>
      <c r="AN12" s="14">
        <v>2.4995693936500801E-3</v>
      </c>
      <c r="AO12" s="14"/>
      <c r="AP12" s="14">
        <v>4.7919634293830003E-3</v>
      </c>
      <c r="AQ12" s="14">
        <v>8.0751106156706602E-3</v>
      </c>
      <c r="AR12" s="14"/>
      <c r="AS12" s="14" t="s">
        <v>88</v>
      </c>
      <c r="AT12" s="14" t="s">
        <v>88</v>
      </c>
      <c r="AU12" s="14">
        <v>6.3082115321691397E-3</v>
      </c>
      <c r="AV12" s="14"/>
      <c r="AW12" s="14">
        <v>4.0274668482701698E-3</v>
      </c>
      <c r="AX12" s="14">
        <v>1.72148228683612E-2</v>
      </c>
      <c r="AY12" s="14"/>
      <c r="AZ12" s="14">
        <v>5.8189784027222703E-3</v>
      </c>
      <c r="BA12" s="14">
        <v>8.15633505279326E-3</v>
      </c>
    </row>
    <row r="13" spans="2:53" x14ac:dyDescent="0.35">
      <c r="B13" s="15" t="s">
        <v>80</v>
      </c>
      <c r="C13" s="18">
        <v>2.95849425490661E-3</v>
      </c>
      <c r="D13" s="18">
        <v>0</v>
      </c>
      <c r="E13" s="18">
        <v>5.8925172494896198E-3</v>
      </c>
      <c r="F13" s="18"/>
      <c r="G13" s="18">
        <v>0</v>
      </c>
      <c r="H13" s="18">
        <v>0</v>
      </c>
      <c r="I13" s="18">
        <v>7.62013718597863E-3</v>
      </c>
      <c r="J13" s="18">
        <v>0</v>
      </c>
      <c r="K13" s="18">
        <v>0</v>
      </c>
      <c r="L13" s="18">
        <v>0</v>
      </c>
      <c r="M13" s="18"/>
      <c r="N13" s="18">
        <v>0</v>
      </c>
      <c r="O13" s="18">
        <v>0</v>
      </c>
      <c r="P13" s="18">
        <v>0</v>
      </c>
      <c r="Q13" s="18">
        <v>1.2250908223452799E-2</v>
      </c>
      <c r="R13" s="18"/>
      <c r="S13" s="18">
        <v>6.6847299292369699E-3</v>
      </c>
      <c r="T13" s="18">
        <v>0</v>
      </c>
      <c r="U13" s="18">
        <v>0</v>
      </c>
      <c r="V13" s="18">
        <v>1.0012684514666701E-2</v>
      </c>
      <c r="W13" s="18">
        <v>0</v>
      </c>
      <c r="X13" s="18">
        <v>8.0675295202096292E-3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2.9738611677587699E-3</v>
      </c>
      <c r="AJ13" s="18">
        <v>0</v>
      </c>
      <c r="AK13" s="18">
        <v>0</v>
      </c>
      <c r="AL13" s="18">
        <v>0</v>
      </c>
      <c r="AM13" s="18">
        <v>0</v>
      </c>
      <c r="AN13" s="18">
        <v>1.49813693238342E-2</v>
      </c>
      <c r="AO13" s="18"/>
      <c r="AP13" s="18">
        <v>0</v>
      </c>
      <c r="AQ13" s="18">
        <v>6.3584422049049599E-3</v>
      </c>
      <c r="AR13" s="18"/>
      <c r="AS13" s="18" t="s">
        <v>88</v>
      </c>
      <c r="AT13" s="18" t="s">
        <v>88</v>
      </c>
      <c r="AU13" s="18">
        <v>2.95849425490661E-3</v>
      </c>
      <c r="AV13" s="18"/>
      <c r="AW13" s="18">
        <v>1.3806588219833201E-3</v>
      </c>
      <c r="AX13" s="18">
        <v>0</v>
      </c>
      <c r="AY13" s="18"/>
      <c r="AZ13" s="18">
        <v>1.3020700500108999E-3</v>
      </c>
      <c r="BA13" s="18">
        <v>5.1899059417677496E-3</v>
      </c>
    </row>
    <row r="14" spans="2:53" x14ac:dyDescent="0.35">
      <c r="B14" s="26" t="s">
        <v>81</v>
      </c>
      <c r="C14" s="27">
        <v>0.97258870964380995</v>
      </c>
      <c r="D14" s="27">
        <v>0.97264704641132904</v>
      </c>
      <c r="E14" s="27">
        <v>0.97248956569893497</v>
      </c>
      <c r="F14" s="27"/>
      <c r="G14" s="27">
        <v>1</v>
      </c>
      <c r="H14" s="27">
        <v>0.94049249392530698</v>
      </c>
      <c r="I14" s="27">
        <v>0.96947713299632698</v>
      </c>
      <c r="J14" s="27">
        <v>0.98246458666425296</v>
      </c>
      <c r="K14" s="27">
        <v>0.96766626280161105</v>
      </c>
      <c r="L14" s="27">
        <v>1</v>
      </c>
      <c r="M14" s="27"/>
      <c r="N14" s="27">
        <v>0.97843071075988697</v>
      </c>
      <c r="O14" s="27">
        <v>0.97381258565987106</v>
      </c>
      <c r="P14" s="27">
        <v>0.96652229518287802</v>
      </c>
      <c r="Q14" s="27">
        <v>0.97004900742316202</v>
      </c>
      <c r="R14" s="27"/>
      <c r="S14" s="27">
        <v>0.96573305346678395</v>
      </c>
      <c r="T14" s="27">
        <v>0.96431954226983096</v>
      </c>
      <c r="U14" s="27">
        <v>0.98626167679735699</v>
      </c>
      <c r="V14" s="27">
        <v>0.95128504353120302</v>
      </c>
      <c r="W14" s="27">
        <v>0.96754520041757497</v>
      </c>
      <c r="X14" s="27">
        <v>0.98038999425701501</v>
      </c>
      <c r="Y14" s="27">
        <v>0.98237558938232095</v>
      </c>
      <c r="Z14" s="27">
        <v>0.984621971318133</v>
      </c>
      <c r="AA14" s="27">
        <v>0.98352351960074502</v>
      </c>
      <c r="AB14" s="27"/>
      <c r="AC14" s="27">
        <v>0.96429717024237804</v>
      </c>
      <c r="AD14" s="27">
        <v>0.98952039635175104</v>
      </c>
      <c r="AE14" s="27">
        <v>0.96400169348291198</v>
      </c>
      <c r="AF14" s="27">
        <v>0.97909150656375299</v>
      </c>
      <c r="AG14" s="27">
        <v>0.98066759244814705</v>
      </c>
      <c r="AH14" s="27"/>
      <c r="AI14" s="27">
        <v>0.97162619324885402</v>
      </c>
      <c r="AJ14" s="27">
        <v>0.98331380709307903</v>
      </c>
      <c r="AK14" s="27">
        <v>0.928843749854523</v>
      </c>
      <c r="AL14" s="27">
        <v>0.99184889311104496</v>
      </c>
      <c r="AM14" s="27">
        <v>0.97162176807047296</v>
      </c>
      <c r="AN14" s="27">
        <v>0.97194708602828195</v>
      </c>
      <c r="AO14" s="27"/>
      <c r="AP14" s="27">
        <v>0.97386334333974001</v>
      </c>
      <c r="AQ14" s="27">
        <v>0.97099078006510098</v>
      </c>
      <c r="AR14" s="27"/>
      <c r="AS14" s="27" t="s">
        <v>88</v>
      </c>
      <c r="AT14" s="27" t="s">
        <v>88</v>
      </c>
      <c r="AU14" s="27">
        <v>0.97258870964380995</v>
      </c>
      <c r="AV14" s="27"/>
      <c r="AW14" s="27">
        <v>0.97774709436891405</v>
      </c>
      <c r="AX14" s="27">
        <v>0.95712740670850704</v>
      </c>
      <c r="AY14" s="27"/>
      <c r="AZ14" s="27">
        <v>0.97491661411554997</v>
      </c>
      <c r="BA14" s="27">
        <v>0.96764646959502199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0.60891261173126598</v>
      </c>
      <c r="D9" s="14">
        <v>0.67406440211181995</v>
      </c>
      <c r="E9" s="14">
        <v>0.54531723680001698</v>
      </c>
      <c r="F9" s="14"/>
      <c r="G9" s="14">
        <v>0.56074380449106598</v>
      </c>
      <c r="H9" s="14">
        <v>0.46001339749551101</v>
      </c>
      <c r="I9" s="14">
        <v>0.64094749075164603</v>
      </c>
      <c r="J9" s="14">
        <v>0.59221141651721398</v>
      </c>
      <c r="K9" s="14">
        <v>0.62181346371942903</v>
      </c>
      <c r="L9" s="14">
        <v>0.82506150946511303</v>
      </c>
      <c r="M9" s="14"/>
      <c r="N9" s="14">
        <v>0.63973405281807605</v>
      </c>
      <c r="O9" s="14">
        <v>0.62801093512576001</v>
      </c>
      <c r="P9" s="14">
        <v>0.55089431543811396</v>
      </c>
      <c r="Q9" s="14">
        <v>0.60377476689537202</v>
      </c>
      <c r="R9" s="14"/>
      <c r="S9" s="14">
        <v>0.70977790654930495</v>
      </c>
      <c r="T9" s="14">
        <v>0.65788408915235796</v>
      </c>
      <c r="U9" s="14">
        <v>0.62923371035754305</v>
      </c>
      <c r="V9" s="14">
        <v>0.50840377193445896</v>
      </c>
      <c r="W9" s="14">
        <v>0.61577864895282997</v>
      </c>
      <c r="X9" s="14">
        <v>0.60309383442342601</v>
      </c>
      <c r="Y9" s="14">
        <v>0.53919574734929798</v>
      </c>
      <c r="Z9" s="14">
        <v>0.52972102757721196</v>
      </c>
      <c r="AA9" s="14">
        <v>0.59036927206666401</v>
      </c>
      <c r="AB9" s="14"/>
      <c r="AC9" s="14">
        <v>0.55407699478633399</v>
      </c>
      <c r="AD9" s="14">
        <v>0.59164849284507104</v>
      </c>
      <c r="AE9" s="14">
        <v>0.64118357302714701</v>
      </c>
      <c r="AF9" s="14">
        <v>0.67476086668122304</v>
      </c>
      <c r="AG9" s="14">
        <v>0.75570465813972498</v>
      </c>
      <c r="AH9" s="14"/>
      <c r="AI9" s="14">
        <v>0.63770336836032304</v>
      </c>
      <c r="AJ9" s="14">
        <v>0.63566875114322596</v>
      </c>
      <c r="AK9" s="14">
        <v>0.59566852341314502</v>
      </c>
      <c r="AL9" s="14">
        <v>0.64435573288626102</v>
      </c>
      <c r="AM9" s="14">
        <v>0.51216073195844702</v>
      </c>
      <c r="AN9" s="14">
        <v>0.49957829196176801</v>
      </c>
      <c r="AO9" s="14"/>
      <c r="AP9" s="14">
        <v>0.63150717418403801</v>
      </c>
      <c r="AQ9" s="14">
        <v>0.58321925167604305</v>
      </c>
      <c r="AR9" s="14"/>
      <c r="AS9" s="14" t="s">
        <v>88</v>
      </c>
      <c r="AT9" s="14" t="s">
        <v>88</v>
      </c>
      <c r="AU9" s="14">
        <v>0.60891261173126598</v>
      </c>
      <c r="AV9" s="14"/>
      <c r="AW9" s="14">
        <v>0.61453023933385298</v>
      </c>
      <c r="AX9" s="14">
        <v>0.688053142762031</v>
      </c>
      <c r="AY9" s="14"/>
      <c r="AZ9" s="14">
        <v>0.63481198642628001</v>
      </c>
      <c r="BA9" s="14">
        <v>0.51775124887604196</v>
      </c>
    </row>
    <row r="10" spans="2:53" x14ac:dyDescent="0.35">
      <c r="B10" s="15" t="s">
        <v>77</v>
      </c>
      <c r="C10" s="14">
        <v>0.32750348474317698</v>
      </c>
      <c r="D10" s="14">
        <v>0.28351422966559398</v>
      </c>
      <c r="E10" s="14">
        <v>0.371556850746394</v>
      </c>
      <c r="F10" s="14"/>
      <c r="G10" s="14">
        <v>0.43925619550893402</v>
      </c>
      <c r="H10" s="14">
        <v>0.43923242776265198</v>
      </c>
      <c r="I10" s="14">
        <v>0.29932922344631602</v>
      </c>
      <c r="J10" s="14">
        <v>0.344551221199837</v>
      </c>
      <c r="K10" s="14">
        <v>0.31384865956890901</v>
      </c>
      <c r="L10" s="14">
        <v>0.174938490534887</v>
      </c>
      <c r="M10" s="14"/>
      <c r="N10" s="14">
        <v>0.29986394533001598</v>
      </c>
      <c r="O10" s="14">
        <v>0.31428496980131898</v>
      </c>
      <c r="P10" s="14">
        <v>0.40051188569475898</v>
      </c>
      <c r="Q10" s="14">
        <v>0.30759558977658003</v>
      </c>
      <c r="R10" s="14"/>
      <c r="S10" s="14">
        <v>0.245311967800003</v>
      </c>
      <c r="T10" s="14">
        <v>0.27822804566745202</v>
      </c>
      <c r="U10" s="14">
        <v>0.32952459049687599</v>
      </c>
      <c r="V10" s="14">
        <v>0.41714633706756599</v>
      </c>
      <c r="W10" s="14">
        <v>0.32248385479716402</v>
      </c>
      <c r="X10" s="14">
        <v>0.364881285970174</v>
      </c>
      <c r="Y10" s="14">
        <v>0.350113776820422</v>
      </c>
      <c r="Z10" s="14">
        <v>0.39711659936318999</v>
      </c>
      <c r="AA10" s="14">
        <v>0.33233052595243101</v>
      </c>
      <c r="AB10" s="14"/>
      <c r="AC10" s="14">
        <v>0.37553842548995098</v>
      </c>
      <c r="AD10" s="14">
        <v>0.34512761129254699</v>
      </c>
      <c r="AE10" s="14">
        <v>0.31439650874643399</v>
      </c>
      <c r="AF10" s="14">
        <v>0.25699416268096997</v>
      </c>
      <c r="AG10" s="14">
        <v>0.20769042143872199</v>
      </c>
      <c r="AH10" s="14"/>
      <c r="AI10" s="14">
        <v>0.30608274922904399</v>
      </c>
      <c r="AJ10" s="14">
        <v>0.28064547394906703</v>
      </c>
      <c r="AK10" s="14">
        <v>0.36325903189784098</v>
      </c>
      <c r="AL10" s="14">
        <v>0.29733399756227302</v>
      </c>
      <c r="AM10" s="14">
        <v>0.39772334373686802</v>
      </c>
      <c r="AN10" s="14">
        <v>0.4225592304463</v>
      </c>
      <c r="AO10" s="14"/>
      <c r="AP10" s="14">
        <v>0.32602381022664301</v>
      </c>
      <c r="AQ10" s="14">
        <v>0.330864221655361</v>
      </c>
      <c r="AR10" s="14"/>
      <c r="AS10" s="14" t="s">
        <v>88</v>
      </c>
      <c r="AT10" s="14" t="s">
        <v>88</v>
      </c>
      <c r="AU10" s="14">
        <v>0.32750348474317698</v>
      </c>
      <c r="AV10" s="14"/>
      <c r="AW10" s="14">
        <v>0.33162507362217902</v>
      </c>
      <c r="AX10" s="14">
        <v>0.243629859241321</v>
      </c>
      <c r="AY10" s="14"/>
      <c r="AZ10" s="14">
        <v>0.309002611320845</v>
      </c>
      <c r="BA10" s="14">
        <v>0.39489018596967701</v>
      </c>
    </row>
    <row r="11" spans="2:53" x14ac:dyDescent="0.35">
      <c r="B11" s="15" t="s">
        <v>78</v>
      </c>
      <c r="C11" s="14">
        <v>4.6411719638993897E-2</v>
      </c>
      <c r="D11" s="14">
        <v>3.5336329506711103E-2</v>
      </c>
      <c r="E11" s="14">
        <v>5.59393244968606E-2</v>
      </c>
      <c r="F11" s="14"/>
      <c r="G11" s="14">
        <v>0</v>
      </c>
      <c r="H11" s="14">
        <v>0.100754174741837</v>
      </c>
      <c r="I11" s="14">
        <v>4.0765288686427502E-2</v>
      </c>
      <c r="J11" s="14">
        <v>4.2396242952177102E-2</v>
      </c>
      <c r="K11" s="14">
        <v>4.9632005892915602E-2</v>
      </c>
      <c r="L11" s="14">
        <v>0</v>
      </c>
      <c r="M11" s="14"/>
      <c r="N11" s="14">
        <v>5.1127575589270197E-2</v>
      </c>
      <c r="O11" s="14">
        <v>3.8701812790576599E-2</v>
      </c>
      <c r="P11" s="14">
        <v>3.5264994939061101E-2</v>
      </c>
      <c r="Q11" s="14">
        <v>6.0302739506368101E-2</v>
      </c>
      <c r="R11" s="14"/>
      <c r="S11" s="14">
        <v>2.4721549937770398E-2</v>
      </c>
      <c r="T11" s="14">
        <v>4.3955679251330503E-2</v>
      </c>
      <c r="U11" s="14">
        <v>4.1241699145580797E-2</v>
      </c>
      <c r="V11" s="14">
        <v>5.3060755129584899E-2</v>
      </c>
      <c r="W11" s="14">
        <v>4.19937830751511E-2</v>
      </c>
      <c r="X11" s="14">
        <v>1.35728249956415E-2</v>
      </c>
      <c r="Y11" s="14">
        <v>0.102668640193049</v>
      </c>
      <c r="Z11" s="14">
        <v>3.1910338132762901E-2</v>
      </c>
      <c r="AA11" s="14">
        <v>6.2956320658858506E-2</v>
      </c>
      <c r="AB11" s="14"/>
      <c r="AC11" s="14">
        <v>6.0659247410168302E-2</v>
      </c>
      <c r="AD11" s="14">
        <v>5.43487969076481E-2</v>
      </c>
      <c r="AE11" s="14">
        <v>2.4490694375604201E-2</v>
      </c>
      <c r="AF11" s="14">
        <v>5.8359027043756097E-2</v>
      </c>
      <c r="AG11" s="14">
        <v>3.6604920421553597E-2</v>
      </c>
      <c r="AH11" s="14"/>
      <c r="AI11" s="14">
        <v>4.5289880722743397E-2</v>
      </c>
      <c r="AJ11" s="14">
        <v>6.54041157695298E-2</v>
      </c>
      <c r="AK11" s="14">
        <v>1.77716375539872E-2</v>
      </c>
      <c r="AL11" s="14">
        <v>3.5411660650573697E-2</v>
      </c>
      <c r="AM11" s="14">
        <v>7.1111112437099597E-2</v>
      </c>
      <c r="AN11" s="14">
        <v>5.7297658828803603E-2</v>
      </c>
      <c r="AO11" s="14"/>
      <c r="AP11" s="14">
        <v>3.5282340758631001E-2</v>
      </c>
      <c r="AQ11" s="14">
        <v>5.9381451053678397E-2</v>
      </c>
      <c r="AR11" s="14"/>
      <c r="AS11" s="14" t="s">
        <v>88</v>
      </c>
      <c r="AT11" s="14" t="s">
        <v>88</v>
      </c>
      <c r="AU11" s="14">
        <v>4.6411719638993897E-2</v>
      </c>
      <c r="AV11" s="14"/>
      <c r="AW11" s="14">
        <v>4.3653195241496898E-2</v>
      </c>
      <c r="AX11" s="14">
        <v>4.4305692409961898E-2</v>
      </c>
      <c r="AY11" s="14"/>
      <c r="AZ11" s="14">
        <v>4.5584520571095397E-2</v>
      </c>
      <c r="BA11" s="14">
        <v>4.99308936314539E-2</v>
      </c>
    </row>
    <row r="12" spans="2:53" x14ac:dyDescent="0.35">
      <c r="B12" s="15" t="s">
        <v>79</v>
      </c>
      <c r="C12" s="14">
        <v>8.8744384103124005E-3</v>
      </c>
      <c r="D12" s="14">
        <v>4.40415417709762E-3</v>
      </c>
      <c r="E12" s="14">
        <v>1.3314394713663E-2</v>
      </c>
      <c r="F12" s="14"/>
      <c r="G12" s="14">
        <v>0</v>
      </c>
      <c r="H12" s="14">
        <v>0</v>
      </c>
      <c r="I12" s="14">
        <v>6.1322515026663504E-3</v>
      </c>
      <c r="J12" s="14">
        <v>1.21861386722685E-2</v>
      </c>
      <c r="K12" s="14">
        <v>1.4705870818746501E-2</v>
      </c>
      <c r="L12" s="14">
        <v>0</v>
      </c>
      <c r="M12" s="14"/>
      <c r="N12" s="14">
        <v>5.9987580280970497E-3</v>
      </c>
      <c r="O12" s="14">
        <v>1.4329721382606599E-2</v>
      </c>
      <c r="P12" s="14">
        <v>7.5886762482806902E-3</v>
      </c>
      <c r="Q12" s="14">
        <v>7.9946764556079897E-3</v>
      </c>
      <c r="R12" s="14"/>
      <c r="S12" s="14">
        <v>4.3022926160811298E-3</v>
      </c>
      <c r="T12" s="14">
        <v>1.3184120373462701E-2</v>
      </c>
      <c r="U12" s="14">
        <v>0</v>
      </c>
      <c r="V12" s="14">
        <v>1.13764513537233E-2</v>
      </c>
      <c r="W12" s="14">
        <v>1.9743713174855099E-2</v>
      </c>
      <c r="X12" s="14">
        <v>5.1922625452746601E-3</v>
      </c>
      <c r="Y12" s="14">
        <v>4.0109179166637103E-3</v>
      </c>
      <c r="Z12" s="14">
        <v>1.5651534304922901E-2</v>
      </c>
      <c r="AA12" s="14">
        <v>9.5625873591210792E-3</v>
      </c>
      <c r="AB12" s="14"/>
      <c r="AC12" s="14">
        <v>9.7253323135473302E-3</v>
      </c>
      <c r="AD12" s="14">
        <v>8.8750989547334101E-3</v>
      </c>
      <c r="AE12" s="14">
        <v>1.4361019513780399E-2</v>
      </c>
      <c r="AF12" s="14">
        <v>5.9743674213876899E-3</v>
      </c>
      <c r="AG12" s="14">
        <v>0</v>
      </c>
      <c r="AH12" s="14"/>
      <c r="AI12" s="14">
        <v>2.2532231952783299E-3</v>
      </c>
      <c r="AJ12" s="14">
        <v>1.59482656004107E-2</v>
      </c>
      <c r="AK12" s="14">
        <v>1.7557354227307701E-2</v>
      </c>
      <c r="AL12" s="14">
        <v>8.1307127147342492E-3</v>
      </c>
      <c r="AM12" s="14">
        <v>1.9004811867584501E-2</v>
      </c>
      <c r="AN12" s="14">
        <v>5.5834494392945798E-3</v>
      </c>
      <c r="AO12" s="14"/>
      <c r="AP12" s="14">
        <v>7.1866748306876303E-3</v>
      </c>
      <c r="AQ12" s="14">
        <v>8.7014310322890108E-3</v>
      </c>
      <c r="AR12" s="14"/>
      <c r="AS12" s="14" t="s">
        <v>88</v>
      </c>
      <c r="AT12" s="14" t="s">
        <v>88</v>
      </c>
      <c r="AU12" s="14">
        <v>8.8744384103124005E-3</v>
      </c>
      <c r="AV12" s="14"/>
      <c r="AW12" s="14">
        <v>6.59018766001039E-3</v>
      </c>
      <c r="AX12" s="14">
        <v>1.55971914321644E-2</v>
      </c>
      <c r="AY12" s="14"/>
      <c r="AZ12" s="14">
        <v>4.31715905096692E-3</v>
      </c>
      <c r="BA12" s="14">
        <v>2.55396171064038E-2</v>
      </c>
    </row>
    <row r="13" spans="2:53" x14ac:dyDescent="0.35">
      <c r="B13" s="15" t="s">
        <v>80</v>
      </c>
      <c r="C13" s="18">
        <v>8.2977454762506505E-3</v>
      </c>
      <c r="D13" s="18">
        <v>2.68088453877774E-3</v>
      </c>
      <c r="E13" s="18">
        <v>1.38721932430656E-2</v>
      </c>
      <c r="F13" s="18"/>
      <c r="G13" s="18">
        <v>0</v>
      </c>
      <c r="H13" s="18">
        <v>0</v>
      </c>
      <c r="I13" s="18">
        <v>1.2825745612944099E-2</v>
      </c>
      <c r="J13" s="18">
        <v>8.6549806585034701E-3</v>
      </c>
      <c r="K13" s="18">
        <v>0</v>
      </c>
      <c r="L13" s="18">
        <v>0</v>
      </c>
      <c r="M13" s="18"/>
      <c r="N13" s="18">
        <v>3.2756682345405899E-3</v>
      </c>
      <c r="O13" s="18">
        <v>4.6725608997380602E-3</v>
      </c>
      <c r="P13" s="18">
        <v>5.7401276797851902E-3</v>
      </c>
      <c r="Q13" s="18">
        <v>2.0332227366072101E-2</v>
      </c>
      <c r="R13" s="18"/>
      <c r="S13" s="18">
        <v>1.58862830968402E-2</v>
      </c>
      <c r="T13" s="18">
        <v>6.7480655553974703E-3</v>
      </c>
      <c r="U13" s="18">
        <v>0</v>
      </c>
      <c r="V13" s="18">
        <v>1.0012684514666701E-2</v>
      </c>
      <c r="W13" s="18">
        <v>0</v>
      </c>
      <c r="X13" s="18">
        <v>1.32597920654843E-2</v>
      </c>
      <c r="Y13" s="18">
        <v>4.0109177205673698E-3</v>
      </c>
      <c r="Z13" s="18">
        <v>2.5600500621911802E-2</v>
      </c>
      <c r="AA13" s="18">
        <v>4.7812939629247797E-3</v>
      </c>
      <c r="AB13" s="18"/>
      <c r="AC13" s="18">
        <v>0</v>
      </c>
      <c r="AD13" s="18">
        <v>0</v>
      </c>
      <c r="AE13" s="18">
        <v>5.5682043370344804E-3</v>
      </c>
      <c r="AF13" s="18">
        <v>3.9115761726628701E-3</v>
      </c>
      <c r="AG13" s="18">
        <v>0</v>
      </c>
      <c r="AH13" s="18"/>
      <c r="AI13" s="18">
        <v>8.6707784926103402E-3</v>
      </c>
      <c r="AJ13" s="18">
        <v>2.33339353776674E-3</v>
      </c>
      <c r="AK13" s="18">
        <v>5.7434529077191399E-3</v>
      </c>
      <c r="AL13" s="18">
        <v>1.47678961861583E-2</v>
      </c>
      <c r="AM13" s="18">
        <v>0</v>
      </c>
      <c r="AN13" s="18">
        <v>1.49813693238342E-2</v>
      </c>
      <c r="AO13" s="18"/>
      <c r="AP13" s="18">
        <v>0</v>
      </c>
      <c r="AQ13" s="18">
        <v>1.7833644582628001E-2</v>
      </c>
      <c r="AR13" s="18"/>
      <c r="AS13" s="18" t="s">
        <v>88</v>
      </c>
      <c r="AT13" s="18" t="s">
        <v>88</v>
      </c>
      <c r="AU13" s="18">
        <v>8.2977454762506505E-3</v>
      </c>
      <c r="AV13" s="18"/>
      <c r="AW13" s="18">
        <v>3.6013041424611098E-3</v>
      </c>
      <c r="AX13" s="18">
        <v>8.4141141545210699E-3</v>
      </c>
      <c r="AY13" s="18"/>
      <c r="AZ13" s="18">
        <v>6.2837226308134998E-3</v>
      </c>
      <c r="BA13" s="18">
        <v>1.1888054416422799E-2</v>
      </c>
    </row>
    <row r="14" spans="2:53" x14ac:dyDescent="0.35">
      <c r="B14" s="26" t="s">
        <v>81</v>
      </c>
      <c r="C14" s="27">
        <v>0.93641609647444302</v>
      </c>
      <c r="D14" s="27">
        <v>0.95757863177741398</v>
      </c>
      <c r="E14" s="27">
        <v>0.91687408754641098</v>
      </c>
      <c r="F14" s="27"/>
      <c r="G14" s="27">
        <v>1</v>
      </c>
      <c r="H14" s="27">
        <v>0.89924582525816299</v>
      </c>
      <c r="I14" s="27">
        <v>0.94027671419796199</v>
      </c>
      <c r="J14" s="27">
        <v>0.93676263771705104</v>
      </c>
      <c r="K14" s="27">
        <v>0.93566212328833798</v>
      </c>
      <c r="L14" s="27">
        <v>1</v>
      </c>
      <c r="M14" s="27"/>
      <c r="N14" s="27">
        <v>0.93959799814809197</v>
      </c>
      <c r="O14" s="27">
        <v>0.94229590492707904</v>
      </c>
      <c r="P14" s="27">
        <v>0.951406201132873</v>
      </c>
      <c r="Q14" s="27">
        <v>0.91137035667195199</v>
      </c>
      <c r="R14" s="27"/>
      <c r="S14" s="27">
        <v>0.95508987434930803</v>
      </c>
      <c r="T14" s="27">
        <v>0.93611213481980904</v>
      </c>
      <c r="U14" s="27">
        <v>0.95875830085441904</v>
      </c>
      <c r="V14" s="27">
        <v>0.92555010900202495</v>
      </c>
      <c r="W14" s="27">
        <v>0.93826250374999398</v>
      </c>
      <c r="X14" s="27">
        <v>0.96797512039360001</v>
      </c>
      <c r="Y14" s="27">
        <v>0.88930952416971998</v>
      </c>
      <c r="Z14" s="27">
        <v>0.92683762694040195</v>
      </c>
      <c r="AA14" s="27">
        <v>0.92269979801909596</v>
      </c>
      <c r="AB14" s="27"/>
      <c r="AC14" s="27">
        <v>0.92961542027628397</v>
      </c>
      <c r="AD14" s="27">
        <v>0.93677610413761803</v>
      </c>
      <c r="AE14" s="27">
        <v>0.955580081773581</v>
      </c>
      <c r="AF14" s="27">
        <v>0.93175502936219301</v>
      </c>
      <c r="AG14" s="27">
        <v>0.96339507957844694</v>
      </c>
      <c r="AH14" s="27"/>
      <c r="AI14" s="27">
        <v>0.94378611758936803</v>
      </c>
      <c r="AJ14" s="27">
        <v>0.91631422509229299</v>
      </c>
      <c r="AK14" s="27">
        <v>0.95892755531098595</v>
      </c>
      <c r="AL14" s="27">
        <v>0.94168973044853399</v>
      </c>
      <c r="AM14" s="27">
        <v>0.90988407569531604</v>
      </c>
      <c r="AN14" s="27">
        <v>0.92213752240806801</v>
      </c>
      <c r="AO14" s="27"/>
      <c r="AP14" s="27">
        <v>0.95753098441068196</v>
      </c>
      <c r="AQ14" s="27">
        <v>0.91408347333140405</v>
      </c>
      <c r="AR14" s="27"/>
      <c r="AS14" s="27" t="s">
        <v>88</v>
      </c>
      <c r="AT14" s="27" t="s">
        <v>88</v>
      </c>
      <c r="AU14" s="27">
        <v>0.93641609647444302</v>
      </c>
      <c r="AV14" s="27"/>
      <c r="AW14" s="27">
        <v>0.94615531295603195</v>
      </c>
      <c r="AX14" s="27">
        <v>0.93168300200335297</v>
      </c>
      <c r="AY14" s="27"/>
      <c r="AZ14" s="27">
        <v>0.94381459774712395</v>
      </c>
      <c r="BA14" s="27">
        <v>0.91264143484572002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102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0.35809679181709397</v>
      </c>
      <c r="D9" s="14">
        <v>0.41588057767095699</v>
      </c>
      <c r="E9" s="14">
        <v>0.29990922860743702</v>
      </c>
      <c r="F9" s="14"/>
      <c r="G9" s="14">
        <v>0</v>
      </c>
      <c r="H9" s="14">
        <v>0.36838165112889298</v>
      </c>
      <c r="I9" s="14">
        <v>0.43603237088428398</v>
      </c>
      <c r="J9" s="14">
        <v>0.30608058008566102</v>
      </c>
      <c r="K9" s="14">
        <v>0.283157330826178</v>
      </c>
      <c r="L9" s="14">
        <v>0.30633530711593399</v>
      </c>
      <c r="M9" s="14"/>
      <c r="N9" s="14">
        <v>0.437751694522163</v>
      </c>
      <c r="O9" s="14">
        <v>0.32903961347211003</v>
      </c>
      <c r="P9" s="14">
        <v>0.31849013711221502</v>
      </c>
      <c r="Q9" s="14">
        <v>0.33367178365947697</v>
      </c>
      <c r="R9" s="14"/>
      <c r="S9" s="14">
        <v>0.47340680472223901</v>
      </c>
      <c r="T9" s="14">
        <v>0.39260068360233702</v>
      </c>
      <c r="U9" s="14">
        <v>0.34986686844847897</v>
      </c>
      <c r="V9" s="14">
        <v>0.22378312831963201</v>
      </c>
      <c r="W9" s="14">
        <v>0.328718438930241</v>
      </c>
      <c r="X9" s="14">
        <v>0.37826634359280897</v>
      </c>
      <c r="Y9" s="14">
        <v>0.35938998771520297</v>
      </c>
      <c r="Z9" s="14">
        <v>0.32729804995231199</v>
      </c>
      <c r="AA9" s="14">
        <v>0.32075353189717498</v>
      </c>
      <c r="AB9" s="14"/>
      <c r="AC9" s="14">
        <v>0.28852349042452202</v>
      </c>
      <c r="AD9" s="14">
        <v>0.2737450718751</v>
      </c>
      <c r="AE9" s="14">
        <v>0.43841935010528299</v>
      </c>
      <c r="AF9" s="14">
        <v>0.503091077960236</v>
      </c>
      <c r="AG9" s="14">
        <v>0.58384312282107798</v>
      </c>
      <c r="AH9" s="14"/>
      <c r="AI9" s="14">
        <v>0.42294259687991698</v>
      </c>
      <c r="AJ9" s="14">
        <v>0.41037205638388102</v>
      </c>
      <c r="AK9" s="14">
        <v>0.34474115989137</v>
      </c>
      <c r="AL9" s="14">
        <v>0.27956817292165198</v>
      </c>
      <c r="AM9" s="14">
        <v>0.31619782044396499</v>
      </c>
      <c r="AN9" s="14">
        <v>0.30682353667227003</v>
      </c>
      <c r="AO9" s="14"/>
      <c r="AP9" s="14">
        <v>0.38730364715419002</v>
      </c>
      <c r="AQ9" s="14">
        <v>0.32545049129758202</v>
      </c>
      <c r="AR9" s="14"/>
      <c r="AS9" s="14" t="s">
        <v>88</v>
      </c>
      <c r="AT9" s="14" t="s">
        <v>88</v>
      </c>
      <c r="AU9" s="14">
        <v>0.35809679181709397</v>
      </c>
      <c r="AV9" s="14"/>
      <c r="AW9" s="14">
        <v>0.35313050198817503</v>
      </c>
      <c r="AX9" s="14">
        <v>0.51421808848355599</v>
      </c>
      <c r="AY9" s="14"/>
      <c r="AZ9" s="14">
        <v>0.39222637635109903</v>
      </c>
      <c r="BA9" s="14">
        <v>0.23076535790581701</v>
      </c>
    </row>
    <row r="10" spans="2:53" x14ac:dyDescent="0.35">
      <c r="B10" s="15" t="s">
        <v>77</v>
      </c>
      <c r="C10" s="14">
        <v>0.41135299287060201</v>
      </c>
      <c r="D10" s="14">
        <v>0.39263693229622199</v>
      </c>
      <c r="E10" s="14">
        <v>0.43050693466740902</v>
      </c>
      <c r="F10" s="14"/>
      <c r="G10" s="14">
        <v>0.37788578674971901</v>
      </c>
      <c r="H10" s="14">
        <v>0.42836958510623002</v>
      </c>
      <c r="I10" s="14">
        <v>0.38535349769876098</v>
      </c>
      <c r="J10" s="14">
        <v>0.42106537272530398</v>
      </c>
      <c r="K10" s="14">
        <v>0.42533001851654001</v>
      </c>
      <c r="L10" s="14">
        <v>0.56903003231470195</v>
      </c>
      <c r="M10" s="14"/>
      <c r="N10" s="14">
        <v>0.41038085566722199</v>
      </c>
      <c r="O10" s="14">
        <v>0.47526969651654399</v>
      </c>
      <c r="P10" s="14">
        <v>0.37682738902624002</v>
      </c>
      <c r="Q10" s="14">
        <v>0.38029103726800101</v>
      </c>
      <c r="R10" s="14"/>
      <c r="S10" s="14">
        <v>0.34158820150171398</v>
      </c>
      <c r="T10" s="14">
        <v>0.34472437663858202</v>
      </c>
      <c r="U10" s="14">
        <v>0.420215553037325</v>
      </c>
      <c r="V10" s="14">
        <v>0.51845094368224398</v>
      </c>
      <c r="W10" s="14">
        <v>0.45146309825852599</v>
      </c>
      <c r="X10" s="14">
        <v>0.40278630413133998</v>
      </c>
      <c r="Y10" s="14">
        <v>0.40342196591975299</v>
      </c>
      <c r="Z10" s="14">
        <v>0.41734695630850699</v>
      </c>
      <c r="AA10" s="14">
        <v>0.45437781204107702</v>
      </c>
      <c r="AB10" s="14"/>
      <c r="AC10" s="14">
        <v>0.42010392638155702</v>
      </c>
      <c r="AD10" s="14">
        <v>0.44975964432961402</v>
      </c>
      <c r="AE10" s="14">
        <v>0.371854450149325</v>
      </c>
      <c r="AF10" s="14">
        <v>0.35125597466094599</v>
      </c>
      <c r="AG10" s="14">
        <v>0.32624518045122902</v>
      </c>
      <c r="AH10" s="14"/>
      <c r="AI10" s="14">
        <v>0.36898251249391401</v>
      </c>
      <c r="AJ10" s="14">
        <v>0.434612020251327</v>
      </c>
      <c r="AK10" s="14">
        <v>0.49605691000101798</v>
      </c>
      <c r="AL10" s="14">
        <v>0.37897939794748098</v>
      </c>
      <c r="AM10" s="14">
        <v>0.42838045521867202</v>
      </c>
      <c r="AN10" s="14">
        <v>0.44191350367283599</v>
      </c>
      <c r="AO10" s="14"/>
      <c r="AP10" s="14">
        <v>0.400228185256439</v>
      </c>
      <c r="AQ10" s="14">
        <v>0.42617595261435498</v>
      </c>
      <c r="AR10" s="14"/>
      <c r="AS10" s="14" t="s">
        <v>88</v>
      </c>
      <c r="AT10" s="14" t="s">
        <v>88</v>
      </c>
      <c r="AU10" s="14">
        <v>0.41135299287060201</v>
      </c>
      <c r="AV10" s="14"/>
      <c r="AW10" s="14">
        <v>0.42700892556459102</v>
      </c>
      <c r="AX10" s="14">
        <v>0.36800581437822499</v>
      </c>
      <c r="AY10" s="14"/>
      <c r="AZ10" s="14">
        <v>0.40490626310845901</v>
      </c>
      <c r="BA10" s="14">
        <v>0.43932717984312902</v>
      </c>
    </row>
    <row r="11" spans="2:53" x14ac:dyDescent="0.35">
      <c r="B11" s="15" t="s">
        <v>78</v>
      </c>
      <c r="C11" s="14">
        <v>0.18004432640399301</v>
      </c>
      <c r="D11" s="14">
        <v>0.158876061001059</v>
      </c>
      <c r="E11" s="14">
        <v>0.20127732386221101</v>
      </c>
      <c r="F11" s="14"/>
      <c r="G11" s="14">
        <v>0.43925619550893402</v>
      </c>
      <c r="H11" s="14">
        <v>0.197552022964947</v>
      </c>
      <c r="I11" s="14">
        <v>0.13104689758799201</v>
      </c>
      <c r="J11" s="14">
        <v>0.21160865243263899</v>
      </c>
      <c r="K11" s="14">
        <v>0.23465319335569601</v>
      </c>
      <c r="L11" s="14">
        <v>9.3586521800859607E-2</v>
      </c>
      <c r="M11" s="14"/>
      <c r="N11" s="14">
        <v>0.11811941237724401</v>
      </c>
      <c r="O11" s="14">
        <v>0.16032103600459099</v>
      </c>
      <c r="P11" s="14">
        <v>0.26096598594288001</v>
      </c>
      <c r="Q11" s="14">
        <v>0.19359900550647599</v>
      </c>
      <c r="R11" s="14"/>
      <c r="S11" s="14">
        <v>0.141332486598162</v>
      </c>
      <c r="T11" s="14">
        <v>0.21294115946731701</v>
      </c>
      <c r="U11" s="14">
        <v>0.20858508906855699</v>
      </c>
      <c r="V11" s="14">
        <v>0.16341231008625101</v>
      </c>
      <c r="W11" s="14">
        <v>0.18284799755676601</v>
      </c>
      <c r="X11" s="14">
        <v>0.17087391017284101</v>
      </c>
      <c r="Y11" s="14">
        <v>0.201325118552482</v>
      </c>
      <c r="Z11" s="14">
        <v>0.204601349305854</v>
      </c>
      <c r="AA11" s="14">
        <v>0.157485223392544</v>
      </c>
      <c r="AB11" s="14"/>
      <c r="AC11" s="14">
        <v>0.24199313710707601</v>
      </c>
      <c r="AD11" s="14">
        <v>0.247467625162582</v>
      </c>
      <c r="AE11" s="14">
        <v>0.14201058795813201</v>
      </c>
      <c r="AF11" s="14">
        <v>0.117447284170278</v>
      </c>
      <c r="AG11" s="14">
        <v>6.3333977133674502E-2</v>
      </c>
      <c r="AH11" s="14"/>
      <c r="AI11" s="14">
        <v>0.167046707574495</v>
      </c>
      <c r="AJ11" s="14">
        <v>9.1108500509061496E-2</v>
      </c>
      <c r="AK11" s="14">
        <v>0.108260938569388</v>
      </c>
      <c r="AL11" s="14">
        <v>0.287051231814759</v>
      </c>
      <c r="AM11" s="14">
        <v>0.22914668551763701</v>
      </c>
      <c r="AN11" s="14">
        <v>0.20967055144666699</v>
      </c>
      <c r="AO11" s="14"/>
      <c r="AP11" s="14">
        <v>0.17379299266093001</v>
      </c>
      <c r="AQ11" s="14">
        <v>0.18811349551211401</v>
      </c>
      <c r="AR11" s="14"/>
      <c r="AS11" s="14" t="s">
        <v>88</v>
      </c>
      <c r="AT11" s="14" t="s">
        <v>88</v>
      </c>
      <c r="AU11" s="14">
        <v>0.18004432640399301</v>
      </c>
      <c r="AV11" s="14"/>
      <c r="AW11" s="14">
        <v>0.184902656162691</v>
      </c>
      <c r="AX11" s="14">
        <v>7.6947051407313699E-2</v>
      </c>
      <c r="AY11" s="14"/>
      <c r="AZ11" s="14">
        <v>0.15909765166203499</v>
      </c>
      <c r="BA11" s="14">
        <v>0.25817895547610398</v>
      </c>
    </row>
    <row r="12" spans="2:53" x14ac:dyDescent="0.35">
      <c r="B12" s="15" t="s">
        <v>79</v>
      </c>
      <c r="C12" s="14">
        <v>3.3004043498949601E-2</v>
      </c>
      <c r="D12" s="14">
        <v>2.26913640789469E-2</v>
      </c>
      <c r="E12" s="14">
        <v>4.3265674298475602E-2</v>
      </c>
      <c r="F12" s="14"/>
      <c r="G12" s="14">
        <v>0</v>
      </c>
      <c r="H12" s="14">
        <v>5.6967407999305598E-3</v>
      </c>
      <c r="I12" s="14">
        <v>1.9633940785329901E-2</v>
      </c>
      <c r="J12" s="14">
        <v>4.6625045593235201E-2</v>
      </c>
      <c r="K12" s="14">
        <v>5.6859457301585599E-2</v>
      </c>
      <c r="L12" s="14">
        <v>0</v>
      </c>
      <c r="M12" s="14"/>
      <c r="N12" s="14">
        <v>2.6132041241876298E-2</v>
      </c>
      <c r="O12" s="14">
        <v>2.2047730950830499E-2</v>
      </c>
      <c r="P12" s="14">
        <v>3.4203636008591103E-2</v>
      </c>
      <c r="Q12" s="14">
        <v>5.13959457050506E-2</v>
      </c>
      <c r="R12" s="14"/>
      <c r="S12" s="14">
        <v>1.57138270725901E-2</v>
      </c>
      <c r="T12" s="14">
        <v>4.2985714736366303E-2</v>
      </c>
      <c r="U12" s="14">
        <v>0</v>
      </c>
      <c r="V12" s="14">
        <v>7.64596261710416E-2</v>
      </c>
      <c r="W12" s="14">
        <v>3.6970465254466699E-2</v>
      </c>
      <c r="X12" s="14">
        <v>3.0931279956470999E-2</v>
      </c>
      <c r="Y12" s="14">
        <v>2.78410923714273E-2</v>
      </c>
      <c r="Z12" s="14">
        <v>0</v>
      </c>
      <c r="AA12" s="14">
        <v>4.49542717448978E-2</v>
      </c>
      <c r="AB12" s="14"/>
      <c r="AC12" s="14">
        <v>4.3781412128040799E-2</v>
      </c>
      <c r="AD12" s="14">
        <v>2.9027658632703401E-2</v>
      </c>
      <c r="AE12" s="14">
        <v>3.00027643347444E-2</v>
      </c>
      <c r="AF12" s="14">
        <v>1.38947595456954E-2</v>
      </c>
      <c r="AG12" s="14">
        <v>2.65777195940189E-2</v>
      </c>
      <c r="AH12" s="14"/>
      <c r="AI12" s="14">
        <v>2.8584975092094501E-2</v>
      </c>
      <c r="AJ12" s="14">
        <v>5.7898894480270698E-2</v>
      </c>
      <c r="AK12" s="14">
        <v>2.9254330986027501E-2</v>
      </c>
      <c r="AL12" s="14">
        <v>3.1689411471239701E-2</v>
      </c>
      <c r="AM12" s="14">
        <v>0</v>
      </c>
      <c r="AN12" s="14">
        <v>9.6420084105418198E-3</v>
      </c>
      <c r="AO12" s="14"/>
      <c r="AP12" s="14">
        <v>2.5621095041210701E-2</v>
      </c>
      <c r="AQ12" s="14">
        <v>3.9469908843948603E-2</v>
      </c>
      <c r="AR12" s="14"/>
      <c r="AS12" s="14" t="s">
        <v>88</v>
      </c>
      <c r="AT12" s="14" t="s">
        <v>88</v>
      </c>
      <c r="AU12" s="14">
        <v>3.3004043498949601E-2</v>
      </c>
      <c r="AV12" s="14"/>
      <c r="AW12" s="14">
        <v>2.2038149977890699E-2</v>
      </c>
      <c r="AX12" s="14">
        <v>3.2414931576384101E-2</v>
      </c>
      <c r="AY12" s="14"/>
      <c r="AZ12" s="14">
        <v>3.20942975095262E-2</v>
      </c>
      <c r="BA12" s="14">
        <v>3.6675388258011997E-2</v>
      </c>
    </row>
    <row r="13" spans="2:53" x14ac:dyDescent="0.35">
      <c r="B13" s="15" t="s">
        <v>80</v>
      </c>
      <c r="C13" s="18">
        <v>1.7501845409360998E-2</v>
      </c>
      <c r="D13" s="18">
        <v>9.9150649528150208E-3</v>
      </c>
      <c r="E13" s="18">
        <v>2.5040838564467E-2</v>
      </c>
      <c r="F13" s="18"/>
      <c r="G13" s="18">
        <v>0.182858017741347</v>
      </c>
      <c r="H13" s="18">
        <v>0</v>
      </c>
      <c r="I13" s="18">
        <v>2.7933293043632401E-2</v>
      </c>
      <c r="J13" s="18">
        <v>1.46203491631611E-2</v>
      </c>
      <c r="K13" s="18">
        <v>0</v>
      </c>
      <c r="L13" s="18">
        <v>3.1048138768503899E-2</v>
      </c>
      <c r="M13" s="18"/>
      <c r="N13" s="18">
        <v>7.6159961914941399E-3</v>
      </c>
      <c r="O13" s="18">
        <v>1.33219230559241E-2</v>
      </c>
      <c r="P13" s="18">
        <v>9.5128519100735297E-3</v>
      </c>
      <c r="Q13" s="18">
        <v>4.1042227860995102E-2</v>
      </c>
      <c r="R13" s="18"/>
      <c r="S13" s="18">
        <v>2.7958680105295501E-2</v>
      </c>
      <c r="T13" s="18">
        <v>6.7480655553974703E-3</v>
      </c>
      <c r="U13" s="18">
        <v>2.1332489445638501E-2</v>
      </c>
      <c r="V13" s="18">
        <v>1.7893991740831498E-2</v>
      </c>
      <c r="W13" s="18">
        <v>0</v>
      </c>
      <c r="X13" s="18">
        <v>1.71421621465387E-2</v>
      </c>
      <c r="Y13" s="18">
        <v>8.0218354411347292E-3</v>
      </c>
      <c r="Z13" s="18">
        <v>5.0753644433327E-2</v>
      </c>
      <c r="AA13" s="18">
        <v>2.2429160924305799E-2</v>
      </c>
      <c r="AB13" s="18"/>
      <c r="AC13" s="18">
        <v>5.5980339588046803E-3</v>
      </c>
      <c r="AD13" s="18">
        <v>0</v>
      </c>
      <c r="AE13" s="18">
        <v>1.7712847452515699E-2</v>
      </c>
      <c r="AF13" s="18">
        <v>1.4310903662844199E-2</v>
      </c>
      <c r="AG13" s="18">
        <v>0</v>
      </c>
      <c r="AH13" s="18"/>
      <c r="AI13" s="18">
        <v>1.2443207959578701E-2</v>
      </c>
      <c r="AJ13" s="18">
        <v>6.0085283754592001E-3</v>
      </c>
      <c r="AK13" s="18">
        <v>2.1686660552196601E-2</v>
      </c>
      <c r="AL13" s="18">
        <v>2.2711785844867799E-2</v>
      </c>
      <c r="AM13" s="18">
        <v>2.6275038819726301E-2</v>
      </c>
      <c r="AN13" s="18">
        <v>3.1950399797684798E-2</v>
      </c>
      <c r="AO13" s="18"/>
      <c r="AP13" s="18">
        <v>1.3054079887230801E-2</v>
      </c>
      <c r="AQ13" s="18">
        <v>2.0790151731999999E-2</v>
      </c>
      <c r="AR13" s="18"/>
      <c r="AS13" s="18" t="s">
        <v>88</v>
      </c>
      <c r="AT13" s="18" t="s">
        <v>88</v>
      </c>
      <c r="AU13" s="18">
        <v>1.7501845409360998E-2</v>
      </c>
      <c r="AV13" s="18"/>
      <c r="AW13" s="18">
        <v>1.29197663066521E-2</v>
      </c>
      <c r="AX13" s="18">
        <v>8.4141141545210699E-3</v>
      </c>
      <c r="AY13" s="18"/>
      <c r="AZ13" s="18">
        <v>1.1675411368881099E-2</v>
      </c>
      <c r="BA13" s="18">
        <v>3.5053118516937799E-2</v>
      </c>
    </row>
    <row r="14" spans="2:53" x14ac:dyDescent="0.35">
      <c r="B14" s="26" t="s">
        <v>81</v>
      </c>
      <c r="C14" s="27">
        <v>0.76944978468769598</v>
      </c>
      <c r="D14" s="27">
        <v>0.80851750996717897</v>
      </c>
      <c r="E14" s="27">
        <v>0.73041616327484604</v>
      </c>
      <c r="F14" s="27"/>
      <c r="G14" s="27">
        <v>0.37788578674971901</v>
      </c>
      <c r="H14" s="27">
        <v>0.79675123623512301</v>
      </c>
      <c r="I14" s="27">
        <v>0.82138586858304596</v>
      </c>
      <c r="J14" s="27">
        <v>0.72714595281096495</v>
      </c>
      <c r="K14" s="27">
        <v>0.70848734934271895</v>
      </c>
      <c r="L14" s="27">
        <v>0.87536533943063599</v>
      </c>
      <c r="M14" s="27"/>
      <c r="N14" s="27">
        <v>0.84813255018938505</v>
      </c>
      <c r="O14" s="27">
        <v>0.80430930998865402</v>
      </c>
      <c r="P14" s="27">
        <v>0.69531752613845499</v>
      </c>
      <c r="Q14" s="27">
        <v>0.71396282092747798</v>
      </c>
      <c r="R14" s="27"/>
      <c r="S14" s="27">
        <v>0.81499500622395205</v>
      </c>
      <c r="T14" s="27">
        <v>0.73732506024092004</v>
      </c>
      <c r="U14" s="27">
        <v>0.77008242148580397</v>
      </c>
      <c r="V14" s="27">
        <v>0.74223407200187597</v>
      </c>
      <c r="W14" s="27">
        <v>0.78018153718876704</v>
      </c>
      <c r="X14" s="27">
        <v>0.78105264772414895</v>
      </c>
      <c r="Y14" s="27">
        <v>0.76281195363495602</v>
      </c>
      <c r="Z14" s="27">
        <v>0.74464500626081898</v>
      </c>
      <c r="AA14" s="27">
        <v>0.775131343938253</v>
      </c>
      <c r="AB14" s="27"/>
      <c r="AC14" s="27">
        <v>0.70862741680607899</v>
      </c>
      <c r="AD14" s="27">
        <v>0.72350471620471402</v>
      </c>
      <c r="AE14" s="27">
        <v>0.81027380025460805</v>
      </c>
      <c r="AF14" s="27">
        <v>0.85434705262118205</v>
      </c>
      <c r="AG14" s="27">
        <v>0.91008830327230705</v>
      </c>
      <c r="AH14" s="27"/>
      <c r="AI14" s="27">
        <v>0.79192510937383198</v>
      </c>
      <c r="AJ14" s="27">
        <v>0.84498407663520902</v>
      </c>
      <c r="AK14" s="27">
        <v>0.84079806989238803</v>
      </c>
      <c r="AL14" s="27">
        <v>0.65854757086913296</v>
      </c>
      <c r="AM14" s="27">
        <v>0.74457827566263701</v>
      </c>
      <c r="AN14" s="27">
        <v>0.74873704034510602</v>
      </c>
      <c r="AO14" s="27"/>
      <c r="AP14" s="27">
        <v>0.78753183241062896</v>
      </c>
      <c r="AQ14" s="27">
        <v>0.751626443911937</v>
      </c>
      <c r="AR14" s="27"/>
      <c r="AS14" s="27" t="s">
        <v>88</v>
      </c>
      <c r="AT14" s="27" t="s">
        <v>88</v>
      </c>
      <c r="AU14" s="27">
        <v>0.76944978468769598</v>
      </c>
      <c r="AV14" s="27"/>
      <c r="AW14" s="27">
        <v>0.780139427552766</v>
      </c>
      <c r="AX14" s="27">
        <v>0.88222390286178098</v>
      </c>
      <c r="AY14" s="27"/>
      <c r="AZ14" s="27">
        <v>0.79713263945955803</v>
      </c>
      <c r="BA14" s="27">
        <v>0.67009253774894595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103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0.36954159700897499</v>
      </c>
      <c r="D9" s="14">
        <v>0.37606617247915303</v>
      </c>
      <c r="E9" s="14">
        <v>0.36363866750172702</v>
      </c>
      <c r="F9" s="14"/>
      <c r="G9" s="14">
        <v>0.182858017741347</v>
      </c>
      <c r="H9" s="14">
        <v>0.37070988523353798</v>
      </c>
      <c r="I9" s="14">
        <v>0.449286595478878</v>
      </c>
      <c r="J9" s="14">
        <v>0.324229999392595</v>
      </c>
      <c r="K9" s="14">
        <v>0.27028876561669901</v>
      </c>
      <c r="L9" s="14">
        <v>0.32289427173086799</v>
      </c>
      <c r="M9" s="14"/>
      <c r="N9" s="14">
        <v>0.41890652164570102</v>
      </c>
      <c r="O9" s="14">
        <v>0.35240196489259601</v>
      </c>
      <c r="P9" s="14">
        <v>0.371403788742876</v>
      </c>
      <c r="Q9" s="14">
        <v>0.32530711932379203</v>
      </c>
      <c r="R9" s="14"/>
      <c r="S9" s="14">
        <v>0.480646048100413</v>
      </c>
      <c r="T9" s="14">
        <v>0.32166929518592102</v>
      </c>
      <c r="U9" s="14">
        <v>0.37279591375748</v>
      </c>
      <c r="V9" s="14">
        <v>0.27056830627225997</v>
      </c>
      <c r="W9" s="14">
        <v>0.31082722271813101</v>
      </c>
      <c r="X9" s="14">
        <v>0.38232475320303799</v>
      </c>
      <c r="Y9" s="14">
        <v>0.37944122524178597</v>
      </c>
      <c r="Z9" s="14">
        <v>0.42370830395139503</v>
      </c>
      <c r="AA9" s="14">
        <v>0.38288039173076399</v>
      </c>
      <c r="AB9" s="14"/>
      <c r="AC9" s="14">
        <v>0.29263312030211502</v>
      </c>
      <c r="AD9" s="14">
        <v>0.33715727901895798</v>
      </c>
      <c r="AE9" s="14">
        <v>0.40943915446658802</v>
      </c>
      <c r="AF9" s="14">
        <v>0.48682634095138599</v>
      </c>
      <c r="AG9" s="14">
        <v>0.55382474095494305</v>
      </c>
      <c r="AH9" s="14"/>
      <c r="AI9" s="14">
        <v>0.39962675705213702</v>
      </c>
      <c r="AJ9" s="14">
        <v>0.44140690035027702</v>
      </c>
      <c r="AK9" s="14">
        <v>0.35833946232922798</v>
      </c>
      <c r="AL9" s="14">
        <v>0.30611018023824399</v>
      </c>
      <c r="AM9" s="14">
        <v>0.33490256147470499</v>
      </c>
      <c r="AN9" s="14">
        <v>0.3921264714503</v>
      </c>
      <c r="AO9" s="14"/>
      <c r="AP9" s="14">
        <v>0.36765197103741598</v>
      </c>
      <c r="AQ9" s="14">
        <v>0.37253178412335602</v>
      </c>
      <c r="AR9" s="14"/>
      <c r="AS9" s="14" t="s">
        <v>88</v>
      </c>
      <c r="AT9" s="14" t="s">
        <v>88</v>
      </c>
      <c r="AU9" s="14">
        <v>0.36954159700897499</v>
      </c>
      <c r="AV9" s="14"/>
      <c r="AW9" s="14">
        <v>0.36811347588094101</v>
      </c>
      <c r="AX9" s="14">
        <v>0.50958782481568399</v>
      </c>
      <c r="AY9" s="14"/>
      <c r="AZ9" s="14">
        <v>0.38688792066161198</v>
      </c>
      <c r="BA9" s="14">
        <v>0.31055859933387697</v>
      </c>
    </row>
    <row r="10" spans="2:53" x14ac:dyDescent="0.35">
      <c r="B10" s="15" t="s">
        <v>77</v>
      </c>
      <c r="C10" s="14">
        <v>0.44656731973178698</v>
      </c>
      <c r="D10" s="14">
        <v>0.44292699275481501</v>
      </c>
      <c r="E10" s="14">
        <v>0.44933662523132201</v>
      </c>
      <c r="F10" s="14"/>
      <c r="G10" s="14">
        <v>0.81714198225865298</v>
      </c>
      <c r="H10" s="14">
        <v>0.44124976947190597</v>
      </c>
      <c r="I10" s="14">
        <v>0.41818072730031502</v>
      </c>
      <c r="J10" s="14">
        <v>0.46482387761611699</v>
      </c>
      <c r="K10" s="14">
        <v>0.46317417473869799</v>
      </c>
      <c r="L10" s="14">
        <v>0.52205201624403696</v>
      </c>
      <c r="M10" s="14"/>
      <c r="N10" s="14">
        <v>0.43052449614532701</v>
      </c>
      <c r="O10" s="14">
        <v>0.52336800675586703</v>
      </c>
      <c r="P10" s="14">
        <v>0.39388226838354601</v>
      </c>
      <c r="Q10" s="14">
        <v>0.44038281769163301</v>
      </c>
      <c r="R10" s="14"/>
      <c r="S10" s="14">
        <v>0.34119972956882699</v>
      </c>
      <c r="T10" s="14">
        <v>0.43087510851579602</v>
      </c>
      <c r="U10" s="14">
        <v>0.47929498553871203</v>
      </c>
      <c r="V10" s="14">
        <v>0.52916798780145102</v>
      </c>
      <c r="W10" s="14">
        <v>0.573719097913158</v>
      </c>
      <c r="X10" s="14">
        <v>0.38571878403099302</v>
      </c>
      <c r="Y10" s="14">
        <v>0.42360282746403</v>
      </c>
      <c r="Z10" s="14">
        <v>0.41921033953273701</v>
      </c>
      <c r="AA10" s="14">
        <v>0.47527976100230002</v>
      </c>
      <c r="AB10" s="14"/>
      <c r="AC10" s="14">
        <v>0.45980052868274901</v>
      </c>
      <c r="AD10" s="14">
        <v>0.43978669252108599</v>
      </c>
      <c r="AE10" s="14">
        <v>0.46131265927381998</v>
      </c>
      <c r="AF10" s="14">
        <v>0.41332021384463202</v>
      </c>
      <c r="AG10" s="14">
        <v>0.38253948239872798</v>
      </c>
      <c r="AH10" s="14"/>
      <c r="AI10" s="14">
        <v>0.41681973585909399</v>
      </c>
      <c r="AJ10" s="14">
        <v>0.41617644555480698</v>
      </c>
      <c r="AK10" s="14">
        <v>0.48594559257651898</v>
      </c>
      <c r="AL10" s="14">
        <v>0.48273356564402797</v>
      </c>
      <c r="AM10" s="14">
        <v>0.49093703719964799</v>
      </c>
      <c r="AN10" s="14">
        <v>0.42425360950183999</v>
      </c>
      <c r="AO10" s="14"/>
      <c r="AP10" s="14">
        <v>0.45316093280999298</v>
      </c>
      <c r="AQ10" s="14">
        <v>0.44129755210198202</v>
      </c>
      <c r="AR10" s="14"/>
      <c r="AS10" s="14" t="s">
        <v>88</v>
      </c>
      <c r="AT10" s="14" t="s">
        <v>88</v>
      </c>
      <c r="AU10" s="14">
        <v>0.44656731973178698</v>
      </c>
      <c r="AV10" s="14"/>
      <c r="AW10" s="14">
        <v>0.45882170453413101</v>
      </c>
      <c r="AX10" s="14">
        <v>0.401763175003713</v>
      </c>
      <c r="AY10" s="14"/>
      <c r="AZ10" s="14">
        <v>0.43723692354424798</v>
      </c>
      <c r="BA10" s="14">
        <v>0.48168724531384299</v>
      </c>
    </row>
    <row r="11" spans="2:53" x14ac:dyDescent="0.35">
      <c r="B11" s="15" t="s">
        <v>78</v>
      </c>
      <c r="C11" s="14">
        <v>0.13872208905910599</v>
      </c>
      <c r="D11" s="14">
        <v>0.13969143545089599</v>
      </c>
      <c r="E11" s="14">
        <v>0.13797162704803601</v>
      </c>
      <c r="F11" s="14"/>
      <c r="G11" s="14">
        <v>0</v>
      </c>
      <c r="H11" s="14">
        <v>0.17738893618701501</v>
      </c>
      <c r="I11" s="14">
        <v>9.1880907104143497E-2</v>
      </c>
      <c r="J11" s="14">
        <v>0.161186482561917</v>
      </c>
      <c r="K11" s="14">
        <v>0.19029694055028101</v>
      </c>
      <c r="L11" s="14">
        <v>0.15505371202509499</v>
      </c>
      <c r="M11" s="14"/>
      <c r="N11" s="14">
        <v>0.122292427810408</v>
      </c>
      <c r="O11" s="14">
        <v>9.8447099318853204E-2</v>
      </c>
      <c r="P11" s="14">
        <v>0.178400300524924</v>
      </c>
      <c r="Q11" s="14">
        <v>0.16005772049000899</v>
      </c>
      <c r="R11" s="14"/>
      <c r="S11" s="14">
        <v>0.12709371424080099</v>
      </c>
      <c r="T11" s="14">
        <v>0.20185577028353199</v>
      </c>
      <c r="U11" s="14">
        <v>0.113428716891181</v>
      </c>
      <c r="V11" s="14">
        <v>0.101619587747226</v>
      </c>
      <c r="W11" s="14">
        <v>9.7228592889700302E-2</v>
      </c>
      <c r="X11" s="14">
        <v>0.171188844803118</v>
      </c>
      <c r="Y11" s="14">
        <v>0.16899407817085099</v>
      </c>
      <c r="Z11" s="14">
        <v>8.2410018517793296E-2</v>
      </c>
      <c r="AA11" s="14">
        <v>0.132277259624451</v>
      </c>
      <c r="AB11" s="14"/>
      <c r="AC11" s="14">
        <v>0.200046745059236</v>
      </c>
      <c r="AD11" s="14">
        <v>0.18411548633692701</v>
      </c>
      <c r="AE11" s="14">
        <v>9.35232122313676E-2</v>
      </c>
      <c r="AF11" s="14">
        <v>8.8647512946505802E-2</v>
      </c>
      <c r="AG11" s="14">
        <v>5.6666891482334003E-2</v>
      </c>
      <c r="AH11" s="14"/>
      <c r="AI11" s="14">
        <v>0.13169488914417901</v>
      </c>
      <c r="AJ11" s="14">
        <v>0.10322949668555401</v>
      </c>
      <c r="AK11" s="14">
        <v>0.13241413795922599</v>
      </c>
      <c r="AL11" s="14">
        <v>0.171184977151983</v>
      </c>
      <c r="AM11" s="14">
        <v>0.14788536250591999</v>
      </c>
      <c r="AN11" s="14">
        <v>0.13394449200668901</v>
      </c>
      <c r="AO11" s="14"/>
      <c r="AP11" s="14">
        <v>0.137152522493806</v>
      </c>
      <c r="AQ11" s="14">
        <v>0.14122430688387999</v>
      </c>
      <c r="AR11" s="14"/>
      <c r="AS11" s="14" t="s">
        <v>88</v>
      </c>
      <c r="AT11" s="14" t="s">
        <v>88</v>
      </c>
      <c r="AU11" s="14">
        <v>0.13872208905910599</v>
      </c>
      <c r="AV11" s="14"/>
      <c r="AW11" s="14">
        <v>0.13470301502569501</v>
      </c>
      <c r="AX11" s="14">
        <v>6.9679572587422606E-2</v>
      </c>
      <c r="AY11" s="14"/>
      <c r="AZ11" s="14">
        <v>0.13785073818049101</v>
      </c>
      <c r="BA11" s="14">
        <v>0.143420152758758</v>
      </c>
    </row>
    <row r="12" spans="2:53" x14ac:dyDescent="0.35">
      <c r="B12" s="15" t="s">
        <v>79</v>
      </c>
      <c r="C12" s="14">
        <v>3.1201002846779902E-2</v>
      </c>
      <c r="D12" s="14">
        <v>3.4232031389324097E-2</v>
      </c>
      <c r="E12" s="14">
        <v>2.8246719320739799E-2</v>
      </c>
      <c r="F12" s="14"/>
      <c r="G12" s="14">
        <v>0</v>
      </c>
      <c r="H12" s="14">
        <v>0</v>
      </c>
      <c r="I12" s="14">
        <v>1.8760892553188201E-2</v>
      </c>
      <c r="J12" s="14">
        <v>3.7751138750648103E-2</v>
      </c>
      <c r="K12" s="14">
        <v>7.6240119094322101E-2</v>
      </c>
      <c r="L12" s="14">
        <v>0</v>
      </c>
      <c r="M12" s="14"/>
      <c r="N12" s="14">
        <v>2.3595451204226899E-2</v>
      </c>
      <c r="O12" s="14">
        <v>2.11103681329456E-2</v>
      </c>
      <c r="P12" s="14">
        <v>5.05735146688693E-2</v>
      </c>
      <c r="Q12" s="14">
        <v>3.2050679359257699E-2</v>
      </c>
      <c r="R12" s="14"/>
      <c r="S12" s="14">
        <v>3.1706412927275003E-2</v>
      </c>
      <c r="T12" s="14">
        <v>3.88517604593537E-2</v>
      </c>
      <c r="U12" s="14">
        <v>2.1501260583546601E-2</v>
      </c>
      <c r="V12" s="14">
        <v>8.0750126438231207E-2</v>
      </c>
      <c r="W12" s="14">
        <v>1.8225086479011499E-2</v>
      </c>
      <c r="X12" s="14">
        <v>3.9440299791106297E-2</v>
      </c>
      <c r="Y12" s="14">
        <v>1.56163030758199E-2</v>
      </c>
      <c r="Z12" s="14">
        <v>2.3917693564747201E-2</v>
      </c>
      <c r="AA12" s="14">
        <v>4.7812936795605396E-3</v>
      </c>
      <c r="AB12" s="14"/>
      <c r="AC12" s="14">
        <v>3.82236965634071E-2</v>
      </c>
      <c r="AD12" s="14">
        <v>3.8940542123029803E-2</v>
      </c>
      <c r="AE12" s="14">
        <v>2.87368621716243E-2</v>
      </c>
      <c r="AF12" s="14">
        <v>7.2943560848133396E-3</v>
      </c>
      <c r="AG12" s="14">
        <v>6.9688851639947702E-3</v>
      </c>
      <c r="AH12" s="14"/>
      <c r="AI12" s="14">
        <v>3.95708482346308E-2</v>
      </c>
      <c r="AJ12" s="14">
        <v>3.9187157409362898E-2</v>
      </c>
      <c r="AK12" s="14">
        <v>1.7557354227307701E-2</v>
      </c>
      <c r="AL12" s="14">
        <v>2.8168354572238999E-2</v>
      </c>
      <c r="AM12" s="14">
        <v>0</v>
      </c>
      <c r="AN12" s="14">
        <v>1.7725027243486499E-2</v>
      </c>
      <c r="AO12" s="14"/>
      <c r="AP12" s="14">
        <v>3.1331767228480002E-2</v>
      </c>
      <c r="AQ12" s="14">
        <v>2.90610731951358E-2</v>
      </c>
      <c r="AR12" s="14"/>
      <c r="AS12" s="14" t="s">
        <v>88</v>
      </c>
      <c r="AT12" s="14" t="s">
        <v>88</v>
      </c>
      <c r="AU12" s="14">
        <v>3.1201002846779902E-2</v>
      </c>
      <c r="AV12" s="14"/>
      <c r="AW12" s="14">
        <v>2.9667130994974499E-2</v>
      </c>
      <c r="AX12" s="14">
        <v>1.3192221419588999E-2</v>
      </c>
      <c r="AY12" s="14"/>
      <c r="AZ12" s="14">
        <v>3.0013633601347501E-2</v>
      </c>
      <c r="BA12" s="14">
        <v>3.2378318346908699E-2</v>
      </c>
    </row>
    <row r="13" spans="2:53" x14ac:dyDescent="0.35">
      <c r="B13" s="15" t="s">
        <v>80</v>
      </c>
      <c r="C13" s="18">
        <v>1.3967991353353301E-2</v>
      </c>
      <c r="D13" s="18">
        <v>7.0833679258126697E-3</v>
      </c>
      <c r="E13" s="18">
        <v>2.08063608981746E-2</v>
      </c>
      <c r="F13" s="18"/>
      <c r="G13" s="18">
        <v>0</v>
      </c>
      <c r="H13" s="18">
        <v>1.06514091075408E-2</v>
      </c>
      <c r="I13" s="18">
        <v>2.1890877563476199E-2</v>
      </c>
      <c r="J13" s="18">
        <v>1.20085016787223E-2</v>
      </c>
      <c r="K13" s="18">
        <v>0</v>
      </c>
      <c r="L13" s="18">
        <v>0</v>
      </c>
      <c r="M13" s="18"/>
      <c r="N13" s="18">
        <v>4.6811031943377003E-3</v>
      </c>
      <c r="O13" s="18">
        <v>4.6725608997380602E-3</v>
      </c>
      <c r="P13" s="18">
        <v>5.7401276797851902E-3</v>
      </c>
      <c r="Q13" s="18">
        <v>4.2201663135308598E-2</v>
      </c>
      <c r="R13" s="18"/>
      <c r="S13" s="18">
        <v>1.9354095162684201E-2</v>
      </c>
      <c r="T13" s="18">
        <v>6.7480655553974703E-3</v>
      </c>
      <c r="U13" s="18">
        <v>1.29791232290806E-2</v>
      </c>
      <c r="V13" s="18">
        <v>1.7893991740831498E-2</v>
      </c>
      <c r="W13" s="18">
        <v>0</v>
      </c>
      <c r="X13" s="18">
        <v>2.1327318171744401E-2</v>
      </c>
      <c r="Y13" s="18">
        <v>1.23455660475126E-2</v>
      </c>
      <c r="Z13" s="18">
        <v>5.0753644433327E-2</v>
      </c>
      <c r="AA13" s="18">
        <v>4.7812939629247797E-3</v>
      </c>
      <c r="AB13" s="18"/>
      <c r="AC13" s="18">
        <v>9.2959093924934594E-3</v>
      </c>
      <c r="AD13" s="18">
        <v>0</v>
      </c>
      <c r="AE13" s="18">
        <v>6.9881118565998501E-3</v>
      </c>
      <c r="AF13" s="18">
        <v>3.9115761726628701E-3</v>
      </c>
      <c r="AG13" s="18">
        <v>0</v>
      </c>
      <c r="AH13" s="18"/>
      <c r="AI13" s="18">
        <v>1.2287769709959101E-2</v>
      </c>
      <c r="AJ13" s="18">
        <v>0</v>
      </c>
      <c r="AK13" s="18">
        <v>5.7434529077191399E-3</v>
      </c>
      <c r="AL13" s="18">
        <v>1.1802922393505499E-2</v>
      </c>
      <c r="AM13" s="18">
        <v>2.6275038819726301E-2</v>
      </c>
      <c r="AN13" s="18">
        <v>3.1950399797684798E-2</v>
      </c>
      <c r="AO13" s="18"/>
      <c r="AP13" s="18">
        <v>1.07028064303043E-2</v>
      </c>
      <c r="AQ13" s="18">
        <v>1.5885283695646402E-2</v>
      </c>
      <c r="AR13" s="18"/>
      <c r="AS13" s="18" t="s">
        <v>88</v>
      </c>
      <c r="AT13" s="18" t="s">
        <v>88</v>
      </c>
      <c r="AU13" s="18">
        <v>1.3967991353353301E-2</v>
      </c>
      <c r="AV13" s="18"/>
      <c r="AW13" s="18">
        <v>8.6946735642585895E-3</v>
      </c>
      <c r="AX13" s="18">
        <v>5.77720617359206E-3</v>
      </c>
      <c r="AY13" s="18"/>
      <c r="AZ13" s="18">
        <v>8.0107840123021697E-3</v>
      </c>
      <c r="BA13" s="18">
        <v>3.1955684246613797E-2</v>
      </c>
    </row>
    <row r="14" spans="2:53" x14ac:dyDescent="0.35">
      <c r="B14" s="26" t="s">
        <v>81</v>
      </c>
      <c r="C14" s="27">
        <v>0.81610891674076103</v>
      </c>
      <c r="D14" s="27">
        <v>0.81899316523396704</v>
      </c>
      <c r="E14" s="27">
        <v>0.81297529273304903</v>
      </c>
      <c r="F14" s="27"/>
      <c r="G14" s="27">
        <v>1</v>
      </c>
      <c r="H14" s="27">
        <v>0.81195965470544396</v>
      </c>
      <c r="I14" s="27">
        <v>0.86746732277919203</v>
      </c>
      <c r="J14" s="27">
        <v>0.78905387700871299</v>
      </c>
      <c r="K14" s="27">
        <v>0.73346294035539605</v>
      </c>
      <c r="L14" s="27">
        <v>0.84494628797490501</v>
      </c>
      <c r="M14" s="27"/>
      <c r="N14" s="27">
        <v>0.84943101779102803</v>
      </c>
      <c r="O14" s="27">
        <v>0.87576997164846304</v>
      </c>
      <c r="P14" s="27">
        <v>0.76528605712642195</v>
      </c>
      <c r="Q14" s="27">
        <v>0.76568993701542398</v>
      </c>
      <c r="R14" s="27"/>
      <c r="S14" s="27">
        <v>0.82184577766924005</v>
      </c>
      <c r="T14" s="27">
        <v>0.75254440370171705</v>
      </c>
      <c r="U14" s="27">
        <v>0.85209089929619197</v>
      </c>
      <c r="V14" s="27">
        <v>0.79973629407371105</v>
      </c>
      <c r="W14" s="27">
        <v>0.88454632063128802</v>
      </c>
      <c r="X14" s="27">
        <v>0.76804353723403096</v>
      </c>
      <c r="Y14" s="27">
        <v>0.80304405270581602</v>
      </c>
      <c r="Z14" s="27">
        <v>0.84291864348413204</v>
      </c>
      <c r="AA14" s="27">
        <v>0.85816015273306401</v>
      </c>
      <c r="AB14" s="27"/>
      <c r="AC14" s="27">
        <v>0.75243364898486298</v>
      </c>
      <c r="AD14" s="27">
        <v>0.77694397154004402</v>
      </c>
      <c r="AE14" s="27">
        <v>0.870751813740408</v>
      </c>
      <c r="AF14" s="27">
        <v>0.90014655479601802</v>
      </c>
      <c r="AG14" s="27">
        <v>0.93636422335367098</v>
      </c>
      <c r="AH14" s="27"/>
      <c r="AI14" s="27">
        <v>0.81644649291123095</v>
      </c>
      <c r="AJ14" s="27">
        <v>0.85758334590508301</v>
      </c>
      <c r="AK14" s="27">
        <v>0.84428505490574701</v>
      </c>
      <c r="AL14" s="27">
        <v>0.78884374588227202</v>
      </c>
      <c r="AM14" s="27">
        <v>0.82583959867435297</v>
      </c>
      <c r="AN14" s="27">
        <v>0.81638008095213999</v>
      </c>
      <c r="AO14" s="27"/>
      <c r="AP14" s="27">
        <v>0.82081290384740901</v>
      </c>
      <c r="AQ14" s="27">
        <v>0.81382933622533704</v>
      </c>
      <c r="AR14" s="27"/>
      <c r="AS14" s="27" t="s">
        <v>88</v>
      </c>
      <c r="AT14" s="27" t="s">
        <v>88</v>
      </c>
      <c r="AU14" s="27">
        <v>0.81610891674076103</v>
      </c>
      <c r="AV14" s="27"/>
      <c r="AW14" s="27">
        <v>0.82693518041507197</v>
      </c>
      <c r="AX14" s="27">
        <v>0.91135099981939605</v>
      </c>
      <c r="AY14" s="27"/>
      <c r="AZ14" s="27">
        <v>0.82412484420585996</v>
      </c>
      <c r="BA14" s="27">
        <v>0.79224584464771997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104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0.32478850607368998</v>
      </c>
      <c r="D9" s="14">
        <v>0.36003375603207599</v>
      </c>
      <c r="E9" s="14">
        <v>0.29037826468279798</v>
      </c>
      <c r="F9" s="14"/>
      <c r="G9" s="14">
        <v>0</v>
      </c>
      <c r="H9" s="14">
        <v>0.373275786436089</v>
      </c>
      <c r="I9" s="14">
        <v>0.42096298572413399</v>
      </c>
      <c r="J9" s="14">
        <v>0.25380311453478499</v>
      </c>
      <c r="K9" s="14">
        <v>0.235126435772713</v>
      </c>
      <c r="L9" s="14">
        <v>0.21811083105297599</v>
      </c>
      <c r="M9" s="14"/>
      <c r="N9" s="14">
        <v>0.38863214802190199</v>
      </c>
      <c r="O9" s="14">
        <v>0.29598720594098998</v>
      </c>
      <c r="P9" s="14">
        <v>0.29486710077212203</v>
      </c>
      <c r="Q9" s="14">
        <v>0.305683412350786</v>
      </c>
      <c r="R9" s="14"/>
      <c r="S9" s="14">
        <v>0.44630749038696499</v>
      </c>
      <c r="T9" s="14">
        <v>0.30527444789224001</v>
      </c>
      <c r="U9" s="14">
        <v>0.30588165876094903</v>
      </c>
      <c r="V9" s="14">
        <v>0.21401877975752301</v>
      </c>
      <c r="W9" s="14">
        <v>0.29557919456974102</v>
      </c>
      <c r="X9" s="14">
        <v>0.33444581249644101</v>
      </c>
      <c r="Y9" s="14">
        <v>0.33768745971092401</v>
      </c>
      <c r="Z9" s="14">
        <v>0.383818207383125</v>
      </c>
      <c r="AA9" s="14">
        <v>0.29489209807081201</v>
      </c>
      <c r="AB9" s="14"/>
      <c r="AC9" s="14">
        <v>0.27251798225457202</v>
      </c>
      <c r="AD9" s="14">
        <v>0.246842478411822</v>
      </c>
      <c r="AE9" s="14">
        <v>0.35874493593345602</v>
      </c>
      <c r="AF9" s="14">
        <v>0.49054506267458498</v>
      </c>
      <c r="AG9" s="14">
        <v>0.56461183041528995</v>
      </c>
      <c r="AH9" s="14"/>
      <c r="AI9" s="14">
        <v>0.38250546351012299</v>
      </c>
      <c r="AJ9" s="14">
        <v>0.37565666453313301</v>
      </c>
      <c r="AK9" s="14">
        <v>0.26087146090885199</v>
      </c>
      <c r="AL9" s="14">
        <v>0.24954410060374899</v>
      </c>
      <c r="AM9" s="14">
        <v>0.30169758497113602</v>
      </c>
      <c r="AN9" s="14">
        <v>0.28875911709107499</v>
      </c>
      <c r="AO9" s="14"/>
      <c r="AP9" s="14">
        <v>0.32554113648108801</v>
      </c>
      <c r="AQ9" s="14">
        <v>0.324527721913281</v>
      </c>
      <c r="AR9" s="14"/>
      <c r="AS9" s="14" t="s">
        <v>88</v>
      </c>
      <c r="AT9" s="14" t="s">
        <v>88</v>
      </c>
      <c r="AU9" s="14">
        <v>0.32478850607368998</v>
      </c>
      <c r="AV9" s="14"/>
      <c r="AW9" s="14">
        <v>0.30665753172903898</v>
      </c>
      <c r="AX9" s="14">
        <v>0.51576046626266803</v>
      </c>
      <c r="AY9" s="14"/>
      <c r="AZ9" s="14">
        <v>0.34877265078610598</v>
      </c>
      <c r="BA9" s="14">
        <v>0.233971765386669</v>
      </c>
    </row>
    <row r="10" spans="2:53" x14ac:dyDescent="0.35">
      <c r="B10" s="15" t="s">
        <v>77</v>
      </c>
      <c r="C10" s="14">
        <v>0.42337628004641598</v>
      </c>
      <c r="D10" s="14">
        <v>0.42124419141180097</v>
      </c>
      <c r="E10" s="14">
        <v>0.42612660775352801</v>
      </c>
      <c r="F10" s="14"/>
      <c r="G10" s="14">
        <v>0.37788578674971901</v>
      </c>
      <c r="H10" s="14">
        <v>0.40116908795300998</v>
      </c>
      <c r="I10" s="14">
        <v>0.37742663631458301</v>
      </c>
      <c r="J10" s="14">
        <v>0.46925289574394602</v>
      </c>
      <c r="K10" s="14">
        <v>0.420837818961114</v>
      </c>
      <c r="L10" s="14">
        <v>0.54023959696065305</v>
      </c>
      <c r="M10" s="14"/>
      <c r="N10" s="14">
        <v>0.43220848443663901</v>
      </c>
      <c r="O10" s="14">
        <v>0.48792301728806098</v>
      </c>
      <c r="P10" s="14">
        <v>0.39360620025240101</v>
      </c>
      <c r="Q10" s="14">
        <v>0.38286902595133498</v>
      </c>
      <c r="R10" s="14"/>
      <c r="S10" s="14">
        <v>0.34950188474895</v>
      </c>
      <c r="T10" s="14">
        <v>0.359718662239848</v>
      </c>
      <c r="U10" s="14">
        <v>0.39557449045601301</v>
      </c>
      <c r="V10" s="14">
        <v>0.507263076828814</v>
      </c>
      <c r="W10" s="14">
        <v>0.47522908715808498</v>
      </c>
      <c r="X10" s="14">
        <v>0.38611662240456601</v>
      </c>
      <c r="Y10" s="14">
        <v>0.43594996742543501</v>
      </c>
      <c r="Z10" s="14">
        <v>0.38462833789625001</v>
      </c>
      <c r="AA10" s="14">
        <v>0.53067057307598398</v>
      </c>
      <c r="AB10" s="14"/>
      <c r="AC10" s="14">
        <v>0.442278737265761</v>
      </c>
      <c r="AD10" s="14">
        <v>0.44209381792546698</v>
      </c>
      <c r="AE10" s="14">
        <v>0.41627416045789101</v>
      </c>
      <c r="AF10" s="14">
        <v>0.35284293459291199</v>
      </c>
      <c r="AG10" s="14">
        <v>0.36639503548549601</v>
      </c>
      <c r="AH10" s="14"/>
      <c r="AI10" s="14">
        <v>0.37177315633435098</v>
      </c>
      <c r="AJ10" s="14">
        <v>0.41608079196917502</v>
      </c>
      <c r="AK10" s="14">
        <v>0.53703797928512698</v>
      </c>
      <c r="AL10" s="14">
        <v>0.43643740278347298</v>
      </c>
      <c r="AM10" s="14">
        <v>0.46511157835451</v>
      </c>
      <c r="AN10" s="14">
        <v>0.474085599487299</v>
      </c>
      <c r="AO10" s="14"/>
      <c r="AP10" s="14">
        <v>0.43203577305157198</v>
      </c>
      <c r="AQ10" s="14">
        <v>0.415624791251479</v>
      </c>
      <c r="AR10" s="14"/>
      <c r="AS10" s="14" t="s">
        <v>88</v>
      </c>
      <c r="AT10" s="14" t="s">
        <v>88</v>
      </c>
      <c r="AU10" s="14">
        <v>0.42337628004641598</v>
      </c>
      <c r="AV10" s="14"/>
      <c r="AW10" s="14">
        <v>0.447409999124744</v>
      </c>
      <c r="AX10" s="14">
        <v>0.35388393706944399</v>
      </c>
      <c r="AY10" s="14"/>
      <c r="AZ10" s="14">
        <v>0.42234575907691002</v>
      </c>
      <c r="BA10" s="14">
        <v>0.43179333210113102</v>
      </c>
    </row>
    <row r="11" spans="2:53" x14ac:dyDescent="0.35">
      <c r="B11" s="15" t="s">
        <v>78</v>
      </c>
      <c r="C11" s="14">
        <v>0.196327958232312</v>
      </c>
      <c r="D11" s="14">
        <v>0.17063546368705801</v>
      </c>
      <c r="E11" s="14">
        <v>0.22055599791292399</v>
      </c>
      <c r="F11" s="14"/>
      <c r="G11" s="14">
        <v>0.43925619550893402</v>
      </c>
      <c r="H11" s="14">
        <v>0.21985838481097</v>
      </c>
      <c r="I11" s="14">
        <v>0.159182284079803</v>
      </c>
      <c r="J11" s="14">
        <v>0.204865073242229</v>
      </c>
      <c r="K11" s="14">
        <v>0.26422324522273699</v>
      </c>
      <c r="L11" s="14">
        <v>0.21060143321786601</v>
      </c>
      <c r="M11" s="14"/>
      <c r="N11" s="14">
        <v>0.145513036354462</v>
      </c>
      <c r="O11" s="14">
        <v>0.175954136220527</v>
      </c>
      <c r="P11" s="14">
        <v>0.24851389647974301</v>
      </c>
      <c r="Q11" s="14">
        <v>0.225699044948312</v>
      </c>
      <c r="R11" s="14"/>
      <c r="S11" s="14">
        <v>0.13481353658418699</v>
      </c>
      <c r="T11" s="14">
        <v>0.251398303228003</v>
      </c>
      <c r="U11" s="14">
        <v>0.26151976891970002</v>
      </c>
      <c r="V11" s="14">
        <v>0.192735735575292</v>
      </c>
      <c r="W11" s="14">
        <v>0.20295246857365601</v>
      </c>
      <c r="X11" s="14">
        <v>0.231364122995983</v>
      </c>
      <c r="Y11" s="14">
        <v>0.19271311893151</v>
      </c>
      <c r="Z11" s="14">
        <v>0.139705131040671</v>
      </c>
      <c r="AA11" s="14">
        <v>0.15029559809305801</v>
      </c>
      <c r="AB11" s="14"/>
      <c r="AC11" s="14">
        <v>0.23822021717410899</v>
      </c>
      <c r="AD11" s="14">
        <v>0.27206363620464302</v>
      </c>
      <c r="AE11" s="14">
        <v>0.172790326105182</v>
      </c>
      <c r="AF11" s="14">
        <v>0.12403570886687899</v>
      </c>
      <c r="AG11" s="14">
        <v>6.2024248935219198E-2</v>
      </c>
      <c r="AH11" s="14"/>
      <c r="AI11" s="14">
        <v>0.20752003065357499</v>
      </c>
      <c r="AJ11" s="14">
        <v>0.13341155793562401</v>
      </c>
      <c r="AK11" s="14">
        <v>0.16164210421146699</v>
      </c>
      <c r="AL11" s="14">
        <v>0.24545051875030599</v>
      </c>
      <c r="AM11" s="14">
        <v>0.12882193393694699</v>
      </c>
      <c r="AN11" s="14">
        <v>0.19306330581974901</v>
      </c>
      <c r="AO11" s="14"/>
      <c r="AP11" s="14">
        <v>0.189678737018141</v>
      </c>
      <c r="AQ11" s="14">
        <v>0.204935283791052</v>
      </c>
      <c r="AR11" s="14"/>
      <c r="AS11" s="14" t="s">
        <v>88</v>
      </c>
      <c r="AT11" s="14" t="s">
        <v>88</v>
      </c>
      <c r="AU11" s="14">
        <v>0.196327958232312</v>
      </c>
      <c r="AV11" s="14"/>
      <c r="AW11" s="14">
        <v>0.199462905842935</v>
      </c>
      <c r="AX11" s="14">
        <v>0.10077030257523199</v>
      </c>
      <c r="AY11" s="14"/>
      <c r="AZ11" s="14">
        <v>0.180864108262558</v>
      </c>
      <c r="BA11" s="14">
        <v>0.254710281240977</v>
      </c>
    </row>
    <row r="12" spans="2:53" x14ac:dyDescent="0.35">
      <c r="B12" s="15" t="s">
        <v>79</v>
      </c>
      <c r="C12" s="14">
        <v>4.1236035344118599E-2</v>
      </c>
      <c r="D12" s="14">
        <v>3.9005486667077399E-2</v>
      </c>
      <c r="E12" s="14">
        <v>4.35070133735675E-2</v>
      </c>
      <c r="F12" s="14"/>
      <c r="G12" s="14">
        <v>0</v>
      </c>
      <c r="H12" s="14">
        <v>5.6967407999305598E-3</v>
      </c>
      <c r="I12" s="14">
        <v>2.1822427462909601E-2</v>
      </c>
      <c r="J12" s="14">
        <v>5.8464598092602099E-2</v>
      </c>
      <c r="K12" s="14">
        <v>7.9812500043435194E-2</v>
      </c>
      <c r="L12" s="14">
        <v>0</v>
      </c>
      <c r="M12" s="14"/>
      <c r="N12" s="14">
        <v>2.3649977481069898E-2</v>
      </c>
      <c r="O12" s="14">
        <v>3.27950849682907E-2</v>
      </c>
      <c r="P12" s="14">
        <v>5.31933739582027E-2</v>
      </c>
      <c r="Q12" s="14">
        <v>5.9132663729211603E-2</v>
      </c>
      <c r="R12" s="14"/>
      <c r="S12" s="14">
        <v>5.8390065879355198E-2</v>
      </c>
      <c r="T12" s="14">
        <v>7.1012402653633899E-2</v>
      </c>
      <c r="U12" s="14">
        <v>2.40449586342565E-2</v>
      </c>
      <c r="V12" s="14">
        <v>5.8451527437170303E-2</v>
      </c>
      <c r="W12" s="14">
        <v>2.6239249698517798E-2</v>
      </c>
      <c r="X12" s="14">
        <v>3.0931279956470999E-2</v>
      </c>
      <c r="Y12" s="14">
        <v>2.9638536211563801E-2</v>
      </c>
      <c r="Z12" s="14">
        <v>2.3917693564747201E-2</v>
      </c>
      <c r="AA12" s="14">
        <v>1.9360436797220701E-2</v>
      </c>
      <c r="AB12" s="14"/>
      <c r="AC12" s="14">
        <v>4.1385029346752797E-2</v>
      </c>
      <c r="AD12" s="14">
        <v>3.4725277310334701E-2</v>
      </c>
      <c r="AE12" s="14">
        <v>3.3981110750969899E-2</v>
      </c>
      <c r="AF12" s="14">
        <v>2.86647176929604E-2</v>
      </c>
      <c r="AG12" s="14">
        <v>6.9688851639947702E-3</v>
      </c>
      <c r="AH12" s="14"/>
      <c r="AI12" s="14">
        <v>3.1401722492796401E-2</v>
      </c>
      <c r="AJ12" s="14">
        <v>5.4273538621465202E-2</v>
      </c>
      <c r="AK12" s="14">
        <v>3.4705002686834997E-2</v>
      </c>
      <c r="AL12" s="14">
        <v>5.4370451466295197E-2</v>
      </c>
      <c r="AM12" s="14">
        <v>7.8093863917680501E-2</v>
      </c>
      <c r="AN12" s="14">
        <v>1.2141577804191899E-2</v>
      </c>
      <c r="AO12" s="14"/>
      <c r="AP12" s="14">
        <v>4.1647089120148799E-2</v>
      </c>
      <c r="AQ12" s="14">
        <v>3.8826523364102201E-2</v>
      </c>
      <c r="AR12" s="14"/>
      <c r="AS12" s="14" t="s">
        <v>88</v>
      </c>
      <c r="AT12" s="14" t="s">
        <v>88</v>
      </c>
      <c r="AU12" s="14">
        <v>4.1236035344118599E-2</v>
      </c>
      <c r="AV12" s="14"/>
      <c r="AW12" s="14">
        <v>3.4684445761768698E-2</v>
      </c>
      <c r="AX12" s="14">
        <v>2.3294035334442301E-2</v>
      </c>
      <c r="AY12" s="14"/>
      <c r="AZ12" s="14">
        <v>3.8185819348241001E-2</v>
      </c>
      <c r="BA12" s="14">
        <v>5.2779539808068002E-2</v>
      </c>
    </row>
    <row r="13" spans="2:53" x14ac:dyDescent="0.35">
      <c r="B13" s="15" t="s">
        <v>80</v>
      </c>
      <c r="C13" s="18">
        <v>1.42712203034637E-2</v>
      </c>
      <c r="D13" s="18">
        <v>9.0811022019872192E-3</v>
      </c>
      <c r="E13" s="18">
        <v>1.94321162771828E-2</v>
      </c>
      <c r="F13" s="18"/>
      <c r="G13" s="18">
        <v>0.182858017741347</v>
      </c>
      <c r="H13" s="18">
        <v>0</v>
      </c>
      <c r="I13" s="18">
        <v>2.0605666418570999E-2</v>
      </c>
      <c r="J13" s="18">
        <v>1.3614318386438199E-2</v>
      </c>
      <c r="K13" s="18">
        <v>0</v>
      </c>
      <c r="L13" s="18">
        <v>3.1048138768503899E-2</v>
      </c>
      <c r="M13" s="18"/>
      <c r="N13" s="18">
        <v>9.9963537059279701E-3</v>
      </c>
      <c r="O13" s="18">
        <v>7.3405555821312403E-3</v>
      </c>
      <c r="P13" s="18">
        <v>9.8194285375317897E-3</v>
      </c>
      <c r="Q13" s="18">
        <v>2.66158530203554E-2</v>
      </c>
      <c r="R13" s="18"/>
      <c r="S13" s="18">
        <v>1.09870224005426E-2</v>
      </c>
      <c r="T13" s="18">
        <v>1.25961839862751E-2</v>
      </c>
      <c r="U13" s="18">
        <v>1.29791232290806E-2</v>
      </c>
      <c r="V13" s="18">
        <v>2.75308804012004E-2</v>
      </c>
      <c r="W13" s="18">
        <v>0</v>
      </c>
      <c r="X13" s="18">
        <v>1.71421621465387E-2</v>
      </c>
      <c r="Y13" s="18">
        <v>4.0109177205673698E-3</v>
      </c>
      <c r="Z13" s="18">
        <v>6.7930630115205407E-2</v>
      </c>
      <c r="AA13" s="18">
        <v>4.7812939629247797E-3</v>
      </c>
      <c r="AB13" s="18"/>
      <c r="AC13" s="18">
        <v>5.5980339588046803E-3</v>
      </c>
      <c r="AD13" s="18">
        <v>4.2747901477337598E-3</v>
      </c>
      <c r="AE13" s="18">
        <v>1.8209466752500798E-2</v>
      </c>
      <c r="AF13" s="18">
        <v>3.9115761726628701E-3</v>
      </c>
      <c r="AG13" s="18">
        <v>0</v>
      </c>
      <c r="AH13" s="18"/>
      <c r="AI13" s="18">
        <v>6.7996270091539796E-3</v>
      </c>
      <c r="AJ13" s="18">
        <v>2.05774469406028E-2</v>
      </c>
      <c r="AK13" s="18">
        <v>5.7434529077191399E-3</v>
      </c>
      <c r="AL13" s="18">
        <v>1.41975263961762E-2</v>
      </c>
      <c r="AM13" s="18">
        <v>2.6275038819726301E-2</v>
      </c>
      <c r="AN13" s="18">
        <v>3.1950399797684798E-2</v>
      </c>
      <c r="AO13" s="18"/>
      <c r="AP13" s="18">
        <v>1.10972643290497E-2</v>
      </c>
      <c r="AQ13" s="18">
        <v>1.6085679680085001E-2</v>
      </c>
      <c r="AR13" s="18"/>
      <c r="AS13" s="18" t="s">
        <v>88</v>
      </c>
      <c r="AT13" s="18" t="s">
        <v>88</v>
      </c>
      <c r="AU13" s="18">
        <v>1.42712203034637E-2</v>
      </c>
      <c r="AV13" s="18"/>
      <c r="AW13" s="18">
        <v>1.17851175415135E-2</v>
      </c>
      <c r="AX13" s="18">
        <v>6.2912587582130202E-3</v>
      </c>
      <c r="AY13" s="18"/>
      <c r="AZ13" s="18">
        <v>9.8316625261839503E-3</v>
      </c>
      <c r="BA13" s="18">
        <v>2.6745081463155702E-2</v>
      </c>
    </row>
    <row r="14" spans="2:53" x14ac:dyDescent="0.35">
      <c r="B14" s="26" t="s">
        <v>81</v>
      </c>
      <c r="C14" s="27">
        <v>0.74816478612010595</v>
      </c>
      <c r="D14" s="27">
        <v>0.78127794744387702</v>
      </c>
      <c r="E14" s="27">
        <v>0.71650487243632599</v>
      </c>
      <c r="F14" s="27"/>
      <c r="G14" s="27">
        <v>0.37788578674971901</v>
      </c>
      <c r="H14" s="27">
        <v>0.77444487438909904</v>
      </c>
      <c r="I14" s="27">
        <v>0.798389622038716</v>
      </c>
      <c r="J14" s="27">
        <v>0.72305601027873101</v>
      </c>
      <c r="K14" s="27">
        <v>0.65596425473382802</v>
      </c>
      <c r="L14" s="27">
        <v>0.75835042801362995</v>
      </c>
      <c r="M14" s="27"/>
      <c r="N14" s="27">
        <v>0.82084063245854</v>
      </c>
      <c r="O14" s="27">
        <v>0.78391022322905102</v>
      </c>
      <c r="P14" s="27">
        <v>0.68847330102452298</v>
      </c>
      <c r="Q14" s="27">
        <v>0.68855243830212098</v>
      </c>
      <c r="R14" s="27"/>
      <c r="S14" s="27">
        <v>0.79580937513591499</v>
      </c>
      <c r="T14" s="27">
        <v>0.66499311013208795</v>
      </c>
      <c r="U14" s="27">
        <v>0.70145614921696198</v>
      </c>
      <c r="V14" s="27">
        <v>0.72128185658633703</v>
      </c>
      <c r="W14" s="27">
        <v>0.77080828172782601</v>
      </c>
      <c r="X14" s="27">
        <v>0.72056243490100702</v>
      </c>
      <c r="Y14" s="27">
        <v>0.77363742713635897</v>
      </c>
      <c r="Z14" s="27">
        <v>0.76844654527937595</v>
      </c>
      <c r="AA14" s="27">
        <v>0.82556267114679605</v>
      </c>
      <c r="AB14" s="27"/>
      <c r="AC14" s="27">
        <v>0.71479671952033297</v>
      </c>
      <c r="AD14" s="27">
        <v>0.68893629633728903</v>
      </c>
      <c r="AE14" s="27">
        <v>0.77501909639134703</v>
      </c>
      <c r="AF14" s="27">
        <v>0.84338799726749802</v>
      </c>
      <c r="AG14" s="27">
        <v>0.93100686590078596</v>
      </c>
      <c r="AH14" s="27"/>
      <c r="AI14" s="27">
        <v>0.75427861984447397</v>
      </c>
      <c r="AJ14" s="27">
        <v>0.79173745650230798</v>
      </c>
      <c r="AK14" s="27">
        <v>0.79790944019397803</v>
      </c>
      <c r="AL14" s="27">
        <v>0.68598150338722197</v>
      </c>
      <c r="AM14" s="27">
        <v>0.76680916332564597</v>
      </c>
      <c r="AN14" s="27">
        <v>0.76284471657837405</v>
      </c>
      <c r="AO14" s="27"/>
      <c r="AP14" s="27">
        <v>0.75757690953265999</v>
      </c>
      <c r="AQ14" s="27">
        <v>0.74015251316476005</v>
      </c>
      <c r="AR14" s="27"/>
      <c r="AS14" s="27" t="s">
        <v>88</v>
      </c>
      <c r="AT14" s="27" t="s">
        <v>88</v>
      </c>
      <c r="AU14" s="27">
        <v>0.74816478612010595</v>
      </c>
      <c r="AV14" s="27"/>
      <c r="AW14" s="27">
        <v>0.75406753085378297</v>
      </c>
      <c r="AX14" s="27">
        <v>0.86964440333211201</v>
      </c>
      <c r="AY14" s="27"/>
      <c r="AZ14" s="27">
        <v>0.77111840986301705</v>
      </c>
      <c r="BA14" s="27">
        <v>0.665765097487799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0.32849688761708901</v>
      </c>
      <c r="D9" s="14">
        <v>0.35800612862689601</v>
      </c>
      <c r="E9" s="14">
        <v>0.29977214889587001</v>
      </c>
      <c r="F9" s="14"/>
      <c r="G9" s="14">
        <v>0.182858017741347</v>
      </c>
      <c r="H9" s="14">
        <v>0.32135341603753598</v>
      </c>
      <c r="I9" s="14">
        <v>0.372533153153771</v>
      </c>
      <c r="J9" s="14">
        <v>0.30009036327259397</v>
      </c>
      <c r="K9" s="14">
        <v>0.27340147018697403</v>
      </c>
      <c r="L9" s="14">
        <v>0.40018633255118302</v>
      </c>
      <c r="M9" s="14"/>
      <c r="N9" s="14">
        <v>0.36272842136790201</v>
      </c>
      <c r="O9" s="14">
        <v>0.29533971720213698</v>
      </c>
      <c r="P9" s="14">
        <v>0.30032299658741202</v>
      </c>
      <c r="Q9" s="14">
        <v>0.35257666051404601</v>
      </c>
      <c r="R9" s="14"/>
      <c r="S9" s="14">
        <v>0.37417130288982597</v>
      </c>
      <c r="T9" s="14">
        <v>0.31555257193221098</v>
      </c>
      <c r="U9" s="14">
        <v>0.241602667892651</v>
      </c>
      <c r="V9" s="14">
        <v>0.23732670193229299</v>
      </c>
      <c r="W9" s="14">
        <v>0.39801469170488502</v>
      </c>
      <c r="X9" s="14">
        <v>0.39301277730958201</v>
      </c>
      <c r="Y9" s="14">
        <v>0.31092465810375702</v>
      </c>
      <c r="Z9" s="14">
        <v>0.48103206734197002</v>
      </c>
      <c r="AA9" s="14">
        <v>0.28379332545311797</v>
      </c>
      <c r="AB9" s="14"/>
      <c r="AC9" s="14">
        <v>0.30138370113130802</v>
      </c>
      <c r="AD9" s="14">
        <v>0.26175856776630602</v>
      </c>
      <c r="AE9" s="14">
        <v>0.35819867862132498</v>
      </c>
      <c r="AF9" s="14">
        <v>0.428523632845069</v>
      </c>
      <c r="AG9" s="14">
        <v>0.36637178124069297</v>
      </c>
      <c r="AH9" s="14"/>
      <c r="AI9" s="14">
        <v>0.38268556411856403</v>
      </c>
      <c r="AJ9" s="14">
        <v>0.299411109968999</v>
      </c>
      <c r="AK9" s="14">
        <v>0.32492516876303201</v>
      </c>
      <c r="AL9" s="14">
        <v>0.31071511368405902</v>
      </c>
      <c r="AM9" s="14">
        <v>0.31285179352648501</v>
      </c>
      <c r="AN9" s="14">
        <v>0.24518384921897601</v>
      </c>
      <c r="AO9" s="14"/>
      <c r="AP9" s="14">
        <v>0.36207565823995502</v>
      </c>
      <c r="AQ9" s="14">
        <v>0.291751503637042</v>
      </c>
      <c r="AR9" s="14"/>
      <c r="AS9" s="14" t="s">
        <v>88</v>
      </c>
      <c r="AT9" s="14" t="s">
        <v>88</v>
      </c>
      <c r="AU9" s="14">
        <v>0.32849688761708901</v>
      </c>
      <c r="AV9" s="14"/>
      <c r="AW9" s="14">
        <v>0.31382020889045398</v>
      </c>
      <c r="AX9" s="14">
        <v>0.43972372016682998</v>
      </c>
      <c r="AY9" s="14"/>
      <c r="AZ9" s="14">
        <v>0.34673982710961199</v>
      </c>
      <c r="BA9" s="14">
        <v>0.26207570331448299</v>
      </c>
    </row>
    <row r="10" spans="2:53" x14ac:dyDescent="0.35">
      <c r="B10" s="15" t="s">
        <v>77</v>
      </c>
      <c r="C10" s="14">
        <v>0.38879997410054801</v>
      </c>
      <c r="D10" s="14">
        <v>0.39189251172495598</v>
      </c>
      <c r="E10" s="14">
        <v>0.38632458435762701</v>
      </c>
      <c r="F10" s="14"/>
      <c r="G10" s="14">
        <v>0.81714198225865298</v>
      </c>
      <c r="H10" s="14">
        <v>0.49877519209940402</v>
      </c>
      <c r="I10" s="14">
        <v>0.35166788266618698</v>
      </c>
      <c r="J10" s="14">
        <v>0.39206102471140702</v>
      </c>
      <c r="K10" s="14">
        <v>0.40789109056633099</v>
      </c>
      <c r="L10" s="14">
        <v>0.433420841946697</v>
      </c>
      <c r="M10" s="14"/>
      <c r="N10" s="14">
        <v>0.39439508296557302</v>
      </c>
      <c r="O10" s="14">
        <v>0.43440140339389599</v>
      </c>
      <c r="P10" s="14">
        <v>0.43204033705523198</v>
      </c>
      <c r="Q10" s="14">
        <v>0.298021815844004</v>
      </c>
      <c r="R10" s="14"/>
      <c r="S10" s="14">
        <v>0.406290449758542</v>
      </c>
      <c r="T10" s="14">
        <v>0.35731308345739099</v>
      </c>
      <c r="U10" s="14">
        <v>0.53020273003304197</v>
      </c>
      <c r="V10" s="14">
        <v>0.44479355832965001</v>
      </c>
      <c r="W10" s="14">
        <v>0.30331984081855001</v>
      </c>
      <c r="X10" s="14">
        <v>0.39803675258725602</v>
      </c>
      <c r="Y10" s="14">
        <v>0.40564700458344999</v>
      </c>
      <c r="Z10" s="14">
        <v>0.18811135557438</v>
      </c>
      <c r="AA10" s="14">
        <v>0.37510323324950601</v>
      </c>
      <c r="AB10" s="14"/>
      <c r="AC10" s="14">
        <v>0.35079919166253698</v>
      </c>
      <c r="AD10" s="14">
        <v>0.419766736919431</v>
      </c>
      <c r="AE10" s="14">
        <v>0.40019586844416499</v>
      </c>
      <c r="AF10" s="14">
        <v>0.34502733942671399</v>
      </c>
      <c r="AG10" s="14">
        <v>0.46795977157400098</v>
      </c>
      <c r="AH10" s="14"/>
      <c r="AI10" s="14">
        <v>0.34749817225916901</v>
      </c>
      <c r="AJ10" s="14">
        <v>0.42635383059396997</v>
      </c>
      <c r="AK10" s="14">
        <v>0.42168630970959198</v>
      </c>
      <c r="AL10" s="14">
        <v>0.40231144859947998</v>
      </c>
      <c r="AM10" s="14">
        <v>0.33033065336262402</v>
      </c>
      <c r="AN10" s="14">
        <v>0.51393114039320298</v>
      </c>
      <c r="AO10" s="14"/>
      <c r="AP10" s="14">
        <v>0.39096127795382102</v>
      </c>
      <c r="AQ10" s="14">
        <v>0.38830713478740603</v>
      </c>
      <c r="AR10" s="14"/>
      <c r="AS10" s="14" t="s">
        <v>88</v>
      </c>
      <c r="AT10" s="14" t="s">
        <v>88</v>
      </c>
      <c r="AU10" s="14">
        <v>0.38879997410054801</v>
      </c>
      <c r="AV10" s="14"/>
      <c r="AW10" s="14">
        <v>0.40545983259587098</v>
      </c>
      <c r="AX10" s="14">
        <v>0.34205742176232201</v>
      </c>
      <c r="AY10" s="14"/>
      <c r="AZ10" s="14">
        <v>0.394883965595558</v>
      </c>
      <c r="BA10" s="14">
        <v>0.370971880406476</v>
      </c>
    </row>
    <row r="11" spans="2:53" x14ac:dyDescent="0.35">
      <c r="B11" s="15" t="s">
        <v>78</v>
      </c>
      <c r="C11" s="14">
        <v>0.198995639808904</v>
      </c>
      <c r="D11" s="14">
        <v>0.18973994267938599</v>
      </c>
      <c r="E11" s="14">
        <v>0.20846119361684401</v>
      </c>
      <c r="F11" s="14"/>
      <c r="G11" s="14">
        <v>0</v>
      </c>
      <c r="H11" s="14">
        <v>0.16634121798927901</v>
      </c>
      <c r="I11" s="14">
        <v>0.19646064320509701</v>
      </c>
      <c r="J11" s="14">
        <v>0.203677467300898</v>
      </c>
      <c r="K11" s="14">
        <v>0.23973104581597199</v>
      </c>
      <c r="L11" s="14">
        <v>6.7647344578217597E-2</v>
      </c>
      <c r="M11" s="14"/>
      <c r="N11" s="14">
        <v>0.17717285709962399</v>
      </c>
      <c r="O11" s="14">
        <v>0.215482568742835</v>
      </c>
      <c r="P11" s="14">
        <v>0.18638189161836699</v>
      </c>
      <c r="Q11" s="14">
        <v>0.21605457123372199</v>
      </c>
      <c r="R11" s="14"/>
      <c r="S11" s="14">
        <v>0.147851632032441</v>
      </c>
      <c r="T11" s="14">
        <v>0.22829440792927999</v>
      </c>
      <c r="U11" s="14">
        <v>0.15693277185482199</v>
      </c>
      <c r="V11" s="14">
        <v>0.22361673720525499</v>
      </c>
      <c r="W11" s="14">
        <v>0.18043580911895499</v>
      </c>
      <c r="X11" s="14">
        <v>0.138884178282763</v>
      </c>
      <c r="Y11" s="14">
        <v>0.228058542507799</v>
      </c>
      <c r="Z11" s="14">
        <v>0.26904781964685398</v>
      </c>
      <c r="AA11" s="14">
        <v>0.244638271503437</v>
      </c>
      <c r="AB11" s="14"/>
      <c r="AC11" s="14">
        <v>0.238116913436</v>
      </c>
      <c r="AD11" s="14">
        <v>0.249089749731154</v>
      </c>
      <c r="AE11" s="14">
        <v>0.17858514819010099</v>
      </c>
      <c r="AF11" s="14">
        <v>0.175580960904203</v>
      </c>
      <c r="AG11" s="14">
        <v>0.16566844718530599</v>
      </c>
      <c r="AH11" s="14"/>
      <c r="AI11" s="14">
        <v>0.19375399004882499</v>
      </c>
      <c r="AJ11" s="14">
        <v>0.16385756077750999</v>
      </c>
      <c r="AK11" s="14">
        <v>0.148989304447016</v>
      </c>
      <c r="AL11" s="14">
        <v>0.222307668996024</v>
      </c>
      <c r="AM11" s="14">
        <v>0.31296598254616698</v>
      </c>
      <c r="AN11" s="14">
        <v>0.18519983493488301</v>
      </c>
      <c r="AO11" s="14"/>
      <c r="AP11" s="14">
        <v>0.174302444666314</v>
      </c>
      <c r="AQ11" s="14">
        <v>0.22720741608296599</v>
      </c>
      <c r="AR11" s="14"/>
      <c r="AS11" s="14" t="s">
        <v>88</v>
      </c>
      <c r="AT11" s="14" t="s">
        <v>88</v>
      </c>
      <c r="AU11" s="14">
        <v>0.198995639808904</v>
      </c>
      <c r="AV11" s="14"/>
      <c r="AW11" s="14">
        <v>0.20708554667499099</v>
      </c>
      <c r="AX11" s="14">
        <v>0.14154164645530101</v>
      </c>
      <c r="AY11" s="14"/>
      <c r="AZ11" s="14">
        <v>0.18553095436929401</v>
      </c>
      <c r="BA11" s="14">
        <v>0.25013974394959698</v>
      </c>
    </row>
    <row r="12" spans="2:53" x14ac:dyDescent="0.35">
      <c r="B12" s="15" t="s">
        <v>79</v>
      </c>
      <c r="C12" s="14">
        <v>7.2609028257810806E-2</v>
      </c>
      <c r="D12" s="14">
        <v>4.9277238119636801E-2</v>
      </c>
      <c r="E12" s="14">
        <v>9.4312698017492994E-2</v>
      </c>
      <c r="F12" s="14"/>
      <c r="G12" s="14">
        <v>0</v>
      </c>
      <c r="H12" s="14">
        <v>1.35301738737812E-2</v>
      </c>
      <c r="I12" s="14">
        <v>6.5614335820143505E-2</v>
      </c>
      <c r="J12" s="14">
        <v>8.9120541434945494E-2</v>
      </c>
      <c r="K12" s="14">
        <v>7.8976393430722894E-2</v>
      </c>
      <c r="L12" s="14">
        <v>9.8745480923902895E-2</v>
      </c>
      <c r="M12" s="14"/>
      <c r="N12" s="14">
        <v>5.8928341596771898E-2</v>
      </c>
      <c r="O12" s="14">
        <v>5.2621555910673301E-2</v>
      </c>
      <c r="P12" s="14">
        <v>7.5514647059203494E-2</v>
      </c>
      <c r="Q12" s="14">
        <v>0.106978294346397</v>
      </c>
      <c r="R12" s="14"/>
      <c r="S12" s="14">
        <v>5.90172522150526E-2</v>
      </c>
      <c r="T12" s="14">
        <v>8.5644470776594997E-2</v>
      </c>
      <c r="U12" s="14">
        <v>4.8066414628220699E-2</v>
      </c>
      <c r="V12" s="14">
        <v>8.6381695306637099E-2</v>
      </c>
      <c r="W12" s="14">
        <v>0.118229658357609</v>
      </c>
      <c r="X12" s="14">
        <v>5.6806499754914502E-2</v>
      </c>
      <c r="Y12" s="14">
        <v>5.5369794804993697E-2</v>
      </c>
      <c r="Z12" s="14">
        <v>1.1055113003468999E-2</v>
      </c>
      <c r="AA12" s="14">
        <v>9.6465169793939903E-2</v>
      </c>
      <c r="AB12" s="14"/>
      <c r="AC12" s="14">
        <v>0.104102159811351</v>
      </c>
      <c r="AD12" s="14">
        <v>6.4624629814663506E-2</v>
      </c>
      <c r="AE12" s="14">
        <v>5.9810691282467597E-2</v>
      </c>
      <c r="AF12" s="14">
        <v>4.69564906513509E-2</v>
      </c>
      <c r="AG12" s="14">
        <v>0</v>
      </c>
      <c r="AH12" s="14"/>
      <c r="AI12" s="14">
        <v>6.7391495080831296E-2</v>
      </c>
      <c r="AJ12" s="14">
        <v>0.104810378897663</v>
      </c>
      <c r="AK12" s="14">
        <v>9.8655764172640395E-2</v>
      </c>
      <c r="AL12" s="14">
        <v>5.0582178419570703E-2</v>
      </c>
      <c r="AM12" s="14">
        <v>1.75765317449974E-2</v>
      </c>
      <c r="AN12" s="14">
        <v>3.8716144979087E-2</v>
      </c>
      <c r="AO12" s="14"/>
      <c r="AP12" s="14">
        <v>6.7824036642193497E-2</v>
      </c>
      <c r="AQ12" s="14">
        <v>7.6304198796666903E-2</v>
      </c>
      <c r="AR12" s="14"/>
      <c r="AS12" s="14" t="s">
        <v>88</v>
      </c>
      <c r="AT12" s="14" t="s">
        <v>88</v>
      </c>
      <c r="AU12" s="14">
        <v>7.2609028257810806E-2</v>
      </c>
      <c r="AV12" s="14"/>
      <c r="AW12" s="14">
        <v>6.7280264636214199E-2</v>
      </c>
      <c r="AX12" s="14">
        <v>6.4608746683741697E-2</v>
      </c>
      <c r="AY12" s="14"/>
      <c r="AZ12" s="14">
        <v>6.59687861887433E-2</v>
      </c>
      <c r="BA12" s="14">
        <v>9.4066227776106501E-2</v>
      </c>
    </row>
    <row r="13" spans="2:53" x14ac:dyDescent="0.35">
      <c r="B13" s="15" t="s">
        <v>80</v>
      </c>
      <c r="C13" s="18">
        <v>1.10984702156473E-2</v>
      </c>
      <c r="D13" s="18">
        <v>1.1084178849124601E-2</v>
      </c>
      <c r="E13" s="18">
        <v>1.11293751121658E-2</v>
      </c>
      <c r="F13" s="18"/>
      <c r="G13" s="18">
        <v>0</v>
      </c>
      <c r="H13" s="18">
        <v>0</v>
      </c>
      <c r="I13" s="18">
        <v>1.37239851548011E-2</v>
      </c>
      <c r="J13" s="18">
        <v>1.5050603280155299E-2</v>
      </c>
      <c r="K13" s="18">
        <v>0</v>
      </c>
      <c r="L13" s="18">
        <v>0</v>
      </c>
      <c r="M13" s="18"/>
      <c r="N13" s="18">
        <v>6.7752969701286199E-3</v>
      </c>
      <c r="O13" s="18">
        <v>2.1547547504590101E-3</v>
      </c>
      <c r="P13" s="18">
        <v>5.7401276797851902E-3</v>
      </c>
      <c r="Q13" s="18">
        <v>2.6368658061830998E-2</v>
      </c>
      <c r="R13" s="18"/>
      <c r="S13" s="18">
        <v>1.26693631041383E-2</v>
      </c>
      <c r="T13" s="18">
        <v>1.3195465904522899E-2</v>
      </c>
      <c r="U13" s="18">
        <v>2.3195415591263899E-2</v>
      </c>
      <c r="V13" s="18">
        <v>7.8813072261648097E-3</v>
      </c>
      <c r="W13" s="18">
        <v>0</v>
      </c>
      <c r="X13" s="18">
        <v>1.32597920654843E-2</v>
      </c>
      <c r="Y13" s="18">
        <v>0</v>
      </c>
      <c r="Z13" s="18">
        <v>5.0753644433327E-2</v>
      </c>
      <c r="AA13" s="18">
        <v>0</v>
      </c>
      <c r="AB13" s="18"/>
      <c r="AC13" s="18">
        <v>5.5980339588046803E-3</v>
      </c>
      <c r="AD13" s="18">
        <v>4.7603157684456303E-3</v>
      </c>
      <c r="AE13" s="18">
        <v>3.2096134619413099E-3</v>
      </c>
      <c r="AF13" s="18">
        <v>3.9115761726628701E-3</v>
      </c>
      <c r="AG13" s="18">
        <v>0</v>
      </c>
      <c r="AH13" s="18"/>
      <c r="AI13" s="18">
        <v>8.6707784926103402E-3</v>
      </c>
      <c r="AJ13" s="18">
        <v>5.5671197618586497E-3</v>
      </c>
      <c r="AK13" s="18">
        <v>5.7434529077191399E-3</v>
      </c>
      <c r="AL13" s="18">
        <v>1.4083590300866301E-2</v>
      </c>
      <c r="AM13" s="18">
        <v>2.6275038819726301E-2</v>
      </c>
      <c r="AN13" s="18">
        <v>1.69690304738505E-2</v>
      </c>
      <c r="AO13" s="18"/>
      <c r="AP13" s="18">
        <v>4.8365824977165397E-3</v>
      </c>
      <c r="AQ13" s="18">
        <v>1.6429746695919501E-2</v>
      </c>
      <c r="AR13" s="18"/>
      <c r="AS13" s="18" t="s">
        <v>88</v>
      </c>
      <c r="AT13" s="18" t="s">
        <v>88</v>
      </c>
      <c r="AU13" s="18">
        <v>1.10984702156473E-2</v>
      </c>
      <c r="AV13" s="18"/>
      <c r="AW13" s="18">
        <v>6.3541472024697503E-3</v>
      </c>
      <c r="AX13" s="18">
        <v>1.2068464931805099E-2</v>
      </c>
      <c r="AY13" s="18"/>
      <c r="AZ13" s="18">
        <v>6.8764667367931199E-3</v>
      </c>
      <c r="BA13" s="18">
        <v>2.2746444553338699E-2</v>
      </c>
    </row>
    <row r="14" spans="2:53" x14ac:dyDescent="0.35">
      <c r="B14" s="26" t="s">
        <v>81</v>
      </c>
      <c r="C14" s="27">
        <v>0.71729686171763796</v>
      </c>
      <c r="D14" s="27">
        <v>0.74989864035185205</v>
      </c>
      <c r="E14" s="27">
        <v>0.68609673325349796</v>
      </c>
      <c r="F14" s="27"/>
      <c r="G14" s="27">
        <v>1</v>
      </c>
      <c r="H14" s="27">
        <v>0.82012860813694</v>
      </c>
      <c r="I14" s="27">
        <v>0.72420103581995798</v>
      </c>
      <c r="J14" s="27">
        <v>0.692151387984002</v>
      </c>
      <c r="K14" s="27">
        <v>0.68129256075330502</v>
      </c>
      <c r="L14" s="27">
        <v>0.83360717449787902</v>
      </c>
      <c r="M14" s="27"/>
      <c r="N14" s="27">
        <v>0.75712350433347597</v>
      </c>
      <c r="O14" s="27">
        <v>0.72974112059603302</v>
      </c>
      <c r="P14" s="27">
        <v>0.73236333364264405</v>
      </c>
      <c r="Q14" s="27">
        <v>0.65059847635805002</v>
      </c>
      <c r="R14" s="27"/>
      <c r="S14" s="27">
        <v>0.78046175264836803</v>
      </c>
      <c r="T14" s="27">
        <v>0.67286565538960197</v>
      </c>
      <c r="U14" s="27">
        <v>0.77180539792569303</v>
      </c>
      <c r="V14" s="27">
        <v>0.68212026026194295</v>
      </c>
      <c r="W14" s="27">
        <v>0.70133453252343503</v>
      </c>
      <c r="X14" s="27">
        <v>0.79104952989683797</v>
      </c>
      <c r="Y14" s="27">
        <v>0.71657166268720696</v>
      </c>
      <c r="Z14" s="27">
        <v>0.66914342291634998</v>
      </c>
      <c r="AA14" s="27">
        <v>0.65889655870262398</v>
      </c>
      <c r="AB14" s="27"/>
      <c r="AC14" s="27">
        <v>0.652182892793844</v>
      </c>
      <c r="AD14" s="27">
        <v>0.68152530468573702</v>
      </c>
      <c r="AE14" s="27">
        <v>0.75839454706549003</v>
      </c>
      <c r="AF14" s="27">
        <v>0.77355097227178304</v>
      </c>
      <c r="AG14" s="27">
        <v>0.83433155281469396</v>
      </c>
      <c r="AH14" s="27"/>
      <c r="AI14" s="27">
        <v>0.73018373637773304</v>
      </c>
      <c r="AJ14" s="27">
        <v>0.72576494056296903</v>
      </c>
      <c r="AK14" s="27">
        <v>0.74661147847262399</v>
      </c>
      <c r="AL14" s="27">
        <v>0.713026562283539</v>
      </c>
      <c r="AM14" s="27">
        <v>0.64318244688910997</v>
      </c>
      <c r="AN14" s="27">
        <v>0.75911498961217905</v>
      </c>
      <c r="AO14" s="27"/>
      <c r="AP14" s="27">
        <v>0.75303693619377599</v>
      </c>
      <c r="AQ14" s="27">
        <v>0.68005863842444803</v>
      </c>
      <c r="AR14" s="27"/>
      <c r="AS14" s="27" t="s">
        <v>88</v>
      </c>
      <c r="AT14" s="27" t="s">
        <v>88</v>
      </c>
      <c r="AU14" s="27">
        <v>0.71729686171763796</v>
      </c>
      <c r="AV14" s="27"/>
      <c r="AW14" s="27">
        <v>0.71928004148632496</v>
      </c>
      <c r="AX14" s="27">
        <v>0.78178114192915205</v>
      </c>
      <c r="AY14" s="27"/>
      <c r="AZ14" s="27">
        <v>0.74162379270516998</v>
      </c>
      <c r="BA14" s="27">
        <v>0.63304758372095804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0.31536205182667498</v>
      </c>
      <c r="D9" s="14">
        <v>0.32281482298959802</v>
      </c>
      <c r="E9" s="14">
        <v>0.308458220475686</v>
      </c>
      <c r="F9" s="14"/>
      <c r="G9" s="14">
        <v>0.37788578674971901</v>
      </c>
      <c r="H9" s="14">
        <v>0.39980134947645601</v>
      </c>
      <c r="I9" s="14">
        <v>0.35538478491196002</v>
      </c>
      <c r="J9" s="14">
        <v>0.27687653773624299</v>
      </c>
      <c r="K9" s="14">
        <v>0.239239828400542</v>
      </c>
      <c r="L9" s="14">
        <v>0.393605768891506</v>
      </c>
      <c r="M9" s="14"/>
      <c r="N9" s="14">
        <v>0.34817562344407998</v>
      </c>
      <c r="O9" s="14">
        <v>0.28985366178803501</v>
      </c>
      <c r="P9" s="14">
        <v>0.28966977204413402</v>
      </c>
      <c r="Q9" s="14">
        <v>0.32695345343448001</v>
      </c>
      <c r="R9" s="14"/>
      <c r="S9" s="14">
        <v>0.395810502293999</v>
      </c>
      <c r="T9" s="14">
        <v>0.34919196790312002</v>
      </c>
      <c r="U9" s="14">
        <v>0.246074321368318</v>
      </c>
      <c r="V9" s="14">
        <v>0.24536810082270899</v>
      </c>
      <c r="W9" s="14">
        <v>0.32673770645192302</v>
      </c>
      <c r="X9" s="14">
        <v>0.35432609226534101</v>
      </c>
      <c r="Y9" s="14">
        <v>0.25035541476859202</v>
      </c>
      <c r="Z9" s="14">
        <v>0.36645379193064398</v>
      </c>
      <c r="AA9" s="14">
        <v>0.285205176785222</v>
      </c>
      <c r="AB9" s="14"/>
      <c r="AC9" s="14">
        <v>0.29244070472363598</v>
      </c>
      <c r="AD9" s="14">
        <v>0.23541699652381801</v>
      </c>
      <c r="AE9" s="14">
        <v>0.327228597035993</v>
      </c>
      <c r="AF9" s="14">
        <v>0.44562726871470998</v>
      </c>
      <c r="AG9" s="14">
        <v>0.39700679143518303</v>
      </c>
      <c r="AH9" s="14"/>
      <c r="AI9" s="14">
        <v>0.36506492467290302</v>
      </c>
      <c r="AJ9" s="14">
        <v>0.29957526811267898</v>
      </c>
      <c r="AK9" s="14">
        <v>0.33537520434107398</v>
      </c>
      <c r="AL9" s="14">
        <v>0.27963082994556598</v>
      </c>
      <c r="AM9" s="14">
        <v>0.35159794426623397</v>
      </c>
      <c r="AN9" s="14">
        <v>0.34022345098052298</v>
      </c>
      <c r="AO9" s="14"/>
      <c r="AP9" s="14">
        <v>0.33459970671424899</v>
      </c>
      <c r="AQ9" s="14">
        <v>0.292808572063954</v>
      </c>
      <c r="AR9" s="14"/>
      <c r="AS9" s="14" t="s">
        <v>88</v>
      </c>
      <c r="AT9" s="14" t="s">
        <v>88</v>
      </c>
      <c r="AU9" s="14">
        <v>0.31536205182667498</v>
      </c>
      <c r="AV9" s="14"/>
      <c r="AW9" s="14">
        <v>0.30820122419041002</v>
      </c>
      <c r="AX9" s="14">
        <v>0.44239210254450601</v>
      </c>
      <c r="AY9" s="14"/>
      <c r="AZ9" s="14">
        <v>0.32724745260854499</v>
      </c>
      <c r="BA9" s="14">
        <v>0.27190779696552803</v>
      </c>
    </row>
    <row r="10" spans="2:53" x14ac:dyDescent="0.35">
      <c r="B10" s="15" t="s">
        <v>77</v>
      </c>
      <c r="C10" s="14">
        <v>0.45031227517526401</v>
      </c>
      <c r="D10" s="14">
        <v>0.45442429418395502</v>
      </c>
      <c r="E10" s="14">
        <v>0.44541071377212599</v>
      </c>
      <c r="F10" s="14"/>
      <c r="G10" s="14">
        <v>0.182858017741347</v>
      </c>
      <c r="H10" s="14">
        <v>0.39362216945206902</v>
      </c>
      <c r="I10" s="14">
        <v>0.431967355807854</v>
      </c>
      <c r="J10" s="14">
        <v>0.45400281243317198</v>
      </c>
      <c r="K10" s="14">
        <v>0.51408332364801401</v>
      </c>
      <c r="L10" s="14">
        <v>0.59195964506723198</v>
      </c>
      <c r="M10" s="14"/>
      <c r="N10" s="14">
        <v>0.46208617015328801</v>
      </c>
      <c r="O10" s="14">
        <v>0.50247495846175405</v>
      </c>
      <c r="P10" s="14">
        <v>0.42397540036078801</v>
      </c>
      <c r="Q10" s="14">
        <v>0.40934535945095102</v>
      </c>
      <c r="R10" s="14"/>
      <c r="S10" s="14">
        <v>0.387359783747598</v>
      </c>
      <c r="T10" s="14">
        <v>0.44406328877645301</v>
      </c>
      <c r="U10" s="14">
        <v>0.55262587450572398</v>
      </c>
      <c r="V10" s="14">
        <v>0.48855744047435801</v>
      </c>
      <c r="W10" s="14">
        <v>0.45105439849645501</v>
      </c>
      <c r="X10" s="14">
        <v>0.46177381668031398</v>
      </c>
      <c r="Y10" s="14">
        <v>0.433691492063632</v>
      </c>
      <c r="Z10" s="14">
        <v>0.40437453034945298</v>
      </c>
      <c r="AA10" s="14">
        <v>0.44407143891120299</v>
      </c>
      <c r="AB10" s="14"/>
      <c r="AC10" s="14">
        <v>0.46095207645166397</v>
      </c>
      <c r="AD10" s="14">
        <v>0.48746607513002899</v>
      </c>
      <c r="AE10" s="14">
        <v>0.44948968524160898</v>
      </c>
      <c r="AF10" s="14">
        <v>0.382166245384502</v>
      </c>
      <c r="AG10" s="14">
        <v>0.44906866915791499</v>
      </c>
      <c r="AH10" s="14"/>
      <c r="AI10" s="14">
        <v>0.40563372126252101</v>
      </c>
      <c r="AJ10" s="14">
        <v>0.456792204723453</v>
      </c>
      <c r="AK10" s="14">
        <v>0.41079769998035298</v>
      </c>
      <c r="AL10" s="14">
        <v>0.50795978306062095</v>
      </c>
      <c r="AM10" s="14">
        <v>0.50636910559021198</v>
      </c>
      <c r="AN10" s="14">
        <v>0.43321571704983203</v>
      </c>
      <c r="AO10" s="14"/>
      <c r="AP10" s="14">
        <v>0.44952514307761399</v>
      </c>
      <c r="AQ10" s="14">
        <v>0.45245239706032198</v>
      </c>
      <c r="AR10" s="14"/>
      <c r="AS10" s="14" t="s">
        <v>88</v>
      </c>
      <c r="AT10" s="14" t="s">
        <v>88</v>
      </c>
      <c r="AU10" s="14">
        <v>0.45031227517526401</v>
      </c>
      <c r="AV10" s="14"/>
      <c r="AW10" s="14">
        <v>0.46507512662445899</v>
      </c>
      <c r="AX10" s="14">
        <v>0.37501414004770101</v>
      </c>
      <c r="AY10" s="14"/>
      <c r="AZ10" s="14">
        <v>0.44864942283716402</v>
      </c>
      <c r="BA10" s="14">
        <v>0.45784183731976102</v>
      </c>
    </row>
    <row r="11" spans="2:53" x14ac:dyDescent="0.35">
      <c r="B11" s="15" t="s">
        <v>78</v>
      </c>
      <c r="C11" s="14">
        <v>0.170744257762422</v>
      </c>
      <c r="D11" s="14">
        <v>0.163893305516012</v>
      </c>
      <c r="E11" s="14">
        <v>0.177785941692396</v>
      </c>
      <c r="F11" s="14"/>
      <c r="G11" s="14">
        <v>0.43925619550893402</v>
      </c>
      <c r="H11" s="14">
        <v>0.19087689620932</v>
      </c>
      <c r="I11" s="14">
        <v>0.148316415366814</v>
      </c>
      <c r="J11" s="14">
        <v>0.18945540801227101</v>
      </c>
      <c r="K11" s="14">
        <v>0.19188232080995801</v>
      </c>
      <c r="L11" s="14">
        <v>1.44345860412623E-2</v>
      </c>
      <c r="M11" s="14"/>
      <c r="N11" s="14">
        <v>0.15225320326607999</v>
      </c>
      <c r="O11" s="14">
        <v>0.15652706396618901</v>
      </c>
      <c r="P11" s="14">
        <v>0.22097510370873899</v>
      </c>
      <c r="Q11" s="14">
        <v>0.158283213886102</v>
      </c>
      <c r="R11" s="14"/>
      <c r="S11" s="14">
        <v>0.161774795287421</v>
      </c>
      <c r="T11" s="14">
        <v>0.13118162670299399</v>
      </c>
      <c r="U11" s="14">
        <v>0.148495153290817</v>
      </c>
      <c r="V11" s="14">
        <v>0.17875451692983399</v>
      </c>
      <c r="W11" s="14">
        <v>0.15530599606468701</v>
      </c>
      <c r="X11" s="14">
        <v>0.13119999919775399</v>
      </c>
      <c r="Y11" s="14">
        <v>0.27105185504781698</v>
      </c>
      <c r="Z11" s="14">
        <v>0.17841803328657599</v>
      </c>
      <c r="AA11" s="14">
        <v>0.197487538899871</v>
      </c>
      <c r="AB11" s="14"/>
      <c r="AC11" s="14">
        <v>0.18038334492128799</v>
      </c>
      <c r="AD11" s="14">
        <v>0.21576531603184099</v>
      </c>
      <c r="AE11" s="14">
        <v>0.16271921565803699</v>
      </c>
      <c r="AF11" s="14">
        <v>0.149774926908809</v>
      </c>
      <c r="AG11" s="14">
        <v>9.3457260717301899E-2</v>
      </c>
      <c r="AH11" s="14"/>
      <c r="AI11" s="14">
        <v>0.16751593868214401</v>
      </c>
      <c r="AJ11" s="14">
        <v>0.176224786004964</v>
      </c>
      <c r="AK11" s="14">
        <v>0.17011868509523201</v>
      </c>
      <c r="AL11" s="14">
        <v>0.135565860498402</v>
      </c>
      <c r="AM11" s="14">
        <v>0.115757911323828</v>
      </c>
      <c r="AN11" s="14">
        <v>0.179951922415482</v>
      </c>
      <c r="AO11" s="14"/>
      <c r="AP11" s="14">
        <v>0.15999570390912701</v>
      </c>
      <c r="AQ11" s="14">
        <v>0.18391144017806199</v>
      </c>
      <c r="AR11" s="14"/>
      <c r="AS11" s="14" t="s">
        <v>88</v>
      </c>
      <c r="AT11" s="14" t="s">
        <v>88</v>
      </c>
      <c r="AU11" s="14">
        <v>0.170744257762422</v>
      </c>
      <c r="AV11" s="14"/>
      <c r="AW11" s="14">
        <v>0.17324672851928799</v>
      </c>
      <c r="AX11" s="14">
        <v>0.11712632012537499</v>
      </c>
      <c r="AY11" s="14"/>
      <c r="AZ11" s="14">
        <v>0.16269635048257899</v>
      </c>
      <c r="BA11" s="14">
        <v>0.20188484056400799</v>
      </c>
    </row>
    <row r="12" spans="2:53" x14ac:dyDescent="0.35">
      <c r="B12" s="15" t="s">
        <v>79</v>
      </c>
      <c r="C12" s="14">
        <v>4.8997209431926002E-2</v>
      </c>
      <c r="D12" s="14">
        <v>4.8722404861940002E-2</v>
      </c>
      <c r="E12" s="14">
        <v>4.9343288181389798E-2</v>
      </c>
      <c r="F12" s="14"/>
      <c r="G12" s="14">
        <v>0</v>
      </c>
      <c r="H12" s="14">
        <v>5.0481757546139098E-3</v>
      </c>
      <c r="I12" s="14">
        <v>4.4039468200684703E-2</v>
      </c>
      <c r="J12" s="14">
        <v>6.8400746583942906E-2</v>
      </c>
      <c r="K12" s="14">
        <v>4.2505721489329303E-2</v>
      </c>
      <c r="L12" s="14">
        <v>0</v>
      </c>
      <c r="M12" s="14"/>
      <c r="N12" s="14">
        <v>3.2365823230452201E-2</v>
      </c>
      <c r="O12" s="14">
        <v>4.3158382674950702E-2</v>
      </c>
      <c r="P12" s="14">
        <v>5.9639596206554499E-2</v>
      </c>
      <c r="Q12" s="14">
        <v>6.4538469707466906E-2</v>
      </c>
      <c r="R12" s="14"/>
      <c r="S12" s="14">
        <v>4.2385555566842897E-2</v>
      </c>
      <c r="T12" s="14">
        <v>5.8933516874068503E-2</v>
      </c>
      <c r="U12" s="14">
        <v>3.1472162856953798E-2</v>
      </c>
      <c r="V12" s="14">
        <v>6.4607505737893894E-2</v>
      </c>
      <c r="W12" s="14">
        <v>6.6901898986934605E-2</v>
      </c>
      <c r="X12" s="14">
        <v>3.9440299791106297E-2</v>
      </c>
      <c r="Y12" s="14">
        <v>3.6566589793013797E-2</v>
      </c>
      <c r="Z12" s="14">
        <v>0</v>
      </c>
      <c r="AA12" s="14">
        <v>6.8454551440778999E-2</v>
      </c>
      <c r="AB12" s="14"/>
      <c r="AC12" s="14">
        <v>5.0420810839406902E-2</v>
      </c>
      <c r="AD12" s="14">
        <v>6.1351612314311299E-2</v>
      </c>
      <c r="AE12" s="14">
        <v>5.0159269838794603E-2</v>
      </c>
      <c r="AF12" s="14">
        <v>1.85199828193158E-2</v>
      </c>
      <c r="AG12" s="14">
        <v>6.0467278689599703E-2</v>
      </c>
      <c r="AH12" s="14"/>
      <c r="AI12" s="14">
        <v>5.3114636889822403E-2</v>
      </c>
      <c r="AJ12" s="14">
        <v>6.4394781999646003E-2</v>
      </c>
      <c r="AK12" s="14">
        <v>5.2622849510459903E-2</v>
      </c>
      <c r="AL12" s="14">
        <v>6.5040604101906097E-2</v>
      </c>
      <c r="AM12" s="14">
        <v>0</v>
      </c>
      <c r="AN12" s="14">
        <v>1.4658509756478399E-2</v>
      </c>
      <c r="AO12" s="14"/>
      <c r="AP12" s="14">
        <v>4.5548678065256802E-2</v>
      </c>
      <c r="AQ12" s="14">
        <v>5.3192271725767203E-2</v>
      </c>
      <c r="AR12" s="14"/>
      <c r="AS12" s="14" t="s">
        <v>88</v>
      </c>
      <c r="AT12" s="14" t="s">
        <v>88</v>
      </c>
      <c r="AU12" s="14">
        <v>4.8997209431926002E-2</v>
      </c>
      <c r="AV12" s="14"/>
      <c r="AW12" s="14">
        <v>4.2566460357375699E-2</v>
      </c>
      <c r="AX12" s="14">
        <v>5.9690231108825403E-2</v>
      </c>
      <c r="AY12" s="14"/>
      <c r="AZ12" s="14">
        <v>5.2608399044518597E-2</v>
      </c>
      <c r="BA12" s="14">
        <v>3.6409840904089698E-2</v>
      </c>
    </row>
    <row r="13" spans="2:53" x14ac:dyDescent="0.35">
      <c r="B13" s="15" t="s">
        <v>80</v>
      </c>
      <c r="C13" s="18">
        <v>1.4584205803713E-2</v>
      </c>
      <c r="D13" s="18">
        <v>1.01451724484948E-2</v>
      </c>
      <c r="E13" s="18">
        <v>1.9001835878402699E-2</v>
      </c>
      <c r="F13" s="18"/>
      <c r="G13" s="18">
        <v>0</v>
      </c>
      <c r="H13" s="18">
        <v>1.06514091075408E-2</v>
      </c>
      <c r="I13" s="18">
        <v>2.0291975712687201E-2</v>
      </c>
      <c r="J13" s="18">
        <v>1.1264495234370999E-2</v>
      </c>
      <c r="K13" s="18">
        <v>1.2288805652156599E-2</v>
      </c>
      <c r="L13" s="18">
        <v>0</v>
      </c>
      <c r="M13" s="18"/>
      <c r="N13" s="18">
        <v>5.1191799060988103E-3</v>
      </c>
      <c r="O13" s="18">
        <v>7.9859331090715007E-3</v>
      </c>
      <c r="P13" s="18">
        <v>5.7401276797851902E-3</v>
      </c>
      <c r="Q13" s="18">
        <v>4.0879503520999498E-2</v>
      </c>
      <c r="R13" s="18"/>
      <c r="S13" s="18">
        <v>1.26693631041383E-2</v>
      </c>
      <c r="T13" s="18">
        <v>1.6629599743365399E-2</v>
      </c>
      <c r="U13" s="18">
        <v>2.13324879781875E-2</v>
      </c>
      <c r="V13" s="18">
        <v>2.2712436035205501E-2</v>
      </c>
      <c r="W13" s="18">
        <v>0</v>
      </c>
      <c r="X13" s="18">
        <v>1.32597920654843E-2</v>
      </c>
      <c r="Y13" s="18">
        <v>8.3346483269452105E-3</v>
      </c>
      <c r="Z13" s="18">
        <v>5.0753644433327E-2</v>
      </c>
      <c r="AA13" s="18">
        <v>4.7812939629247797E-3</v>
      </c>
      <c r="AB13" s="18"/>
      <c r="AC13" s="18">
        <v>1.58030630640047E-2</v>
      </c>
      <c r="AD13" s="18">
        <v>0</v>
      </c>
      <c r="AE13" s="18">
        <v>1.0403232225566401E-2</v>
      </c>
      <c r="AF13" s="18">
        <v>3.9115761726628701E-3</v>
      </c>
      <c r="AG13" s="18">
        <v>0</v>
      </c>
      <c r="AH13" s="18"/>
      <c r="AI13" s="18">
        <v>8.6707784926103402E-3</v>
      </c>
      <c r="AJ13" s="18">
        <v>3.01295915925696E-3</v>
      </c>
      <c r="AK13" s="18">
        <v>3.1085561072879901E-2</v>
      </c>
      <c r="AL13" s="18">
        <v>1.1802922393505499E-2</v>
      </c>
      <c r="AM13" s="18">
        <v>2.6275038819726301E-2</v>
      </c>
      <c r="AN13" s="18">
        <v>3.1950399797684798E-2</v>
      </c>
      <c r="AO13" s="18"/>
      <c r="AP13" s="18">
        <v>1.0330768233753901E-2</v>
      </c>
      <c r="AQ13" s="18">
        <v>1.7635318971895401E-2</v>
      </c>
      <c r="AR13" s="18"/>
      <c r="AS13" s="18" t="s">
        <v>88</v>
      </c>
      <c r="AT13" s="18" t="s">
        <v>88</v>
      </c>
      <c r="AU13" s="18">
        <v>1.4584205803713E-2</v>
      </c>
      <c r="AV13" s="18"/>
      <c r="AW13" s="18">
        <v>1.0910460308467001E-2</v>
      </c>
      <c r="AX13" s="18">
        <v>5.77720617359206E-3</v>
      </c>
      <c r="AY13" s="18"/>
      <c r="AZ13" s="18">
        <v>8.7983750271940601E-3</v>
      </c>
      <c r="BA13" s="18">
        <v>3.1955684246613797E-2</v>
      </c>
    </row>
    <row r="14" spans="2:53" x14ac:dyDescent="0.35">
      <c r="B14" s="26" t="s">
        <v>81</v>
      </c>
      <c r="C14" s="27">
        <v>0.76567432700193905</v>
      </c>
      <c r="D14" s="27">
        <v>0.77723911717355298</v>
      </c>
      <c r="E14" s="27">
        <v>0.75386893424781198</v>
      </c>
      <c r="F14" s="27"/>
      <c r="G14" s="27">
        <v>0.56074380449106598</v>
      </c>
      <c r="H14" s="27">
        <v>0.79342351892852503</v>
      </c>
      <c r="I14" s="27">
        <v>0.78735214071981396</v>
      </c>
      <c r="J14" s="27">
        <v>0.73087935016941497</v>
      </c>
      <c r="K14" s="27">
        <v>0.75332315204855604</v>
      </c>
      <c r="L14" s="27">
        <v>0.98556541395873798</v>
      </c>
      <c r="M14" s="27"/>
      <c r="N14" s="27">
        <v>0.81026179359736905</v>
      </c>
      <c r="O14" s="27">
        <v>0.79232862024978901</v>
      </c>
      <c r="P14" s="27">
        <v>0.71364517240492198</v>
      </c>
      <c r="Q14" s="27">
        <v>0.73629881288543197</v>
      </c>
      <c r="R14" s="27"/>
      <c r="S14" s="27">
        <v>0.783170286041598</v>
      </c>
      <c r="T14" s="27">
        <v>0.79325525667957197</v>
      </c>
      <c r="U14" s="27">
        <v>0.79870019587404195</v>
      </c>
      <c r="V14" s="27">
        <v>0.733925541297067</v>
      </c>
      <c r="W14" s="27">
        <v>0.77779210494837803</v>
      </c>
      <c r="X14" s="27">
        <v>0.81609990894565498</v>
      </c>
      <c r="Y14" s="27">
        <v>0.68404690683222402</v>
      </c>
      <c r="Z14" s="27">
        <v>0.77082832228009701</v>
      </c>
      <c r="AA14" s="27">
        <v>0.72927661569642499</v>
      </c>
      <c r="AB14" s="27"/>
      <c r="AC14" s="27">
        <v>0.75339278117530095</v>
      </c>
      <c r="AD14" s="27">
        <v>0.72288307165384802</v>
      </c>
      <c r="AE14" s="27">
        <v>0.77671828227760198</v>
      </c>
      <c r="AF14" s="27">
        <v>0.82779351409921198</v>
      </c>
      <c r="AG14" s="27">
        <v>0.84607546059309802</v>
      </c>
      <c r="AH14" s="27"/>
      <c r="AI14" s="27">
        <v>0.77069864593542303</v>
      </c>
      <c r="AJ14" s="27">
        <v>0.75636747283613304</v>
      </c>
      <c r="AK14" s="27">
        <v>0.74617290432142802</v>
      </c>
      <c r="AL14" s="27">
        <v>0.78759061300618605</v>
      </c>
      <c r="AM14" s="27">
        <v>0.85796704985644601</v>
      </c>
      <c r="AN14" s="27">
        <v>0.77343916803035495</v>
      </c>
      <c r="AO14" s="27"/>
      <c r="AP14" s="27">
        <v>0.78412484979186303</v>
      </c>
      <c r="AQ14" s="27">
        <v>0.74526096912427597</v>
      </c>
      <c r="AR14" s="27"/>
      <c r="AS14" s="27" t="s">
        <v>88</v>
      </c>
      <c r="AT14" s="27" t="s">
        <v>88</v>
      </c>
      <c r="AU14" s="27">
        <v>0.76567432700193905</v>
      </c>
      <c r="AV14" s="27"/>
      <c r="AW14" s="27">
        <v>0.77327635081486901</v>
      </c>
      <c r="AX14" s="27">
        <v>0.81740624259220696</v>
      </c>
      <c r="AY14" s="27"/>
      <c r="AZ14" s="27">
        <v>0.77589687544570796</v>
      </c>
      <c r="BA14" s="27">
        <v>0.72974963428528805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BA19"/>
  <sheetViews>
    <sheetView showGridLines="0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0.28112935423907298</v>
      </c>
      <c r="D9" s="14">
        <v>0.31222348664535898</v>
      </c>
      <c r="E9" s="14">
        <v>0.25076372397639901</v>
      </c>
      <c r="F9" s="14"/>
      <c r="G9" s="14">
        <v>0</v>
      </c>
      <c r="H9" s="14">
        <v>0.35841890294746498</v>
      </c>
      <c r="I9" s="14">
        <v>0.34232899500499198</v>
      </c>
      <c r="J9" s="14">
        <v>0.22688541941809201</v>
      </c>
      <c r="K9" s="14">
        <v>0.222572552068178</v>
      </c>
      <c r="L9" s="14">
        <v>0.215825563511472</v>
      </c>
      <c r="M9" s="14"/>
      <c r="N9" s="14">
        <v>0.31239061358493903</v>
      </c>
      <c r="O9" s="14">
        <v>0.21245373477327201</v>
      </c>
      <c r="P9" s="14">
        <v>0.30624661424342198</v>
      </c>
      <c r="Q9" s="14">
        <v>0.28633279097946801</v>
      </c>
      <c r="R9" s="14"/>
      <c r="S9" s="14">
        <v>0.38470263323368198</v>
      </c>
      <c r="T9" s="14">
        <v>0.282917127569982</v>
      </c>
      <c r="U9" s="14">
        <v>0.237395598863954</v>
      </c>
      <c r="V9" s="14">
        <v>0.19086074884565399</v>
      </c>
      <c r="W9" s="14">
        <v>0.32030287624001402</v>
      </c>
      <c r="X9" s="14">
        <v>0.327547544178659</v>
      </c>
      <c r="Y9" s="14">
        <v>0.22728274798447001</v>
      </c>
      <c r="Z9" s="14">
        <v>0.36106864437484099</v>
      </c>
      <c r="AA9" s="14">
        <v>0.212786818596361</v>
      </c>
      <c r="AB9" s="14"/>
      <c r="AC9" s="14">
        <v>0.26545193981087101</v>
      </c>
      <c r="AD9" s="14">
        <v>0.22841895340287999</v>
      </c>
      <c r="AE9" s="14">
        <v>0.29764731612585599</v>
      </c>
      <c r="AF9" s="14">
        <v>0.379512245470562</v>
      </c>
      <c r="AG9" s="14">
        <v>0.39201318102927102</v>
      </c>
      <c r="AH9" s="14"/>
      <c r="AI9" s="14">
        <v>0.30642202820782</v>
      </c>
      <c r="AJ9" s="14">
        <v>0.28909306260635598</v>
      </c>
      <c r="AK9" s="14">
        <v>0.26962543224614799</v>
      </c>
      <c r="AL9" s="14">
        <v>0.264251979911303</v>
      </c>
      <c r="AM9" s="14">
        <v>0.31507544475978499</v>
      </c>
      <c r="AN9" s="14">
        <v>0.32154639333889901</v>
      </c>
      <c r="AO9" s="14"/>
      <c r="AP9" s="14">
        <v>0.305411656428415</v>
      </c>
      <c r="AQ9" s="14">
        <v>0.253725393514669</v>
      </c>
      <c r="AR9" s="14"/>
      <c r="AS9" s="14" t="s">
        <v>88</v>
      </c>
      <c r="AT9" s="14" t="s">
        <v>88</v>
      </c>
      <c r="AU9" s="14">
        <v>0.28112935423907298</v>
      </c>
      <c r="AV9" s="14"/>
      <c r="AW9" s="14">
        <v>0.261127566083242</v>
      </c>
      <c r="AX9" s="14">
        <v>0.47406640048960302</v>
      </c>
      <c r="AY9" s="14"/>
      <c r="AZ9" s="14">
        <v>0.30336136809342101</v>
      </c>
      <c r="BA9" s="14">
        <v>0.199683949442646</v>
      </c>
    </row>
    <row r="10" spans="2:53" x14ac:dyDescent="0.35">
      <c r="B10" s="15" t="s">
        <v>77</v>
      </c>
      <c r="C10" s="14">
        <v>0.47091997594313101</v>
      </c>
      <c r="D10" s="14">
        <v>0.457517440537762</v>
      </c>
      <c r="E10" s="14">
        <v>0.48490228167155103</v>
      </c>
      <c r="F10" s="14"/>
      <c r="G10" s="14">
        <v>0.43925619550893402</v>
      </c>
      <c r="H10" s="14">
        <v>0.41177974190191702</v>
      </c>
      <c r="I10" s="14">
        <v>0.444276041582853</v>
      </c>
      <c r="J10" s="14">
        <v>0.491488876561889</v>
      </c>
      <c r="K10" s="14">
        <v>0.50325201083456095</v>
      </c>
      <c r="L10" s="14">
        <v>0.62838135257582795</v>
      </c>
      <c r="M10" s="14"/>
      <c r="N10" s="14">
        <v>0.45576618870411401</v>
      </c>
      <c r="O10" s="14">
        <v>0.57464152447875705</v>
      </c>
      <c r="P10" s="14">
        <v>0.43377917875528499</v>
      </c>
      <c r="Q10" s="14">
        <v>0.41924439947412601</v>
      </c>
      <c r="R10" s="14"/>
      <c r="S10" s="14">
        <v>0.42401686229261298</v>
      </c>
      <c r="T10" s="14">
        <v>0.46332634009837897</v>
      </c>
      <c r="U10" s="14">
        <v>0.44760933221120502</v>
      </c>
      <c r="V10" s="14">
        <v>0.55609043214962905</v>
      </c>
      <c r="W10" s="14">
        <v>0.46366153411015798</v>
      </c>
      <c r="X10" s="14">
        <v>0.40965752571858899</v>
      </c>
      <c r="Y10" s="14">
        <v>0.54165532749753698</v>
      </c>
      <c r="Z10" s="14">
        <v>0.40345503229140001</v>
      </c>
      <c r="AA10" s="14">
        <v>0.50347874834694994</v>
      </c>
      <c r="AB10" s="14"/>
      <c r="AC10" s="14">
        <v>0.49626479077743202</v>
      </c>
      <c r="AD10" s="14">
        <v>0.46326899452903603</v>
      </c>
      <c r="AE10" s="14">
        <v>0.48300429499868203</v>
      </c>
      <c r="AF10" s="14">
        <v>0.43018001234546599</v>
      </c>
      <c r="AG10" s="14">
        <v>0.35427694596529902</v>
      </c>
      <c r="AH10" s="14"/>
      <c r="AI10" s="14">
        <v>0.42300094366643098</v>
      </c>
      <c r="AJ10" s="14">
        <v>0.50965405349520199</v>
      </c>
      <c r="AK10" s="14">
        <v>0.48717696821291601</v>
      </c>
      <c r="AL10" s="14">
        <v>0.468212997223381</v>
      </c>
      <c r="AM10" s="14">
        <v>0.44129397790293301</v>
      </c>
      <c r="AN10" s="14">
        <v>0.439885245253399</v>
      </c>
      <c r="AO10" s="14"/>
      <c r="AP10" s="14">
        <v>0.45692272866050299</v>
      </c>
      <c r="AQ10" s="14">
        <v>0.48933270454134897</v>
      </c>
      <c r="AR10" s="14"/>
      <c r="AS10" s="14" t="s">
        <v>88</v>
      </c>
      <c r="AT10" s="14" t="s">
        <v>88</v>
      </c>
      <c r="AU10" s="14">
        <v>0.47091997594313101</v>
      </c>
      <c r="AV10" s="14"/>
      <c r="AW10" s="14">
        <v>0.50042985277478502</v>
      </c>
      <c r="AX10" s="14">
        <v>0.35665766053387998</v>
      </c>
      <c r="AY10" s="14"/>
      <c r="AZ10" s="14">
        <v>0.46820489764485401</v>
      </c>
      <c r="BA10" s="14">
        <v>0.48598548164648703</v>
      </c>
    </row>
    <row r="11" spans="2:53" x14ac:dyDescent="0.35">
      <c r="B11" s="15" t="s">
        <v>78</v>
      </c>
      <c r="C11" s="14">
        <v>0.184159479244974</v>
      </c>
      <c r="D11" s="14">
        <v>0.17111757514204201</v>
      </c>
      <c r="E11" s="14">
        <v>0.19584229591799701</v>
      </c>
      <c r="F11" s="14"/>
      <c r="G11" s="14">
        <v>0.56074380449106598</v>
      </c>
      <c r="H11" s="14">
        <v>0.194275963534634</v>
      </c>
      <c r="I11" s="14">
        <v>0.15093891565606099</v>
      </c>
      <c r="J11" s="14">
        <v>0.201773414014113</v>
      </c>
      <c r="K11" s="14">
        <v>0.22538684010520399</v>
      </c>
      <c r="L11" s="14">
        <v>0.1557930839127</v>
      </c>
      <c r="M11" s="14"/>
      <c r="N11" s="14">
        <v>0.18730591427985099</v>
      </c>
      <c r="O11" s="14">
        <v>0.175678215021388</v>
      </c>
      <c r="P11" s="14">
        <v>0.19951686961751799</v>
      </c>
      <c r="Q11" s="14">
        <v>0.177321892476454</v>
      </c>
      <c r="R11" s="14"/>
      <c r="S11" s="14">
        <v>0.14862285990424701</v>
      </c>
      <c r="T11" s="14">
        <v>0.185485767562245</v>
      </c>
      <c r="U11" s="14">
        <v>0.258923973702263</v>
      </c>
      <c r="V11" s="14">
        <v>0.156049871669874</v>
      </c>
      <c r="W11" s="14">
        <v>0.12809911686451</v>
      </c>
      <c r="X11" s="14">
        <v>0.192952675790209</v>
      </c>
      <c r="Y11" s="14">
        <v>0.21038171014353499</v>
      </c>
      <c r="Z11" s="14">
        <v>0.156490580215085</v>
      </c>
      <c r="AA11" s="14">
        <v>0.21765362551966899</v>
      </c>
      <c r="AB11" s="14"/>
      <c r="AC11" s="14">
        <v>0.15723990363815399</v>
      </c>
      <c r="AD11" s="14">
        <v>0.26177480148751803</v>
      </c>
      <c r="AE11" s="14">
        <v>0.17207239194781901</v>
      </c>
      <c r="AF11" s="14">
        <v>0.16375817590137901</v>
      </c>
      <c r="AG11" s="14">
        <v>0.22397368637585599</v>
      </c>
      <c r="AH11" s="14"/>
      <c r="AI11" s="14">
        <v>0.200606451021659</v>
      </c>
      <c r="AJ11" s="14">
        <v>0.14708419720643501</v>
      </c>
      <c r="AK11" s="14">
        <v>0.164275111738936</v>
      </c>
      <c r="AL11" s="14">
        <v>0.20000468372076599</v>
      </c>
      <c r="AM11" s="14">
        <v>0.21735553851755501</v>
      </c>
      <c r="AN11" s="14">
        <v>0.181771911206769</v>
      </c>
      <c r="AO11" s="14"/>
      <c r="AP11" s="14">
        <v>0.18015454328599401</v>
      </c>
      <c r="AQ11" s="14">
        <v>0.18967944893331801</v>
      </c>
      <c r="AR11" s="14"/>
      <c r="AS11" s="14" t="s">
        <v>88</v>
      </c>
      <c r="AT11" s="14" t="s">
        <v>88</v>
      </c>
      <c r="AU11" s="14">
        <v>0.184159479244974</v>
      </c>
      <c r="AV11" s="14"/>
      <c r="AW11" s="14">
        <v>0.18709992652896301</v>
      </c>
      <c r="AX11" s="14">
        <v>0.107022390936067</v>
      </c>
      <c r="AY11" s="14"/>
      <c r="AZ11" s="14">
        <v>0.170811503093521</v>
      </c>
      <c r="BA11" s="14">
        <v>0.23123223654021</v>
      </c>
    </row>
    <row r="12" spans="2:53" x14ac:dyDescent="0.35">
      <c r="B12" s="15" t="s">
        <v>79</v>
      </c>
      <c r="C12" s="14">
        <v>5.0862826808700697E-2</v>
      </c>
      <c r="D12" s="14">
        <v>5.0445212252230899E-2</v>
      </c>
      <c r="E12" s="14">
        <v>5.1353134892931203E-2</v>
      </c>
      <c r="F12" s="14"/>
      <c r="G12" s="14">
        <v>0</v>
      </c>
      <c r="H12" s="14">
        <v>2.48739825084443E-2</v>
      </c>
      <c r="I12" s="14">
        <v>4.3189132988528903E-2</v>
      </c>
      <c r="J12" s="14">
        <v>6.7898256546242597E-2</v>
      </c>
      <c r="K12" s="14">
        <v>4.87885969920566E-2</v>
      </c>
      <c r="L12" s="14">
        <v>0</v>
      </c>
      <c r="M12" s="14"/>
      <c r="N12" s="14">
        <v>3.6958678116029098E-2</v>
      </c>
      <c r="O12" s="14">
        <v>3.2553964826844903E-2</v>
      </c>
      <c r="P12" s="14">
        <v>5.4717209703990299E-2</v>
      </c>
      <c r="Q12" s="14">
        <v>8.2524831748159597E-2</v>
      </c>
      <c r="R12" s="14"/>
      <c r="S12" s="14">
        <v>2.47265140269637E-2</v>
      </c>
      <c r="T12" s="14">
        <v>6.15226992139968E-2</v>
      </c>
      <c r="U12" s="14">
        <v>4.3091971993497298E-2</v>
      </c>
      <c r="V12" s="14">
        <v>7.9104955594011497E-2</v>
      </c>
      <c r="W12" s="14">
        <v>8.7936472785317896E-2</v>
      </c>
      <c r="X12" s="14">
        <v>5.6582462247059401E-2</v>
      </c>
      <c r="Y12" s="14">
        <v>8.3346483269452105E-3</v>
      </c>
      <c r="Z12" s="14">
        <v>2.82320986853473E-2</v>
      </c>
      <c r="AA12" s="14">
        <v>6.1299513574094598E-2</v>
      </c>
      <c r="AB12" s="14"/>
      <c r="AC12" s="14">
        <v>7.1747456381049499E-2</v>
      </c>
      <c r="AD12" s="14">
        <v>4.65372505805665E-2</v>
      </c>
      <c r="AE12" s="14">
        <v>4.0287885071042598E-2</v>
      </c>
      <c r="AF12" s="14">
        <v>1.67145960801828E-2</v>
      </c>
      <c r="AG12" s="14">
        <v>2.97361866295749E-2</v>
      </c>
      <c r="AH12" s="14"/>
      <c r="AI12" s="14">
        <v>6.0084588239259003E-2</v>
      </c>
      <c r="AJ12" s="14">
        <v>4.9673942331990899E-2</v>
      </c>
      <c r="AK12" s="14">
        <v>7.3179034894281597E-2</v>
      </c>
      <c r="AL12" s="14">
        <v>5.5727416751044298E-2</v>
      </c>
      <c r="AM12" s="14">
        <v>0</v>
      </c>
      <c r="AN12" s="14">
        <v>2.48460504032481E-2</v>
      </c>
      <c r="AO12" s="14"/>
      <c r="AP12" s="14">
        <v>4.8761187694536801E-2</v>
      </c>
      <c r="AQ12" s="14">
        <v>5.1377169315017499E-2</v>
      </c>
      <c r="AR12" s="14"/>
      <c r="AS12" s="14" t="s">
        <v>88</v>
      </c>
      <c r="AT12" s="14" t="s">
        <v>88</v>
      </c>
      <c r="AU12" s="14">
        <v>5.0862826808700697E-2</v>
      </c>
      <c r="AV12" s="14"/>
      <c r="AW12" s="14">
        <v>4.3763043160003498E-2</v>
      </c>
      <c r="AX12" s="14">
        <v>5.6476341866858001E-2</v>
      </c>
      <c r="AY12" s="14"/>
      <c r="AZ12" s="14">
        <v>5.0940207537348403E-2</v>
      </c>
      <c r="BA12" s="14">
        <v>5.1142648124043497E-2</v>
      </c>
    </row>
    <row r="13" spans="2:53" x14ac:dyDescent="0.35">
      <c r="B13" s="15" t="s">
        <v>80</v>
      </c>
      <c r="C13" s="18">
        <v>1.29283637641214E-2</v>
      </c>
      <c r="D13" s="18">
        <v>8.6962854226059899E-3</v>
      </c>
      <c r="E13" s="18">
        <v>1.7138563541122299E-2</v>
      </c>
      <c r="F13" s="18"/>
      <c r="G13" s="18">
        <v>0</v>
      </c>
      <c r="H13" s="18">
        <v>1.06514091075408E-2</v>
      </c>
      <c r="I13" s="18">
        <v>1.9266914767566E-2</v>
      </c>
      <c r="J13" s="18">
        <v>1.1954033459662901E-2</v>
      </c>
      <c r="K13" s="18">
        <v>0</v>
      </c>
      <c r="L13" s="18">
        <v>0</v>
      </c>
      <c r="M13" s="18"/>
      <c r="N13" s="18">
        <v>7.5786053150668099E-3</v>
      </c>
      <c r="O13" s="18">
        <v>4.6725608997380602E-3</v>
      </c>
      <c r="P13" s="18">
        <v>5.7401276797851902E-3</v>
      </c>
      <c r="Q13" s="18">
        <v>3.4576085321792203E-2</v>
      </c>
      <c r="R13" s="18"/>
      <c r="S13" s="18">
        <v>1.7931130542494698E-2</v>
      </c>
      <c r="T13" s="18">
        <v>6.7480655553974703E-3</v>
      </c>
      <c r="U13" s="18">
        <v>1.29791232290806E-2</v>
      </c>
      <c r="V13" s="18">
        <v>1.7893991740831498E-2</v>
      </c>
      <c r="W13" s="18">
        <v>0</v>
      </c>
      <c r="X13" s="18">
        <v>1.32597920654843E-2</v>
      </c>
      <c r="Y13" s="18">
        <v>1.23455660475126E-2</v>
      </c>
      <c r="Z13" s="18">
        <v>5.0753644433327E-2</v>
      </c>
      <c r="AA13" s="18">
        <v>4.7812939629247797E-3</v>
      </c>
      <c r="AB13" s="18"/>
      <c r="AC13" s="18">
        <v>9.2959093924934594E-3</v>
      </c>
      <c r="AD13" s="18">
        <v>0</v>
      </c>
      <c r="AE13" s="18">
        <v>6.9881118565998501E-3</v>
      </c>
      <c r="AF13" s="18">
        <v>9.8349702024095997E-3</v>
      </c>
      <c r="AG13" s="18">
        <v>0</v>
      </c>
      <c r="AH13" s="18"/>
      <c r="AI13" s="18">
        <v>9.8859888648318798E-3</v>
      </c>
      <c r="AJ13" s="18">
        <v>4.4947443600157301E-3</v>
      </c>
      <c r="AK13" s="18">
        <v>5.7434529077191399E-3</v>
      </c>
      <c r="AL13" s="18">
        <v>1.1802922393505499E-2</v>
      </c>
      <c r="AM13" s="18">
        <v>2.6275038819726301E-2</v>
      </c>
      <c r="AN13" s="18">
        <v>3.1950399797684798E-2</v>
      </c>
      <c r="AO13" s="18"/>
      <c r="AP13" s="18">
        <v>8.7498839305515993E-3</v>
      </c>
      <c r="AQ13" s="18">
        <v>1.5885283695646402E-2</v>
      </c>
      <c r="AR13" s="18"/>
      <c r="AS13" s="18" t="s">
        <v>88</v>
      </c>
      <c r="AT13" s="18" t="s">
        <v>88</v>
      </c>
      <c r="AU13" s="18">
        <v>1.29283637641214E-2</v>
      </c>
      <c r="AV13" s="18"/>
      <c r="AW13" s="18">
        <v>7.5796114530052297E-3</v>
      </c>
      <c r="AX13" s="18">
        <v>5.77720617359206E-3</v>
      </c>
      <c r="AY13" s="18"/>
      <c r="AZ13" s="18">
        <v>6.6820236308558403E-3</v>
      </c>
      <c r="BA13" s="18">
        <v>3.1955684246613797E-2</v>
      </c>
    </row>
    <row r="14" spans="2:53" x14ac:dyDescent="0.35">
      <c r="B14" s="26" t="s">
        <v>81</v>
      </c>
      <c r="C14" s="27">
        <v>0.75204933018220399</v>
      </c>
      <c r="D14" s="27">
        <v>0.76974092718312104</v>
      </c>
      <c r="E14" s="27">
        <v>0.73566600564795004</v>
      </c>
      <c r="F14" s="27"/>
      <c r="G14" s="27">
        <v>0.43925619550893402</v>
      </c>
      <c r="H14" s="27">
        <v>0.77019864484938105</v>
      </c>
      <c r="I14" s="27">
        <v>0.78660503658784497</v>
      </c>
      <c r="J14" s="27">
        <v>0.71837429597998104</v>
      </c>
      <c r="K14" s="27">
        <v>0.725824562902739</v>
      </c>
      <c r="L14" s="27">
        <v>0.84420691608730003</v>
      </c>
      <c r="M14" s="27"/>
      <c r="N14" s="27">
        <v>0.76815680228905303</v>
      </c>
      <c r="O14" s="27">
        <v>0.78709525925202894</v>
      </c>
      <c r="P14" s="27">
        <v>0.74002579299870697</v>
      </c>
      <c r="Q14" s="27">
        <v>0.70557719045359402</v>
      </c>
      <c r="R14" s="27"/>
      <c r="S14" s="27">
        <v>0.80871949552629496</v>
      </c>
      <c r="T14" s="27">
        <v>0.74624346766836103</v>
      </c>
      <c r="U14" s="27">
        <v>0.68500493107515903</v>
      </c>
      <c r="V14" s="27">
        <v>0.74695118099528302</v>
      </c>
      <c r="W14" s="27">
        <v>0.78396441035017195</v>
      </c>
      <c r="X14" s="27">
        <v>0.73720506989724799</v>
      </c>
      <c r="Y14" s="27">
        <v>0.76893807548200699</v>
      </c>
      <c r="Z14" s="27">
        <v>0.76452367666623999</v>
      </c>
      <c r="AA14" s="27">
        <v>0.71626556694331101</v>
      </c>
      <c r="AB14" s="27"/>
      <c r="AC14" s="27">
        <v>0.76171673058830303</v>
      </c>
      <c r="AD14" s="27">
        <v>0.69168794793191601</v>
      </c>
      <c r="AE14" s="27">
        <v>0.78065161112453796</v>
      </c>
      <c r="AF14" s="27">
        <v>0.80969225781602805</v>
      </c>
      <c r="AG14" s="27">
        <v>0.74629012699456998</v>
      </c>
      <c r="AH14" s="27"/>
      <c r="AI14" s="27">
        <v>0.72942297187424998</v>
      </c>
      <c r="AJ14" s="27">
        <v>0.79874711610155902</v>
      </c>
      <c r="AK14" s="27">
        <v>0.756802400459064</v>
      </c>
      <c r="AL14" s="27">
        <v>0.73246497713468395</v>
      </c>
      <c r="AM14" s="27">
        <v>0.756369422662719</v>
      </c>
      <c r="AN14" s="27">
        <v>0.76143163859229801</v>
      </c>
      <c r="AO14" s="27"/>
      <c r="AP14" s="27">
        <v>0.76233438508891704</v>
      </c>
      <c r="AQ14" s="27">
        <v>0.74305809805601797</v>
      </c>
      <c r="AR14" s="27"/>
      <c r="AS14" s="27" t="s">
        <v>88</v>
      </c>
      <c r="AT14" s="27" t="s">
        <v>88</v>
      </c>
      <c r="AU14" s="27">
        <v>0.75204933018220399</v>
      </c>
      <c r="AV14" s="27"/>
      <c r="AW14" s="27">
        <v>0.76155741885802797</v>
      </c>
      <c r="AX14" s="27">
        <v>0.83072406102348295</v>
      </c>
      <c r="AY14" s="27"/>
      <c r="AZ14" s="27">
        <v>0.77156626573827503</v>
      </c>
      <c r="BA14" s="27">
        <v>0.68566943108913203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BA19"/>
  <sheetViews>
    <sheetView showGridLines="0" topLeftCell="A6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0.19774352649830301</v>
      </c>
      <c r="D9" s="14">
        <v>0.210566396116319</v>
      </c>
      <c r="E9" s="14">
        <v>0.18383505919520601</v>
      </c>
      <c r="F9" s="14"/>
      <c r="G9" s="14">
        <v>0</v>
      </c>
      <c r="H9" s="14">
        <v>0.206871593689884</v>
      </c>
      <c r="I9" s="14">
        <v>0.26578872255015401</v>
      </c>
      <c r="J9" s="14">
        <v>0.13971143706743799</v>
      </c>
      <c r="K9" s="14">
        <v>0.14613142668594201</v>
      </c>
      <c r="L9" s="14">
        <v>0.288207123441308</v>
      </c>
      <c r="M9" s="14"/>
      <c r="N9" s="14">
        <v>0.185950394826876</v>
      </c>
      <c r="O9" s="14">
        <v>0.15511772835497001</v>
      </c>
      <c r="P9" s="14">
        <v>0.232616073498949</v>
      </c>
      <c r="Q9" s="14">
        <v>0.22422372512396399</v>
      </c>
      <c r="R9" s="14"/>
      <c r="S9" s="14">
        <v>0.28267437174377402</v>
      </c>
      <c r="T9" s="14">
        <v>0.176739254595148</v>
      </c>
      <c r="U9" s="14">
        <v>0.20430404691510001</v>
      </c>
      <c r="V9" s="14">
        <v>0.228729028977877</v>
      </c>
      <c r="W9" s="14">
        <v>0.164410067290331</v>
      </c>
      <c r="X9" s="14">
        <v>0.181045034215705</v>
      </c>
      <c r="Y9" s="14">
        <v>0.148592029156426</v>
      </c>
      <c r="Z9" s="14">
        <v>0.222898666455214</v>
      </c>
      <c r="AA9" s="14">
        <v>0.15859133576912399</v>
      </c>
      <c r="AB9" s="14"/>
      <c r="AC9" s="14">
        <v>0.21880722222434701</v>
      </c>
      <c r="AD9" s="14">
        <v>0.12378698918682</v>
      </c>
      <c r="AE9" s="14">
        <v>0.200159282868584</v>
      </c>
      <c r="AF9" s="14">
        <v>0.30628220696584402</v>
      </c>
      <c r="AG9" s="14">
        <v>0.35027535332430099</v>
      </c>
      <c r="AH9" s="14"/>
      <c r="AI9" s="14">
        <v>0.21415404467876301</v>
      </c>
      <c r="AJ9" s="14">
        <v>0.24220024912358901</v>
      </c>
      <c r="AK9" s="14">
        <v>0.23324936457628201</v>
      </c>
      <c r="AL9" s="14">
        <v>0.18048611562578201</v>
      </c>
      <c r="AM9" s="14">
        <v>0.106264456262587</v>
      </c>
      <c r="AN9" s="14">
        <v>0.169949999030587</v>
      </c>
      <c r="AO9" s="14"/>
      <c r="AP9" s="14">
        <v>0.18240611391789499</v>
      </c>
      <c r="AQ9" s="14">
        <v>0.21414921219463501</v>
      </c>
      <c r="AR9" s="14"/>
      <c r="AS9" s="14" t="s">
        <v>88</v>
      </c>
      <c r="AT9" s="14" t="s">
        <v>88</v>
      </c>
      <c r="AU9" s="14">
        <v>0.19774352649830301</v>
      </c>
      <c r="AV9" s="14"/>
      <c r="AW9" s="14">
        <v>0.18276258134435</v>
      </c>
      <c r="AX9" s="14">
        <v>0.27903122052622098</v>
      </c>
      <c r="AY9" s="14"/>
      <c r="AZ9" s="14">
        <v>0.21345886682773299</v>
      </c>
      <c r="BA9" s="14">
        <v>0.14279440921434</v>
      </c>
    </row>
    <row r="10" spans="2:53" x14ac:dyDescent="0.35">
      <c r="B10" s="15" t="s">
        <v>77</v>
      </c>
      <c r="C10" s="14">
        <v>0.37394892884620401</v>
      </c>
      <c r="D10" s="14">
        <v>0.36619731296239399</v>
      </c>
      <c r="E10" s="14">
        <v>0.38218920761594299</v>
      </c>
      <c r="F10" s="14"/>
      <c r="G10" s="14">
        <v>0.56074380449106598</v>
      </c>
      <c r="H10" s="14">
        <v>0.45864915369644799</v>
      </c>
      <c r="I10" s="14">
        <v>0.37156028741636699</v>
      </c>
      <c r="J10" s="14">
        <v>0.37216897057816201</v>
      </c>
      <c r="K10" s="14">
        <v>0.33679194792836598</v>
      </c>
      <c r="L10" s="14">
        <v>0.32323850661625098</v>
      </c>
      <c r="M10" s="14"/>
      <c r="N10" s="14">
        <v>0.38348217920575201</v>
      </c>
      <c r="O10" s="14">
        <v>0.39645507591622198</v>
      </c>
      <c r="P10" s="14">
        <v>0.33275174628529097</v>
      </c>
      <c r="Q10" s="14">
        <v>0.37648832494585899</v>
      </c>
      <c r="R10" s="14"/>
      <c r="S10" s="14">
        <v>0.351253747312326</v>
      </c>
      <c r="T10" s="14">
        <v>0.33418866282078602</v>
      </c>
      <c r="U10" s="14">
        <v>0.37188702642559801</v>
      </c>
      <c r="V10" s="14">
        <v>0.33788919280684399</v>
      </c>
      <c r="W10" s="14">
        <v>0.41292888840368802</v>
      </c>
      <c r="X10" s="14">
        <v>0.41482480495975999</v>
      </c>
      <c r="Y10" s="14">
        <v>0.36075940001007301</v>
      </c>
      <c r="Z10" s="14">
        <v>0.37963665791708101</v>
      </c>
      <c r="AA10" s="14">
        <v>0.42742052993296498</v>
      </c>
      <c r="AB10" s="14"/>
      <c r="AC10" s="14">
        <v>0.33036285218628703</v>
      </c>
      <c r="AD10" s="14">
        <v>0.370430320942503</v>
      </c>
      <c r="AE10" s="14">
        <v>0.40846137471899002</v>
      </c>
      <c r="AF10" s="14">
        <v>0.37331278942246598</v>
      </c>
      <c r="AG10" s="14">
        <v>0.230314774769632</v>
      </c>
      <c r="AH10" s="14"/>
      <c r="AI10" s="14">
        <v>0.398778148928988</v>
      </c>
      <c r="AJ10" s="14">
        <v>0.38752417045263099</v>
      </c>
      <c r="AK10" s="14">
        <v>0.36940117862904998</v>
      </c>
      <c r="AL10" s="14">
        <v>0.30849690837565802</v>
      </c>
      <c r="AM10" s="14">
        <v>0.426764928570186</v>
      </c>
      <c r="AN10" s="14">
        <v>0.33130907850000701</v>
      </c>
      <c r="AO10" s="14"/>
      <c r="AP10" s="14">
        <v>0.37814074975365097</v>
      </c>
      <c r="AQ10" s="14">
        <v>0.370003635887584</v>
      </c>
      <c r="AR10" s="14"/>
      <c r="AS10" s="14" t="s">
        <v>88</v>
      </c>
      <c r="AT10" s="14" t="s">
        <v>88</v>
      </c>
      <c r="AU10" s="14">
        <v>0.37394892884620401</v>
      </c>
      <c r="AV10" s="14"/>
      <c r="AW10" s="14">
        <v>0.37727259491641302</v>
      </c>
      <c r="AX10" s="14">
        <v>0.40571018450912</v>
      </c>
      <c r="AY10" s="14"/>
      <c r="AZ10" s="14">
        <v>0.37221845937568399</v>
      </c>
      <c r="BA10" s="14">
        <v>0.38063937493279998</v>
      </c>
    </row>
    <row r="11" spans="2:53" x14ac:dyDescent="0.35">
      <c r="B11" s="15" t="s">
        <v>78</v>
      </c>
      <c r="C11" s="14">
        <v>0.31602983257911599</v>
      </c>
      <c r="D11" s="14">
        <v>0.32190220401436598</v>
      </c>
      <c r="E11" s="14">
        <v>0.31069195102671698</v>
      </c>
      <c r="F11" s="14"/>
      <c r="G11" s="14">
        <v>0</v>
      </c>
      <c r="H11" s="14">
        <v>0.264130057395146</v>
      </c>
      <c r="I11" s="14">
        <v>0.254777279402776</v>
      </c>
      <c r="J11" s="14">
        <v>0.366852241471676</v>
      </c>
      <c r="K11" s="14">
        <v>0.393058953525527</v>
      </c>
      <c r="L11" s="14">
        <v>0.29965544337058397</v>
      </c>
      <c r="M11" s="14"/>
      <c r="N11" s="14">
        <v>0.34013384751372999</v>
      </c>
      <c r="O11" s="14">
        <v>0.33962468455358502</v>
      </c>
      <c r="P11" s="14">
        <v>0.30649865271862797</v>
      </c>
      <c r="Q11" s="14">
        <v>0.27191546969254499</v>
      </c>
      <c r="R11" s="14"/>
      <c r="S11" s="14">
        <v>0.28046871454843603</v>
      </c>
      <c r="T11" s="14">
        <v>0.37281702585072601</v>
      </c>
      <c r="U11" s="14">
        <v>0.28860139486493203</v>
      </c>
      <c r="V11" s="14">
        <v>0.29407203049785302</v>
      </c>
      <c r="W11" s="14">
        <v>0.29478487856390201</v>
      </c>
      <c r="X11" s="14">
        <v>0.265170197856956</v>
      </c>
      <c r="Y11" s="14">
        <v>0.41979518099969299</v>
      </c>
      <c r="Z11" s="14">
        <v>0.26262631256532099</v>
      </c>
      <c r="AA11" s="14">
        <v>0.32421161253709702</v>
      </c>
      <c r="AB11" s="14"/>
      <c r="AC11" s="14">
        <v>0.31858527269391801</v>
      </c>
      <c r="AD11" s="14">
        <v>0.377987210094548</v>
      </c>
      <c r="AE11" s="14">
        <v>0.29568485922221699</v>
      </c>
      <c r="AF11" s="14">
        <v>0.248703157430264</v>
      </c>
      <c r="AG11" s="14">
        <v>0.36751797885873799</v>
      </c>
      <c r="AH11" s="14"/>
      <c r="AI11" s="14">
        <v>0.28226086898175801</v>
      </c>
      <c r="AJ11" s="14">
        <v>0.261656363353023</v>
      </c>
      <c r="AK11" s="14">
        <v>0.25355252262701899</v>
      </c>
      <c r="AL11" s="14">
        <v>0.37066654344389699</v>
      </c>
      <c r="AM11" s="14">
        <v>0.39977372929294203</v>
      </c>
      <c r="AN11" s="14">
        <v>0.39162325670209303</v>
      </c>
      <c r="AO11" s="14"/>
      <c r="AP11" s="14">
        <v>0.33288704053195101</v>
      </c>
      <c r="AQ11" s="14">
        <v>0.29835248777012902</v>
      </c>
      <c r="AR11" s="14"/>
      <c r="AS11" s="14" t="s">
        <v>88</v>
      </c>
      <c r="AT11" s="14" t="s">
        <v>88</v>
      </c>
      <c r="AU11" s="14">
        <v>0.31602983257911599</v>
      </c>
      <c r="AV11" s="14"/>
      <c r="AW11" s="14">
        <v>0.32859381932696902</v>
      </c>
      <c r="AX11" s="14">
        <v>0.25537609685368001</v>
      </c>
      <c r="AY11" s="14"/>
      <c r="AZ11" s="14">
        <v>0.30240169237604098</v>
      </c>
      <c r="BA11" s="14">
        <v>0.36905929076730298</v>
      </c>
    </row>
    <row r="12" spans="2:53" x14ac:dyDescent="0.35">
      <c r="B12" s="15" t="s">
        <v>79</v>
      </c>
      <c r="C12" s="14">
        <v>9.4429138617526401E-2</v>
      </c>
      <c r="D12" s="14">
        <v>8.5282729718988398E-2</v>
      </c>
      <c r="E12" s="14">
        <v>0.103628628377552</v>
      </c>
      <c r="F12" s="14"/>
      <c r="G12" s="14">
        <v>0.43925619550893402</v>
      </c>
      <c r="H12" s="14">
        <v>7.0349195218521898E-2</v>
      </c>
      <c r="I12" s="14">
        <v>8.3483595224317197E-2</v>
      </c>
      <c r="J12" s="14">
        <v>0.10338203145946</v>
      </c>
      <c r="K12" s="14">
        <v>0.111728866208009</v>
      </c>
      <c r="L12" s="14">
        <v>8.8898926571856302E-2</v>
      </c>
      <c r="M12" s="14"/>
      <c r="N12" s="14">
        <v>8.3136800229642802E-2</v>
      </c>
      <c r="O12" s="14">
        <v>0.10356229857441</v>
      </c>
      <c r="P12" s="14">
        <v>0.122393399817347</v>
      </c>
      <c r="Q12" s="14">
        <v>7.2676855979791705E-2</v>
      </c>
      <c r="R12" s="14"/>
      <c r="S12" s="14">
        <v>7.2933803291325594E-2</v>
      </c>
      <c r="T12" s="14">
        <v>9.5282401706934305E-2</v>
      </c>
      <c r="U12" s="14">
        <v>0.10733743661687099</v>
      </c>
      <c r="V12" s="14">
        <v>0.116597311610599</v>
      </c>
      <c r="W12" s="14">
        <v>0.112161903258404</v>
      </c>
      <c r="X12" s="14">
        <v>0.13089243344736901</v>
      </c>
      <c r="Y12" s="14">
        <v>6.6842472113241305E-2</v>
      </c>
      <c r="Z12" s="14">
        <v>8.4084718629056407E-2</v>
      </c>
      <c r="AA12" s="14">
        <v>7.41165897182752E-2</v>
      </c>
      <c r="AB12" s="14"/>
      <c r="AC12" s="14">
        <v>0.10819702691118301</v>
      </c>
      <c r="AD12" s="14">
        <v>0.121065944999696</v>
      </c>
      <c r="AE12" s="14">
        <v>8.6063761216743695E-2</v>
      </c>
      <c r="AF12" s="14">
        <v>7.1701846181425694E-2</v>
      </c>
      <c r="AG12" s="14">
        <v>5.1891893047329302E-2</v>
      </c>
      <c r="AH12" s="14"/>
      <c r="AI12" s="14">
        <v>8.8505942796987702E-2</v>
      </c>
      <c r="AJ12" s="14">
        <v>0.105606257866716</v>
      </c>
      <c r="AK12" s="14">
        <v>0.12728654907723599</v>
      </c>
      <c r="AL12" s="14">
        <v>0.118906161355865</v>
      </c>
      <c r="AM12" s="14">
        <v>4.09218470545595E-2</v>
      </c>
      <c r="AN12" s="14">
        <v>5.8198235495777302E-2</v>
      </c>
      <c r="AO12" s="14"/>
      <c r="AP12" s="14">
        <v>9.0223531585705105E-2</v>
      </c>
      <c r="AQ12" s="14">
        <v>9.9721750205106305E-2</v>
      </c>
      <c r="AR12" s="14"/>
      <c r="AS12" s="14" t="s">
        <v>88</v>
      </c>
      <c r="AT12" s="14" t="s">
        <v>88</v>
      </c>
      <c r="AU12" s="14">
        <v>9.4429138617526401E-2</v>
      </c>
      <c r="AV12" s="14"/>
      <c r="AW12" s="14">
        <v>9.6943209001559894E-2</v>
      </c>
      <c r="AX12" s="14">
        <v>5.4105291937387098E-2</v>
      </c>
      <c r="AY12" s="14"/>
      <c r="AZ12" s="14">
        <v>9.7167947639311303E-2</v>
      </c>
      <c r="BA12" s="14">
        <v>8.2030991579676402E-2</v>
      </c>
    </row>
    <row r="13" spans="2:53" x14ac:dyDescent="0.35">
      <c r="B13" s="15" t="s">
        <v>80</v>
      </c>
      <c r="C13" s="18">
        <v>1.7848573458850402E-2</v>
      </c>
      <c r="D13" s="18">
        <v>1.6051357187932599E-2</v>
      </c>
      <c r="E13" s="18">
        <v>1.9655153784581401E-2</v>
      </c>
      <c r="F13" s="18"/>
      <c r="G13" s="18">
        <v>0</v>
      </c>
      <c r="H13" s="18">
        <v>0</v>
      </c>
      <c r="I13" s="18">
        <v>2.4390115406385901E-2</v>
      </c>
      <c r="J13" s="18">
        <v>1.7885319423265201E-2</v>
      </c>
      <c r="K13" s="18">
        <v>1.2288805652156599E-2</v>
      </c>
      <c r="L13" s="18">
        <v>0</v>
      </c>
      <c r="M13" s="18"/>
      <c r="N13" s="18">
        <v>7.2967782239993801E-3</v>
      </c>
      <c r="O13" s="18">
        <v>5.2402126008125197E-3</v>
      </c>
      <c r="P13" s="18">
        <v>5.7401276797851902E-3</v>
      </c>
      <c r="Q13" s="18">
        <v>5.4695624257840601E-2</v>
      </c>
      <c r="R13" s="18"/>
      <c r="S13" s="18">
        <v>1.26693631041383E-2</v>
      </c>
      <c r="T13" s="18">
        <v>2.0972655026404701E-2</v>
      </c>
      <c r="U13" s="18">
        <v>2.7870095177498399E-2</v>
      </c>
      <c r="V13" s="18">
        <v>2.2712436106826401E-2</v>
      </c>
      <c r="W13" s="18">
        <v>1.5714262483675301E-2</v>
      </c>
      <c r="X13" s="18">
        <v>8.0675295202096292E-3</v>
      </c>
      <c r="Y13" s="18">
        <v>4.0109177205673698E-3</v>
      </c>
      <c r="Z13" s="18">
        <v>5.0753644433327E-2</v>
      </c>
      <c r="AA13" s="18">
        <v>1.5659932042539099E-2</v>
      </c>
      <c r="AB13" s="18"/>
      <c r="AC13" s="18">
        <v>2.4047625984264302E-2</v>
      </c>
      <c r="AD13" s="18">
        <v>6.7295347764326097E-3</v>
      </c>
      <c r="AE13" s="18">
        <v>9.6307219734651107E-3</v>
      </c>
      <c r="AF13" s="18">
        <v>0</v>
      </c>
      <c r="AG13" s="18">
        <v>0</v>
      </c>
      <c r="AH13" s="18"/>
      <c r="AI13" s="18">
        <v>1.6300994613503799E-2</v>
      </c>
      <c r="AJ13" s="18">
        <v>3.0129592040413402E-3</v>
      </c>
      <c r="AK13" s="18">
        <v>1.65103850904126E-2</v>
      </c>
      <c r="AL13" s="18">
        <v>2.14442711987975E-2</v>
      </c>
      <c r="AM13" s="18">
        <v>2.6275038819726301E-2</v>
      </c>
      <c r="AN13" s="18">
        <v>4.8919430271535301E-2</v>
      </c>
      <c r="AO13" s="18"/>
      <c r="AP13" s="18">
        <v>1.6342564210798102E-2</v>
      </c>
      <c r="AQ13" s="18">
        <v>1.7772913942545401E-2</v>
      </c>
      <c r="AR13" s="18"/>
      <c r="AS13" s="18" t="s">
        <v>88</v>
      </c>
      <c r="AT13" s="18" t="s">
        <v>88</v>
      </c>
      <c r="AU13" s="18">
        <v>1.7848573458850402E-2</v>
      </c>
      <c r="AV13" s="18"/>
      <c r="AW13" s="18">
        <v>1.44277954107084E-2</v>
      </c>
      <c r="AX13" s="18">
        <v>5.77720617359206E-3</v>
      </c>
      <c r="AY13" s="18"/>
      <c r="AZ13" s="18">
        <v>1.47530337812312E-2</v>
      </c>
      <c r="BA13" s="18">
        <v>2.547593350588E-2</v>
      </c>
    </row>
    <row r="14" spans="2:53" x14ac:dyDescent="0.35">
      <c r="B14" s="26" t="s">
        <v>81</v>
      </c>
      <c r="C14" s="27">
        <v>0.57169245534450697</v>
      </c>
      <c r="D14" s="27">
        <v>0.57676370907871299</v>
      </c>
      <c r="E14" s="27">
        <v>0.56602426681114903</v>
      </c>
      <c r="F14" s="27"/>
      <c r="G14" s="27">
        <v>0.56074380449106598</v>
      </c>
      <c r="H14" s="27">
        <v>0.66552074738633205</v>
      </c>
      <c r="I14" s="27">
        <v>0.637349009966521</v>
      </c>
      <c r="J14" s="27">
        <v>0.51188040764559894</v>
      </c>
      <c r="K14" s="27">
        <v>0.48292337461430801</v>
      </c>
      <c r="L14" s="27">
        <v>0.61144563005755903</v>
      </c>
      <c r="M14" s="27"/>
      <c r="N14" s="27">
        <v>0.56943257403262804</v>
      </c>
      <c r="O14" s="27">
        <v>0.55157280427119204</v>
      </c>
      <c r="P14" s="27">
        <v>0.56536781978424</v>
      </c>
      <c r="Q14" s="27">
        <v>0.60071205006982298</v>
      </c>
      <c r="R14" s="27"/>
      <c r="S14" s="27">
        <v>0.63392811905610003</v>
      </c>
      <c r="T14" s="27">
        <v>0.51092791741593502</v>
      </c>
      <c r="U14" s="27">
        <v>0.57619107334069797</v>
      </c>
      <c r="V14" s="27">
        <v>0.56661822178472199</v>
      </c>
      <c r="W14" s="27">
        <v>0.57733895569401905</v>
      </c>
      <c r="X14" s="27">
        <v>0.59586983917546499</v>
      </c>
      <c r="Y14" s="27">
        <v>0.509351429166499</v>
      </c>
      <c r="Z14" s="27">
        <v>0.60253532437229496</v>
      </c>
      <c r="AA14" s="27">
        <v>0.58601186570208896</v>
      </c>
      <c r="AB14" s="27"/>
      <c r="AC14" s="27">
        <v>0.54917007441063403</v>
      </c>
      <c r="AD14" s="27">
        <v>0.49421731012932302</v>
      </c>
      <c r="AE14" s="27">
        <v>0.608620657587574</v>
      </c>
      <c r="AF14" s="27">
        <v>0.67959499638831</v>
      </c>
      <c r="AG14" s="27">
        <v>0.58059012809393296</v>
      </c>
      <c r="AH14" s="27"/>
      <c r="AI14" s="27">
        <v>0.61293219360775097</v>
      </c>
      <c r="AJ14" s="27">
        <v>0.62972441957622005</v>
      </c>
      <c r="AK14" s="27">
        <v>0.60265054320533196</v>
      </c>
      <c r="AL14" s="27">
        <v>0.48898302400144</v>
      </c>
      <c r="AM14" s="27">
        <v>0.53302938483277196</v>
      </c>
      <c r="AN14" s="27">
        <v>0.50125907753059395</v>
      </c>
      <c r="AO14" s="27"/>
      <c r="AP14" s="27">
        <v>0.56054686367154605</v>
      </c>
      <c r="AQ14" s="27">
        <v>0.58415284808221901</v>
      </c>
      <c r="AR14" s="27"/>
      <c r="AS14" s="27" t="s">
        <v>88</v>
      </c>
      <c r="AT14" s="27" t="s">
        <v>88</v>
      </c>
      <c r="AU14" s="27">
        <v>0.57169245534450697</v>
      </c>
      <c r="AV14" s="27"/>
      <c r="AW14" s="27">
        <v>0.56003517626076305</v>
      </c>
      <c r="AX14" s="27">
        <v>0.68474140503534098</v>
      </c>
      <c r="AY14" s="27"/>
      <c r="AZ14" s="27">
        <v>0.58567732620341695</v>
      </c>
      <c r="BA14" s="27">
        <v>0.52343378414714103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BA19"/>
  <sheetViews>
    <sheetView showGridLines="0" topLeftCell="A5" workbookViewId="0">
      <pane xSplit="2" topLeftCell="C1" activePane="topRight" state="frozen"/>
      <selection activeCell="BA11" sqref="BA11"/>
      <selection pane="topRight" activeCell="BA11" sqref="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97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76</v>
      </c>
      <c r="C9" s="14">
        <v>0.25347463051191399</v>
      </c>
      <c r="D9" s="14">
        <v>0.27723755167198799</v>
      </c>
      <c r="E9" s="14">
        <v>0.23032675937930999</v>
      </c>
      <c r="F9" s="14"/>
      <c r="G9" s="14">
        <v>0.56074380449106598</v>
      </c>
      <c r="H9" s="14">
        <v>0.21916790984168</v>
      </c>
      <c r="I9" s="14">
        <v>0.30467507394532201</v>
      </c>
      <c r="J9" s="14">
        <v>0.226107326127863</v>
      </c>
      <c r="K9" s="14">
        <v>0.19476701374181801</v>
      </c>
      <c r="L9" s="14">
        <v>0.25379789562614602</v>
      </c>
      <c r="M9" s="14"/>
      <c r="N9" s="14">
        <v>0.27982609080543902</v>
      </c>
      <c r="O9" s="14">
        <v>0.23966576867881201</v>
      </c>
      <c r="P9" s="14">
        <v>0.23059593467846901</v>
      </c>
      <c r="Q9" s="14">
        <v>0.26099743733594899</v>
      </c>
      <c r="R9" s="14"/>
      <c r="S9" s="14">
        <v>0.368317265977472</v>
      </c>
      <c r="T9" s="14">
        <v>0.25362683263890001</v>
      </c>
      <c r="U9" s="14">
        <v>0.134876517741402</v>
      </c>
      <c r="V9" s="14">
        <v>0.218499684308257</v>
      </c>
      <c r="W9" s="14">
        <v>0.30712695508875698</v>
      </c>
      <c r="X9" s="14">
        <v>0.26472993992850102</v>
      </c>
      <c r="Y9" s="14">
        <v>0.168973207414572</v>
      </c>
      <c r="Z9" s="14">
        <v>0.28469797671062602</v>
      </c>
      <c r="AA9" s="14">
        <v>0.24354609381387499</v>
      </c>
      <c r="AB9" s="14"/>
      <c r="AC9" s="14">
        <v>0.17790022529477101</v>
      </c>
      <c r="AD9" s="14">
        <v>0.20958404568618999</v>
      </c>
      <c r="AE9" s="14">
        <v>0.290062033038959</v>
      </c>
      <c r="AF9" s="14">
        <v>0.39809334780678102</v>
      </c>
      <c r="AG9" s="14">
        <v>0.44451463347548398</v>
      </c>
      <c r="AH9" s="14"/>
      <c r="AI9" s="14">
        <v>0.282490431161602</v>
      </c>
      <c r="AJ9" s="14">
        <v>0.25585208426883399</v>
      </c>
      <c r="AK9" s="14">
        <v>0.29091114320338701</v>
      </c>
      <c r="AL9" s="14">
        <v>0.194403459032534</v>
      </c>
      <c r="AM9" s="14">
        <v>0.34876566849663998</v>
      </c>
      <c r="AN9" s="14">
        <v>0.222570007379045</v>
      </c>
      <c r="AO9" s="14"/>
      <c r="AP9" s="14">
        <v>0.23796769812983201</v>
      </c>
      <c r="AQ9" s="14">
        <v>0.27061767417093602</v>
      </c>
      <c r="AR9" s="14"/>
      <c r="AS9" s="14" t="s">
        <v>88</v>
      </c>
      <c r="AT9" s="14" t="s">
        <v>88</v>
      </c>
      <c r="AU9" s="14">
        <v>0.25347463051191399</v>
      </c>
      <c r="AV9" s="14"/>
      <c r="AW9" s="14">
        <v>0.237337840738991</v>
      </c>
      <c r="AX9" s="14">
        <v>0.39863342618393299</v>
      </c>
      <c r="AY9" s="14"/>
      <c r="AZ9" s="14">
        <v>0.26303283698652702</v>
      </c>
      <c r="BA9" s="14">
        <v>0.221523642276821</v>
      </c>
    </row>
    <row r="10" spans="2:53" x14ac:dyDescent="0.35">
      <c r="B10" s="15" t="s">
        <v>77</v>
      </c>
      <c r="C10" s="14">
        <v>0.44239364701072598</v>
      </c>
      <c r="D10" s="14">
        <v>0.45167586232928503</v>
      </c>
      <c r="E10" s="14">
        <v>0.43387002155292398</v>
      </c>
      <c r="F10" s="14"/>
      <c r="G10" s="14">
        <v>0</v>
      </c>
      <c r="H10" s="14">
        <v>0.45539895648071799</v>
      </c>
      <c r="I10" s="14">
        <v>0.40981997510935197</v>
      </c>
      <c r="J10" s="14">
        <v>0.47286675706703202</v>
      </c>
      <c r="K10" s="14">
        <v>0.448146054959145</v>
      </c>
      <c r="L10" s="14">
        <v>0.44963112612026801</v>
      </c>
      <c r="M10" s="14"/>
      <c r="N10" s="14">
        <v>0.49312738631330499</v>
      </c>
      <c r="O10" s="14">
        <v>0.49466748213822398</v>
      </c>
      <c r="P10" s="14">
        <v>0.38458819980396902</v>
      </c>
      <c r="Q10" s="14">
        <v>0.38268518680792402</v>
      </c>
      <c r="R10" s="14"/>
      <c r="S10" s="14">
        <v>0.41820810141665099</v>
      </c>
      <c r="T10" s="14">
        <v>0.38361215513548302</v>
      </c>
      <c r="U10" s="14">
        <v>0.48849654468915299</v>
      </c>
      <c r="V10" s="14">
        <v>0.50890483203442605</v>
      </c>
      <c r="W10" s="14">
        <v>0.39135476837215799</v>
      </c>
      <c r="X10" s="14">
        <v>0.47133331818706398</v>
      </c>
      <c r="Y10" s="14">
        <v>0.41934696726555898</v>
      </c>
      <c r="Z10" s="14">
        <v>0.32226911903620897</v>
      </c>
      <c r="AA10" s="14">
        <v>0.53115247553067002</v>
      </c>
      <c r="AB10" s="14"/>
      <c r="AC10" s="14">
        <v>0.44451531544688</v>
      </c>
      <c r="AD10" s="14">
        <v>0.367259218516993</v>
      </c>
      <c r="AE10" s="14">
        <v>0.468667162742818</v>
      </c>
      <c r="AF10" s="14">
        <v>0.44999358925792998</v>
      </c>
      <c r="AG10" s="14">
        <v>0.27871085872010098</v>
      </c>
      <c r="AH10" s="14"/>
      <c r="AI10" s="14">
        <v>0.46318765569796799</v>
      </c>
      <c r="AJ10" s="14">
        <v>0.45035219588639103</v>
      </c>
      <c r="AK10" s="14">
        <v>0.43671362239387201</v>
      </c>
      <c r="AL10" s="14">
        <v>0.41524500636711498</v>
      </c>
      <c r="AM10" s="14">
        <v>0.43988230071048101</v>
      </c>
      <c r="AN10" s="14">
        <v>0.46194557245399798</v>
      </c>
      <c r="AO10" s="14"/>
      <c r="AP10" s="14">
        <v>0.45924977946198098</v>
      </c>
      <c r="AQ10" s="14">
        <v>0.42430737542723101</v>
      </c>
      <c r="AR10" s="14"/>
      <c r="AS10" s="14" t="s">
        <v>88</v>
      </c>
      <c r="AT10" s="14" t="s">
        <v>88</v>
      </c>
      <c r="AU10" s="14">
        <v>0.44239364701072598</v>
      </c>
      <c r="AV10" s="14"/>
      <c r="AW10" s="14">
        <v>0.45013528022111299</v>
      </c>
      <c r="AX10" s="14">
        <v>0.43589886778182202</v>
      </c>
      <c r="AY10" s="14"/>
      <c r="AZ10" s="14">
        <v>0.45368797247341502</v>
      </c>
      <c r="BA10" s="14">
        <v>0.402489586609865</v>
      </c>
    </row>
    <row r="11" spans="2:53" x14ac:dyDescent="0.35">
      <c r="B11" s="15" t="s">
        <v>78</v>
      </c>
      <c r="C11" s="14">
        <v>0.22707750211621699</v>
      </c>
      <c r="D11" s="14">
        <v>0.213900387680311</v>
      </c>
      <c r="E11" s="14">
        <v>0.23895899205142301</v>
      </c>
      <c r="F11" s="14"/>
      <c r="G11" s="14">
        <v>0</v>
      </c>
      <c r="H11" s="14">
        <v>0.302528316711135</v>
      </c>
      <c r="I11" s="14">
        <v>0.20846570507189199</v>
      </c>
      <c r="J11" s="14">
        <v>0.21025733601449301</v>
      </c>
      <c r="K11" s="14">
        <v>0.29769299015883699</v>
      </c>
      <c r="L11" s="14">
        <v>0.193521792202305</v>
      </c>
      <c r="M11" s="14"/>
      <c r="N11" s="14">
        <v>0.187410471353604</v>
      </c>
      <c r="O11" s="14">
        <v>0.19922533526909</v>
      </c>
      <c r="P11" s="14">
        <v>0.28825985113125202</v>
      </c>
      <c r="Q11" s="14">
        <v>0.243117968097744</v>
      </c>
      <c r="R11" s="14"/>
      <c r="S11" s="14">
        <v>0.185918929922752</v>
      </c>
      <c r="T11" s="14">
        <v>0.275483360603341</v>
      </c>
      <c r="U11" s="14">
        <v>0.299155354319045</v>
      </c>
      <c r="V11" s="14">
        <v>0.14702449995583999</v>
      </c>
      <c r="W11" s="14">
        <v>0.22483404877194399</v>
      </c>
      <c r="X11" s="14">
        <v>0.187194850582244</v>
      </c>
      <c r="Y11" s="14">
        <v>0.32792840157346198</v>
      </c>
      <c r="Z11" s="14">
        <v>0.28553304626828901</v>
      </c>
      <c r="AA11" s="14">
        <v>0.16135862803492901</v>
      </c>
      <c r="AB11" s="14"/>
      <c r="AC11" s="14">
        <v>0.26869556292375002</v>
      </c>
      <c r="AD11" s="14">
        <v>0.34078079504811598</v>
      </c>
      <c r="AE11" s="14">
        <v>0.18560359831451101</v>
      </c>
      <c r="AF11" s="14">
        <v>0.124719248207575</v>
      </c>
      <c r="AG11" s="14">
        <v>0.24703832117484001</v>
      </c>
      <c r="AH11" s="14"/>
      <c r="AI11" s="14">
        <v>0.21228497371475999</v>
      </c>
      <c r="AJ11" s="14">
        <v>0.196302527322813</v>
      </c>
      <c r="AK11" s="14">
        <v>0.20016829621693499</v>
      </c>
      <c r="AL11" s="14">
        <v>0.286084357287891</v>
      </c>
      <c r="AM11" s="14">
        <v>0.185076991973153</v>
      </c>
      <c r="AN11" s="14">
        <v>0.20449491346021001</v>
      </c>
      <c r="AO11" s="14"/>
      <c r="AP11" s="14">
        <v>0.226438509124534</v>
      </c>
      <c r="AQ11" s="14">
        <v>0.2289649778708</v>
      </c>
      <c r="AR11" s="14"/>
      <c r="AS11" s="14" t="s">
        <v>88</v>
      </c>
      <c r="AT11" s="14" t="s">
        <v>88</v>
      </c>
      <c r="AU11" s="14">
        <v>0.22707750211621699</v>
      </c>
      <c r="AV11" s="14"/>
      <c r="AW11" s="14">
        <v>0.24387493342151501</v>
      </c>
      <c r="AX11" s="14">
        <v>0.12594694564060799</v>
      </c>
      <c r="AY11" s="14"/>
      <c r="AZ11" s="14">
        <v>0.21584745271923</v>
      </c>
      <c r="BA11" s="14">
        <v>0.26692434728706599</v>
      </c>
    </row>
    <row r="12" spans="2:53" x14ac:dyDescent="0.35">
      <c r="B12" s="15" t="s">
        <v>79</v>
      </c>
      <c r="C12" s="14">
        <v>6.60570135253256E-2</v>
      </c>
      <c r="D12" s="14">
        <v>5.1871276448041903E-2</v>
      </c>
      <c r="E12" s="14">
        <v>8.0203713421684794E-2</v>
      </c>
      <c r="F12" s="14"/>
      <c r="G12" s="14">
        <v>0.43925619550893402</v>
      </c>
      <c r="H12" s="14">
        <v>1.22534078589253E-2</v>
      </c>
      <c r="I12" s="14">
        <v>5.7052491280517197E-2</v>
      </c>
      <c r="J12" s="14">
        <v>8.4580636803913506E-2</v>
      </c>
      <c r="K12" s="14">
        <v>5.9393941140200197E-2</v>
      </c>
      <c r="L12" s="14">
        <v>0.10304918605128099</v>
      </c>
      <c r="M12" s="14"/>
      <c r="N12" s="14">
        <v>3.9636051527652302E-2</v>
      </c>
      <c r="O12" s="14">
        <v>6.6441413913873704E-2</v>
      </c>
      <c r="P12" s="14">
        <v>9.0815886706524601E-2</v>
      </c>
      <c r="Q12" s="14">
        <v>7.3179987088249604E-2</v>
      </c>
      <c r="R12" s="14"/>
      <c r="S12" s="14">
        <v>2.0870972753887398E-2</v>
      </c>
      <c r="T12" s="14">
        <v>8.0529586066879003E-2</v>
      </c>
      <c r="U12" s="14">
        <v>5.1513336792239198E-2</v>
      </c>
      <c r="V12" s="14">
        <v>0.11555829918681</v>
      </c>
      <c r="W12" s="14">
        <v>7.66842277671414E-2</v>
      </c>
      <c r="X12" s="14">
        <v>6.8674361781980497E-2</v>
      </c>
      <c r="Y12" s="14">
        <v>7.5416775419462803E-2</v>
      </c>
      <c r="Z12" s="14">
        <v>5.6746213551548401E-2</v>
      </c>
      <c r="AA12" s="14">
        <v>5.6513822152562697E-2</v>
      </c>
      <c r="AB12" s="14"/>
      <c r="AC12" s="14">
        <v>9.0074909075383805E-2</v>
      </c>
      <c r="AD12" s="14">
        <v>8.2375940748701096E-2</v>
      </c>
      <c r="AE12" s="14">
        <v>5.5667205903710902E-2</v>
      </c>
      <c r="AF12" s="14">
        <v>2.7193814727714101E-2</v>
      </c>
      <c r="AG12" s="14">
        <v>2.97361866295749E-2</v>
      </c>
      <c r="AH12" s="14"/>
      <c r="AI12" s="14">
        <v>3.6028567401312099E-2</v>
      </c>
      <c r="AJ12" s="14">
        <v>9.7493192521961994E-2</v>
      </c>
      <c r="AK12" s="14">
        <v>7.2206938185805494E-2</v>
      </c>
      <c r="AL12" s="14">
        <v>9.6206376210689906E-2</v>
      </c>
      <c r="AM12" s="14">
        <v>0</v>
      </c>
      <c r="AN12" s="14">
        <v>6.2070076435212798E-2</v>
      </c>
      <c r="AO12" s="14"/>
      <c r="AP12" s="14">
        <v>6.5699877405854604E-2</v>
      </c>
      <c r="AQ12" s="14">
        <v>6.4652805902776903E-2</v>
      </c>
      <c r="AR12" s="14"/>
      <c r="AS12" s="14" t="s">
        <v>88</v>
      </c>
      <c r="AT12" s="14" t="s">
        <v>88</v>
      </c>
      <c r="AU12" s="14">
        <v>6.60570135253256E-2</v>
      </c>
      <c r="AV12" s="14"/>
      <c r="AW12" s="14">
        <v>6.2669658211993801E-2</v>
      </c>
      <c r="AX12" s="14">
        <v>3.9520760393636799E-2</v>
      </c>
      <c r="AY12" s="14"/>
      <c r="AZ12" s="14">
        <v>6.1480483991208403E-2</v>
      </c>
      <c r="BA12" s="14">
        <v>8.3423020504857906E-2</v>
      </c>
    </row>
    <row r="13" spans="2:53" x14ac:dyDescent="0.35">
      <c r="B13" s="15" t="s">
        <v>80</v>
      </c>
      <c r="C13" s="18">
        <v>1.0997206835817E-2</v>
      </c>
      <c r="D13" s="18">
        <v>5.3149218703742902E-3</v>
      </c>
      <c r="E13" s="18">
        <v>1.66405135946582E-2</v>
      </c>
      <c r="F13" s="18"/>
      <c r="G13" s="18">
        <v>0</v>
      </c>
      <c r="H13" s="18">
        <v>1.06514091075408E-2</v>
      </c>
      <c r="I13" s="18">
        <v>1.9986754592916298E-2</v>
      </c>
      <c r="J13" s="18">
        <v>6.18794398669894E-3</v>
      </c>
      <c r="K13" s="18">
        <v>0</v>
      </c>
      <c r="L13" s="18">
        <v>0</v>
      </c>
      <c r="M13" s="18"/>
      <c r="N13" s="18">
        <v>0</v>
      </c>
      <c r="O13" s="18">
        <v>0</v>
      </c>
      <c r="P13" s="18">
        <v>5.7401276797851902E-3</v>
      </c>
      <c r="Q13" s="18">
        <v>4.0019420670133997E-2</v>
      </c>
      <c r="R13" s="18"/>
      <c r="S13" s="18">
        <v>6.6847299292369699E-3</v>
      </c>
      <c r="T13" s="18">
        <v>6.7480655553974703E-3</v>
      </c>
      <c r="U13" s="18">
        <v>2.5958246458161301E-2</v>
      </c>
      <c r="V13" s="18">
        <v>1.0012684514666701E-2</v>
      </c>
      <c r="W13" s="18">
        <v>0</v>
      </c>
      <c r="X13" s="18">
        <v>8.0675295202096292E-3</v>
      </c>
      <c r="Y13" s="18">
        <v>8.3346483269452105E-3</v>
      </c>
      <c r="Z13" s="18">
        <v>5.0753644433327E-2</v>
      </c>
      <c r="AA13" s="18">
        <v>7.4289804679632601E-3</v>
      </c>
      <c r="AB13" s="18"/>
      <c r="AC13" s="18">
        <v>1.88139872592149E-2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6.0083720243580899E-3</v>
      </c>
      <c r="AJ13" s="18">
        <v>0</v>
      </c>
      <c r="AK13" s="18">
        <v>0</v>
      </c>
      <c r="AL13" s="18">
        <v>8.0608011017700293E-3</v>
      </c>
      <c r="AM13" s="18">
        <v>2.6275038819726301E-2</v>
      </c>
      <c r="AN13" s="18">
        <v>4.8919430271535301E-2</v>
      </c>
      <c r="AO13" s="18"/>
      <c r="AP13" s="18">
        <v>1.0644135877798401E-2</v>
      </c>
      <c r="AQ13" s="18">
        <v>1.14571666282554E-2</v>
      </c>
      <c r="AR13" s="18"/>
      <c r="AS13" s="18" t="s">
        <v>88</v>
      </c>
      <c r="AT13" s="18" t="s">
        <v>88</v>
      </c>
      <c r="AU13" s="18">
        <v>1.0997206835817E-2</v>
      </c>
      <c r="AV13" s="18"/>
      <c r="AW13" s="18">
        <v>5.98228740638724E-3</v>
      </c>
      <c r="AX13" s="18">
        <v>0</v>
      </c>
      <c r="AY13" s="18"/>
      <c r="AZ13" s="18">
        <v>5.9512538296194297E-3</v>
      </c>
      <c r="BA13" s="18">
        <v>2.5639403321390902E-2</v>
      </c>
    </row>
    <row r="14" spans="2:53" x14ac:dyDescent="0.35">
      <c r="B14" s="26" t="s">
        <v>81</v>
      </c>
      <c r="C14" s="27">
        <v>0.69586827752264102</v>
      </c>
      <c r="D14" s="27">
        <v>0.72891341400127296</v>
      </c>
      <c r="E14" s="27">
        <v>0.664196780932234</v>
      </c>
      <c r="F14" s="27"/>
      <c r="G14" s="27">
        <v>0.56074380449106598</v>
      </c>
      <c r="H14" s="27">
        <v>0.67456686632239804</v>
      </c>
      <c r="I14" s="27">
        <v>0.71449504905467398</v>
      </c>
      <c r="J14" s="27">
        <v>0.69897408319489396</v>
      </c>
      <c r="K14" s="27">
        <v>0.64291306870096299</v>
      </c>
      <c r="L14" s="27">
        <v>0.70342902174641397</v>
      </c>
      <c r="M14" s="27"/>
      <c r="N14" s="27">
        <v>0.77295347711874396</v>
      </c>
      <c r="O14" s="27">
        <v>0.73433325081703604</v>
      </c>
      <c r="P14" s="27">
        <v>0.61518413448243803</v>
      </c>
      <c r="Q14" s="27">
        <v>0.64368262414387301</v>
      </c>
      <c r="R14" s="27"/>
      <c r="S14" s="27">
        <v>0.78652536739412304</v>
      </c>
      <c r="T14" s="27">
        <v>0.63723898777438304</v>
      </c>
      <c r="U14" s="27">
        <v>0.62337306243055501</v>
      </c>
      <c r="V14" s="27">
        <v>0.72740451634268299</v>
      </c>
      <c r="W14" s="27">
        <v>0.69848172346091497</v>
      </c>
      <c r="X14" s="27">
        <v>0.73606325811556605</v>
      </c>
      <c r="Y14" s="27">
        <v>0.58832017468012998</v>
      </c>
      <c r="Z14" s="27">
        <v>0.60696709574683505</v>
      </c>
      <c r="AA14" s="27">
        <v>0.77469856934454595</v>
      </c>
      <c r="AB14" s="27"/>
      <c r="AC14" s="27">
        <v>0.62241554074165095</v>
      </c>
      <c r="AD14" s="27">
        <v>0.57684326420318299</v>
      </c>
      <c r="AE14" s="27">
        <v>0.758729195781778</v>
      </c>
      <c r="AF14" s="27">
        <v>0.84808693706471106</v>
      </c>
      <c r="AG14" s="27">
        <v>0.72322549219558496</v>
      </c>
      <c r="AH14" s="27"/>
      <c r="AI14" s="27">
        <v>0.74567808685957004</v>
      </c>
      <c r="AJ14" s="27">
        <v>0.70620428015522496</v>
      </c>
      <c r="AK14" s="27">
        <v>0.72762476559725897</v>
      </c>
      <c r="AL14" s="27">
        <v>0.60964846539964901</v>
      </c>
      <c r="AM14" s="27">
        <v>0.78864796920712099</v>
      </c>
      <c r="AN14" s="27">
        <v>0.68451557983304201</v>
      </c>
      <c r="AO14" s="27"/>
      <c r="AP14" s="27">
        <v>0.69721747759181296</v>
      </c>
      <c r="AQ14" s="27">
        <v>0.69492504959816703</v>
      </c>
      <c r="AR14" s="27"/>
      <c r="AS14" s="27" t="s">
        <v>88</v>
      </c>
      <c r="AT14" s="27" t="s">
        <v>88</v>
      </c>
      <c r="AU14" s="27">
        <v>0.69586827752264102</v>
      </c>
      <c r="AV14" s="27"/>
      <c r="AW14" s="27">
        <v>0.68747312096010404</v>
      </c>
      <c r="AX14" s="27">
        <v>0.83453229396575501</v>
      </c>
      <c r="AY14" s="27"/>
      <c r="AZ14" s="27">
        <v>0.71672080945994199</v>
      </c>
      <c r="BA14" s="27">
        <v>0.62401322888668498</v>
      </c>
    </row>
    <row r="15" spans="2:53" x14ac:dyDescent="0.35">
      <c r="B15" s="25" t="s">
        <v>101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BA2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117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105</v>
      </c>
      <c r="C9" s="14">
        <v>0.75453706832815604</v>
      </c>
      <c r="D9" s="14">
        <v>0.74071058137324797</v>
      </c>
      <c r="E9" s="14">
        <v>0.76910614547197897</v>
      </c>
      <c r="F9" s="14"/>
      <c r="G9" s="14">
        <v>0.88945332183035497</v>
      </c>
      <c r="H9" s="14">
        <v>0.71969898956446698</v>
      </c>
      <c r="I9" s="14">
        <v>0.73287396591360698</v>
      </c>
      <c r="J9" s="14">
        <v>0.785840513149062</v>
      </c>
      <c r="K9" s="14">
        <v>0.846321377947167</v>
      </c>
      <c r="L9" s="14">
        <v>0.49472187017448199</v>
      </c>
      <c r="M9" s="14"/>
      <c r="N9" s="14">
        <v>0.74326347630019296</v>
      </c>
      <c r="O9" s="14">
        <v>0.77889742664189499</v>
      </c>
      <c r="P9" s="14">
        <v>0.74697728936969998</v>
      </c>
      <c r="Q9" s="14">
        <v>0.74708538222662901</v>
      </c>
      <c r="R9" s="14"/>
      <c r="S9" s="14">
        <v>0.70496189643457896</v>
      </c>
      <c r="T9" s="14">
        <v>0.79839110600634799</v>
      </c>
      <c r="U9" s="14">
        <v>0.75753108393707802</v>
      </c>
      <c r="V9" s="14">
        <v>0.73161601161355605</v>
      </c>
      <c r="W9" s="14">
        <v>0.78162632155759804</v>
      </c>
      <c r="X9" s="14">
        <v>0.74957202151841396</v>
      </c>
      <c r="Y9" s="14">
        <v>0.77694883520227198</v>
      </c>
      <c r="Z9" s="14">
        <v>0.71918075571035101</v>
      </c>
      <c r="AA9" s="14">
        <v>0.75998157086493601</v>
      </c>
      <c r="AB9" s="14"/>
      <c r="AC9" s="14">
        <v>0.79955866462352199</v>
      </c>
      <c r="AD9" s="14">
        <v>0.79071962353141001</v>
      </c>
      <c r="AE9" s="14">
        <v>0.74705151361898703</v>
      </c>
      <c r="AF9" s="14">
        <v>0.68324121439083696</v>
      </c>
      <c r="AG9" s="14">
        <v>0.65177962774244402</v>
      </c>
      <c r="AH9" s="14"/>
      <c r="AI9" s="14">
        <v>0.74383383572327499</v>
      </c>
      <c r="AJ9" s="14">
        <v>0.77945105103819801</v>
      </c>
      <c r="AK9" s="14">
        <v>0.71793763448317305</v>
      </c>
      <c r="AL9" s="14">
        <v>0.79075449301475897</v>
      </c>
      <c r="AM9" s="14">
        <v>0.65621441816866499</v>
      </c>
      <c r="AN9" s="14">
        <v>0.75356354226660505</v>
      </c>
      <c r="AO9" s="14"/>
      <c r="AP9" s="14">
        <v>0.74569284322686002</v>
      </c>
      <c r="AQ9" s="14">
        <v>0.76691975562063697</v>
      </c>
      <c r="AR9" s="14"/>
      <c r="AS9" s="14">
        <v>0.76676899690154598</v>
      </c>
      <c r="AT9" s="14">
        <v>0.77877631728121799</v>
      </c>
      <c r="AU9" s="14">
        <v>0.74407760006894197</v>
      </c>
      <c r="AV9" s="14"/>
      <c r="AW9" s="14">
        <v>0.776950476600755</v>
      </c>
      <c r="AX9" s="14">
        <v>0.70956019809732396</v>
      </c>
      <c r="AY9" s="14"/>
      <c r="AZ9" s="14">
        <v>0.75961950408957002</v>
      </c>
      <c r="BA9" s="14">
        <v>0.74917528865800398</v>
      </c>
    </row>
    <row r="10" spans="2:53" x14ac:dyDescent="0.35">
      <c r="B10" s="15" t="s">
        <v>106</v>
      </c>
      <c r="C10" s="14">
        <v>0.66941220057369499</v>
      </c>
      <c r="D10" s="14">
        <v>0.610726016984385</v>
      </c>
      <c r="E10" s="14">
        <v>0.72879431418447005</v>
      </c>
      <c r="F10" s="14"/>
      <c r="G10" s="14">
        <v>0.37387483228903301</v>
      </c>
      <c r="H10" s="14">
        <v>0.65149815010642398</v>
      </c>
      <c r="I10" s="14">
        <v>0.632389196509892</v>
      </c>
      <c r="J10" s="14">
        <v>0.71713665578186703</v>
      </c>
      <c r="K10" s="14">
        <v>0.752985900223753</v>
      </c>
      <c r="L10" s="14">
        <v>0.56137212890037302</v>
      </c>
      <c r="M10" s="14"/>
      <c r="N10" s="14">
        <v>0.61565648235190895</v>
      </c>
      <c r="O10" s="14">
        <v>0.65837619139542403</v>
      </c>
      <c r="P10" s="14">
        <v>0.68658042675730202</v>
      </c>
      <c r="Q10" s="14">
        <v>0.72185291030959498</v>
      </c>
      <c r="R10" s="14"/>
      <c r="S10" s="14">
        <v>0.55588498983964596</v>
      </c>
      <c r="T10" s="14">
        <v>0.67288960873196801</v>
      </c>
      <c r="U10" s="14">
        <v>0.73313387924052098</v>
      </c>
      <c r="V10" s="14">
        <v>0.67916678108095396</v>
      </c>
      <c r="W10" s="14">
        <v>0.70853996473471303</v>
      </c>
      <c r="X10" s="14">
        <v>0.66728056800944202</v>
      </c>
      <c r="Y10" s="14">
        <v>0.69360681584814499</v>
      </c>
      <c r="Z10" s="14">
        <v>0.66261482623630297</v>
      </c>
      <c r="AA10" s="14">
        <v>0.70581684023031199</v>
      </c>
      <c r="AB10" s="14"/>
      <c r="AC10" s="14">
        <v>0.77231197070111501</v>
      </c>
      <c r="AD10" s="14">
        <v>0.74500349333416005</v>
      </c>
      <c r="AE10" s="14">
        <v>0.63361371092306795</v>
      </c>
      <c r="AF10" s="14">
        <v>0.52215238621620397</v>
      </c>
      <c r="AG10" s="14">
        <v>0.51778284733594104</v>
      </c>
      <c r="AH10" s="14"/>
      <c r="AI10" s="14">
        <v>0.64474649456999</v>
      </c>
      <c r="AJ10" s="14">
        <v>0.65527905215072102</v>
      </c>
      <c r="AK10" s="14">
        <v>0.593155862693028</v>
      </c>
      <c r="AL10" s="14">
        <v>0.68079433030800496</v>
      </c>
      <c r="AM10" s="14">
        <v>0.70428561134540901</v>
      </c>
      <c r="AN10" s="14">
        <v>0.72782648843811104</v>
      </c>
      <c r="AO10" s="14"/>
      <c r="AP10" s="14">
        <v>0.644248924798414</v>
      </c>
      <c r="AQ10" s="14">
        <v>0.69868593490875497</v>
      </c>
      <c r="AR10" s="14"/>
      <c r="AS10" s="14">
        <v>0.68745521534935505</v>
      </c>
      <c r="AT10" s="14">
        <v>0.63201289696845397</v>
      </c>
      <c r="AU10" s="14">
        <v>0.67561499114647605</v>
      </c>
      <c r="AV10" s="14"/>
      <c r="AW10" s="14">
        <v>0.68954206673776197</v>
      </c>
      <c r="AX10" s="14">
        <v>0.56403041765730699</v>
      </c>
      <c r="AY10" s="14"/>
      <c r="AZ10" s="14">
        <v>0.65896998956378805</v>
      </c>
      <c r="BA10" s="14">
        <v>0.72014662872529001</v>
      </c>
    </row>
    <row r="11" spans="2:53" x14ac:dyDescent="0.35">
      <c r="B11" s="15" t="s">
        <v>107</v>
      </c>
      <c r="C11" s="14">
        <v>0.54048382063630795</v>
      </c>
      <c r="D11" s="14">
        <v>0.57520755561979797</v>
      </c>
      <c r="E11" s="14">
        <v>0.50625632757557204</v>
      </c>
      <c r="F11" s="14"/>
      <c r="G11" s="14">
        <v>0.64007816009905805</v>
      </c>
      <c r="H11" s="14">
        <v>0.52505295707565103</v>
      </c>
      <c r="I11" s="14">
        <v>0.54194122875734796</v>
      </c>
      <c r="J11" s="14">
        <v>0.54669902859641195</v>
      </c>
      <c r="K11" s="14">
        <v>0.49929936083839599</v>
      </c>
      <c r="L11" s="14">
        <v>0.74216814073153503</v>
      </c>
      <c r="M11" s="14"/>
      <c r="N11" s="14">
        <v>0.54827439874491901</v>
      </c>
      <c r="O11" s="14">
        <v>0.56226736779779396</v>
      </c>
      <c r="P11" s="14">
        <v>0.52008247948103803</v>
      </c>
      <c r="Q11" s="14">
        <v>0.52560075824454</v>
      </c>
      <c r="R11" s="14"/>
      <c r="S11" s="14">
        <v>0.57484453713291805</v>
      </c>
      <c r="T11" s="14">
        <v>0.54677617866443895</v>
      </c>
      <c r="U11" s="14">
        <v>0.52614663328812195</v>
      </c>
      <c r="V11" s="14">
        <v>0.48467370894296202</v>
      </c>
      <c r="W11" s="14">
        <v>0.59156552868247902</v>
      </c>
      <c r="X11" s="14">
        <v>0.50604475121097303</v>
      </c>
      <c r="Y11" s="14">
        <v>0.53790511529611496</v>
      </c>
      <c r="Z11" s="14">
        <v>0.38739947075397202</v>
      </c>
      <c r="AA11" s="14">
        <v>0.60077750112289796</v>
      </c>
      <c r="AB11" s="14"/>
      <c r="AC11" s="14">
        <v>0.50349782424260403</v>
      </c>
      <c r="AD11" s="14">
        <v>0.58627883401902503</v>
      </c>
      <c r="AE11" s="14">
        <v>0.541736288822254</v>
      </c>
      <c r="AF11" s="14">
        <v>0.55398423278519704</v>
      </c>
      <c r="AG11" s="14">
        <v>0.46823517501434497</v>
      </c>
      <c r="AH11" s="14"/>
      <c r="AI11" s="14">
        <v>0.57395242493090703</v>
      </c>
      <c r="AJ11" s="14">
        <v>0.50275840749561795</v>
      </c>
      <c r="AK11" s="14">
        <v>0.52906466143101605</v>
      </c>
      <c r="AL11" s="14">
        <v>0.54688843464071701</v>
      </c>
      <c r="AM11" s="14">
        <v>0.54223664785418701</v>
      </c>
      <c r="AN11" s="14">
        <v>0.54615034458939204</v>
      </c>
      <c r="AO11" s="14"/>
      <c r="AP11" s="14">
        <v>0.56483608915775796</v>
      </c>
      <c r="AQ11" s="14">
        <v>0.51363012041664102</v>
      </c>
      <c r="AR11" s="14"/>
      <c r="AS11" s="14">
        <v>0.57104709107336404</v>
      </c>
      <c r="AT11" s="14">
        <v>0.59031077542233001</v>
      </c>
      <c r="AU11" s="14">
        <v>0.51752458710170102</v>
      </c>
      <c r="AV11" s="14"/>
      <c r="AW11" s="14">
        <v>0.55490705691979403</v>
      </c>
      <c r="AX11" s="14">
        <v>0.50689965902586798</v>
      </c>
      <c r="AY11" s="14"/>
      <c r="AZ11" s="14">
        <v>0.54681869833024699</v>
      </c>
      <c r="BA11" s="14">
        <v>0.52304489275777799</v>
      </c>
    </row>
    <row r="12" spans="2:53" x14ac:dyDescent="0.35">
      <c r="B12" s="15" t="s">
        <v>108</v>
      </c>
      <c r="C12" s="14">
        <v>0.15923130718526901</v>
      </c>
      <c r="D12" s="14">
        <v>0.160489145345241</v>
      </c>
      <c r="E12" s="14">
        <v>0.15812684031611801</v>
      </c>
      <c r="F12" s="14"/>
      <c r="G12" s="14">
        <v>9.7443202273495205E-2</v>
      </c>
      <c r="H12" s="14">
        <v>0.152958072859705</v>
      </c>
      <c r="I12" s="14">
        <v>0.14923408850136399</v>
      </c>
      <c r="J12" s="14">
        <v>0.186407191334411</v>
      </c>
      <c r="K12" s="14">
        <v>0.122784929742682</v>
      </c>
      <c r="L12" s="14">
        <v>0.212777799154338</v>
      </c>
      <c r="M12" s="14"/>
      <c r="N12" s="14">
        <v>0.18680603878520499</v>
      </c>
      <c r="O12" s="14">
        <v>0.163693867751142</v>
      </c>
      <c r="P12" s="14">
        <v>0.13259976153411601</v>
      </c>
      <c r="Q12" s="14">
        <v>0.15010598110787399</v>
      </c>
      <c r="R12" s="14"/>
      <c r="S12" s="14">
        <v>0.192109011276239</v>
      </c>
      <c r="T12" s="14">
        <v>0.16491365184641901</v>
      </c>
      <c r="U12" s="14">
        <v>0.178482979149305</v>
      </c>
      <c r="V12" s="14">
        <v>0.161094450518317</v>
      </c>
      <c r="W12" s="14">
        <v>0.126417889075193</v>
      </c>
      <c r="X12" s="14">
        <v>0.12276978098289699</v>
      </c>
      <c r="Y12" s="14">
        <v>0.15415000180220401</v>
      </c>
      <c r="Z12" s="14">
        <v>0.12711681255396901</v>
      </c>
      <c r="AA12" s="14">
        <v>0.162520416484527</v>
      </c>
      <c r="AB12" s="14"/>
      <c r="AC12" s="14">
        <v>0.12883175330824501</v>
      </c>
      <c r="AD12" s="14">
        <v>0.125354643895673</v>
      </c>
      <c r="AE12" s="14">
        <v>0.179405640732131</v>
      </c>
      <c r="AF12" s="14">
        <v>0.209231736294829</v>
      </c>
      <c r="AG12" s="14">
        <v>0.212600546796578</v>
      </c>
      <c r="AH12" s="14"/>
      <c r="AI12" s="14">
        <v>0.139732233328727</v>
      </c>
      <c r="AJ12" s="14">
        <v>0.16340239484713501</v>
      </c>
      <c r="AK12" s="14">
        <v>0.22921645252081599</v>
      </c>
      <c r="AL12" s="14">
        <v>0.151164013757284</v>
      </c>
      <c r="AM12" s="14">
        <v>0.17428449398149901</v>
      </c>
      <c r="AN12" s="14">
        <v>0.154177631268159</v>
      </c>
      <c r="AO12" s="14"/>
      <c r="AP12" s="14">
        <v>0.13821935309715</v>
      </c>
      <c r="AQ12" s="14">
        <v>0.18219003051853999</v>
      </c>
      <c r="AR12" s="14"/>
      <c r="AS12" s="14">
        <v>0.154589250390157</v>
      </c>
      <c r="AT12" s="14">
        <v>0.168769311834158</v>
      </c>
      <c r="AU12" s="14">
        <v>0.157660304230304</v>
      </c>
      <c r="AV12" s="14"/>
      <c r="AW12" s="14">
        <v>0.15731022892161101</v>
      </c>
      <c r="AX12" s="14">
        <v>0.17937959987718499</v>
      </c>
      <c r="AY12" s="14"/>
      <c r="AZ12" s="14">
        <v>0.158321365950919</v>
      </c>
      <c r="BA12" s="14">
        <v>0.160789818812307</v>
      </c>
    </row>
    <row r="13" spans="2:53" x14ac:dyDescent="0.35">
      <c r="B13" s="15" t="s">
        <v>109</v>
      </c>
      <c r="C13" s="14">
        <v>0.121955786590832</v>
      </c>
      <c r="D13" s="14">
        <v>0.16295853901578</v>
      </c>
      <c r="E13" s="14">
        <v>8.1038486437370494E-2</v>
      </c>
      <c r="F13" s="14"/>
      <c r="G13" s="14">
        <v>8.1088258398355997E-2</v>
      </c>
      <c r="H13" s="14">
        <v>0.119156615027508</v>
      </c>
      <c r="I13" s="14">
        <v>0.14686133578537899</v>
      </c>
      <c r="J13" s="14">
        <v>9.2655429038038598E-2</v>
      </c>
      <c r="K13" s="14">
        <v>0.114787103859714</v>
      </c>
      <c r="L13" s="14">
        <v>7.2005563754787005E-2</v>
      </c>
      <c r="M13" s="14"/>
      <c r="N13" s="14">
        <v>0.17996012305864301</v>
      </c>
      <c r="O13" s="14">
        <v>9.55344463244307E-2</v>
      </c>
      <c r="P13" s="14">
        <v>0.112763143299987</v>
      </c>
      <c r="Q13" s="14">
        <v>9.6287840402723701E-2</v>
      </c>
      <c r="R13" s="14"/>
      <c r="S13" s="14">
        <v>0.14097073932825499</v>
      </c>
      <c r="T13" s="14">
        <v>0.118236541930061</v>
      </c>
      <c r="U13" s="14">
        <v>0.116271353641392</v>
      </c>
      <c r="V13" s="14">
        <v>0.107995651186939</v>
      </c>
      <c r="W13" s="14">
        <v>0.141330538219157</v>
      </c>
      <c r="X13" s="14">
        <v>0.137476783843936</v>
      </c>
      <c r="Y13" s="14">
        <v>0.137684691189422</v>
      </c>
      <c r="Z13" s="14">
        <v>0.13324893759921</v>
      </c>
      <c r="AA13" s="14">
        <v>7.7415960528730704E-2</v>
      </c>
      <c r="AB13" s="14"/>
      <c r="AC13" s="14">
        <v>9.7080526001554604E-2</v>
      </c>
      <c r="AD13" s="14">
        <v>8.2319803186291104E-2</v>
      </c>
      <c r="AE13" s="14">
        <v>0.14257986801500599</v>
      </c>
      <c r="AF13" s="14">
        <v>0.18722720306332899</v>
      </c>
      <c r="AG13" s="14">
        <v>0.227160546605433</v>
      </c>
      <c r="AH13" s="14"/>
      <c r="AI13" s="14">
        <v>0.14073753834453001</v>
      </c>
      <c r="AJ13" s="14">
        <v>0.12876448521278799</v>
      </c>
      <c r="AK13" s="14">
        <v>0.12458166404165601</v>
      </c>
      <c r="AL13" s="14">
        <v>0.146220960550005</v>
      </c>
      <c r="AM13" s="14">
        <v>0.103871910981919</v>
      </c>
      <c r="AN13" s="14">
        <v>4.2048009036009699E-2</v>
      </c>
      <c r="AO13" s="14"/>
      <c r="AP13" s="14">
        <v>0.15080257698879199</v>
      </c>
      <c r="AQ13" s="14">
        <v>8.9225330646548903E-2</v>
      </c>
      <c r="AR13" s="14"/>
      <c r="AS13" s="14">
        <v>0.10524419726513599</v>
      </c>
      <c r="AT13" s="14">
        <v>9.2121181335740293E-2</v>
      </c>
      <c r="AU13" s="14">
        <v>0.13527540780063399</v>
      </c>
      <c r="AV13" s="14"/>
      <c r="AW13" s="14">
        <v>0.109030478810919</v>
      </c>
      <c r="AX13" s="14">
        <v>0.194810656922279</v>
      </c>
      <c r="AY13" s="14"/>
      <c r="AZ13" s="14">
        <v>0.13413908872795299</v>
      </c>
      <c r="BA13" s="14">
        <v>7.9092668311918995E-2</v>
      </c>
    </row>
    <row r="14" spans="2:53" x14ac:dyDescent="0.35">
      <c r="B14" s="15" t="s">
        <v>110</v>
      </c>
      <c r="C14" s="14">
        <v>9.6568824377478796E-2</v>
      </c>
      <c r="D14" s="14">
        <v>0.106275632211401</v>
      </c>
      <c r="E14" s="14">
        <v>8.6947879891927801E-2</v>
      </c>
      <c r="F14" s="14"/>
      <c r="G14" s="14">
        <v>0.22843212335393001</v>
      </c>
      <c r="H14" s="14">
        <v>0.15498182268914401</v>
      </c>
      <c r="I14" s="14">
        <v>9.7463301473141806E-2</v>
      </c>
      <c r="J14" s="14">
        <v>6.52714845748604E-2</v>
      </c>
      <c r="K14" s="14">
        <v>7.9409001530218598E-2</v>
      </c>
      <c r="L14" s="14">
        <v>0.17423818809393599</v>
      </c>
      <c r="M14" s="14"/>
      <c r="N14" s="14">
        <v>0.110470686792627</v>
      </c>
      <c r="O14" s="14">
        <v>7.8908994907864793E-2</v>
      </c>
      <c r="P14" s="14">
        <v>8.5917967963416497E-2</v>
      </c>
      <c r="Q14" s="14">
        <v>0.110399550886499</v>
      </c>
      <c r="R14" s="14"/>
      <c r="S14" s="14">
        <v>0.115633552164135</v>
      </c>
      <c r="T14" s="14">
        <v>0.101738458867799</v>
      </c>
      <c r="U14" s="14">
        <v>8.7789144432906793E-2</v>
      </c>
      <c r="V14" s="14">
        <v>8.8865579012034498E-2</v>
      </c>
      <c r="W14" s="14">
        <v>9.5319296361760106E-2</v>
      </c>
      <c r="X14" s="14">
        <v>0.10642784939236299</v>
      </c>
      <c r="Y14" s="14">
        <v>8.1945064025654504E-2</v>
      </c>
      <c r="Z14" s="14">
        <v>6.4676912420647506E-2</v>
      </c>
      <c r="AA14" s="14">
        <v>9.6847536001521004E-2</v>
      </c>
      <c r="AB14" s="14"/>
      <c r="AC14" s="14">
        <v>6.5241663095393101E-2</v>
      </c>
      <c r="AD14" s="14">
        <v>8.9994523160901604E-2</v>
      </c>
      <c r="AE14" s="14">
        <v>8.9239128301909096E-2</v>
      </c>
      <c r="AF14" s="14">
        <v>0.118213897034226</v>
      </c>
      <c r="AG14" s="14">
        <v>0.102075619680078</v>
      </c>
      <c r="AH14" s="14"/>
      <c r="AI14" s="14">
        <v>0.107260739656482</v>
      </c>
      <c r="AJ14" s="14">
        <v>0.11117200100996601</v>
      </c>
      <c r="AK14" s="14">
        <v>9.9779669231773796E-2</v>
      </c>
      <c r="AL14" s="14">
        <v>8.1956432134315499E-2</v>
      </c>
      <c r="AM14" s="14">
        <v>0.12502890975587899</v>
      </c>
      <c r="AN14" s="14">
        <v>7.9304515983800103E-2</v>
      </c>
      <c r="AO14" s="14"/>
      <c r="AP14" s="14">
        <v>0.107435253207624</v>
      </c>
      <c r="AQ14" s="14">
        <v>8.46537870130952E-2</v>
      </c>
      <c r="AR14" s="14"/>
      <c r="AS14" s="14">
        <v>0.11420804058365</v>
      </c>
      <c r="AT14" s="14">
        <v>0.12192294996321699</v>
      </c>
      <c r="AU14" s="14">
        <v>8.4324402808115595E-2</v>
      </c>
      <c r="AV14" s="14"/>
      <c r="AW14" s="14">
        <v>9.3129099958452102E-2</v>
      </c>
      <c r="AX14" s="14">
        <v>0.111479142519784</v>
      </c>
      <c r="AY14" s="14"/>
      <c r="AZ14" s="14">
        <v>0.101180053461743</v>
      </c>
      <c r="BA14" s="14">
        <v>7.0871284345423696E-2</v>
      </c>
    </row>
    <row r="15" spans="2:53" x14ac:dyDescent="0.35">
      <c r="B15" s="15" t="s">
        <v>111</v>
      </c>
      <c r="C15" s="14">
        <v>8.8946941116306702E-2</v>
      </c>
      <c r="D15" s="14">
        <v>9.8637352340003301E-2</v>
      </c>
      <c r="E15" s="14">
        <v>7.9335016825700905E-2</v>
      </c>
      <c r="F15" s="14"/>
      <c r="G15" s="14">
        <v>5.9574462528436699E-2</v>
      </c>
      <c r="H15" s="14">
        <v>7.0865921272520005E-2</v>
      </c>
      <c r="I15" s="14">
        <v>0.112047659153013</v>
      </c>
      <c r="J15" s="14">
        <v>7.2304050945933201E-2</v>
      </c>
      <c r="K15" s="14">
        <v>6.2752327483554901E-2</v>
      </c>
      <c r="L15" s="14">
        <v>0.101800839353867</v>
      </c>
      <c r="M15" s="14"/>
      <c r="N15" s="14">
        <v>9.4397355031030195E-2</v>
      </c>
      <c r="O15" s="14">
        <v>9.5638241159031606E-2</v>
      </c>
      <c r="P15" s="14">
        <v>9.0331377852626404E-2</v>
      </c>
      <c r="Q15" s="14">
        <v>7.5929962487485694E-2</v>
      </c>
      <c r="R15" s="14"/>
      <c r="S15" s="14">
        <v>0.105814334332428</v>
      </c>
      <c r="T15" s="14">
        <v>7.6481878838865702E-2</v>
      </c>
      <c r="U15" s="14">
        <v>4.89200898835538E-2</v>
      </c>
      <c r="V15" s="14">
        <v>6.4194966134064294E-2</v>
      </c>
      <c r="W15" s="14">
        <v>9.3946575523290596E-2</v>
      </c>
      <c r="X15" s="14">
        <v>0.113033372036715</v>
      </c>
      <c r="Y15" s="14">
        <v>8.6359360954684897E-2</v>
      </c>
      <c r="Z15" s="14">
        <v>0.12532138479399299</v>
      </c>
      <c r="AA15" s="14">
        <v>0.10135949532194299</v>
      </c>
      <c r="AB15" s="14"/>
      <c r="AC15" s="14">
        <v>9.5393376411890607E-2</v>
      </c>
      <c r="AD15" s="14">
        <v>6.8593437483006198E-2</v>
      </c>
      <c r="AE15" s="14">
        <v>8.2371745320956494E-2</v>
      </c>
      <c r="AF15" s="14">
        <v>0.119488429360432</v>
      </c>
      <c r="AG15" s="14">
        <v>0.17641404615821199</v>
      </c>
      <c r="AH15" s="14"/>
      <c r="AI15" s="14">
        <v>9.7617532489673198E-2</v>
      </c>
      <c r="AJ15" s="14">
        <v>0.112347439355823</v>
      </c>
      <c r="AK15" s="14">
        <v>0.10729253315932399</v>
      </c>
      <c r="AL15" s="14">
        <v>8.0278744802997806E-2</v>
      </c>
      <c r="AM15" s="14">
        <v>8.1941562089358794E-2</v>
      </c>
      <c r="AN15" s="14">
        <v>4.2130159406298301E-2</v>
      </c>
      <c r="AO15" s="14"/>
      <c r="AP15" s="14">
        <v>8.4948321868367593E-2</v>
      </c>
      <c r="AQ15" s="14">
        <v>9.3065795946769198E-2</v>
      </c>
      <c r="AR15" s="14"/>
      <c r="AS15" s="14">
        <v>7.3399135153894901E-2</v>
      </c>
      <c r="AT15" s="14">
        <v>9.6214776170368901E-2</v>
      </c>
      <c r="AU15" s="14">
        <v>9.0982333772454405E-2</v>
      </c>
      <c r="AV15" s="14"/>
      <c r="AW15" s="14">
        <v>8.06364028881561E-2</v>
      </c>
      <c r="AX15" s="14">
        <v>0.14003383084569901</v>
      </c>
      <c r="AY15" s="14"/>
      <c r="AZ15" s="14">
        <v>9.5277096666724806E-2</v>
      </c>
      <c r="BA15" s="14">
        <v>6.7214140540060197E-2</v>
      </c>
    </row>
    <row r="16" spans="2:53" x14ac:dyDescent="0.35">
      <c r="B16" s="15" t="s">
        <v>112</v>
      </c>
      <c r="C16" s="14">
        <v>8.4083137988448006E-2</v>
      </c>
      <c r="D16" s="14">
        <v>9.8453445770059794E-2</v>
      </c>
      <c r="E16" s="14">
        <v>6.9782859587238594E-2</v>
      </c>
      <c r="F16" s="14"/>
      <c r="G16" s="14">
        <v>0</v>
      </c>
      <c r="H16" s="14">
        <v>0.115675811957416</v>
      </c>
      <c r="I16" s="14">
        <v>9.0522489182591107E-2</v>
      </c>
      <c r="J16" s="14">
        <v>6.9135443001960006E-2</v>
      </c>
      <c r="K16" s="14">
        <v>6.4352836208386402E-2</v>
      </c>
      <c r="L16" s="14">
        <v>3.3782074343312797E-2</v>
      </c>
      <c r="M16" s="14"/>
      <c r="N16" s="14">
        <v>9.5000235282267503E-2</v>
      </c>
      <c r="O16" s="14">
        <v>9.4595712190365694E-2</v>
      </c>
      <c r="P16" s="14">
        <v>9.2772897095532297E-2</v>
      </c>
      <c r="Q16" s="14">
        <v>5.4712078611493901E-2</v>
      </c>
      <c r="R16" s="14"/>
      <c r="S16" s="14">
        <v>0.11166048720013901</v>
      </c>
      <c r="T16" s="14">
        <v>8.1944366814551695E-2</v>
      </c>
      <c r="U16" s="14">
        <v>9.1220882070504605E-2</v>
      </c>
      <c r="V16" s="14">
        <v>4.00018270431396E-2</v>
      </c>
      <c r="W16" s="14">
        <v>4.7236868835811199E-2</v>
      </c>
      <c r="X16" s="14">
        <v>0.10326138008727299</v>
      </c>
      <c r="Y16" s="14">
        <v>6.5072489028158098E-2</v>
      </c>
      <c r="Z16" s="14">
        <v>0.12821842551370599</v>
      </c>
      <c r="AA16" s="14">
        <v>9.3075181556040706E-2</v>
      </c>
      <c r="AB16" s="14"/>
      <c r="AC16" s="14">
        <v>3.7733825661297703E-2</v>
      </c>
      <c r="AD16" s="14">
        <v>6.9399470644346206E-2</v>
      </c>
      <c r="AE16" s="14">
        <v>8.0141660415559798E-2</v>
      </c>
      <c r="AF16" s="14">
        <v>0.14768056189339299</v>
      </c>
      <c r="AG16" s="14">
        <v>0.17371778264917101</v>
      </c>
      <c r="AH16" s="14"/>
      <c r="AI16" s="14">
        <v>0.10228905824606099</v>
      </c>
      <c r="AJ16" s="14">
        <v>0.102291701771934</v>
      </c>
      <c r="AK16" s="14">
        <v>8.7811710940664006E-2</v>
      </c>
      <c r="AL16" s="14">
        <v>7.8515659721224207E-2</v>
      </c>
      <c r="AM16" s="14">
        <v>1.8102382029873201E-2</v>
      </c>
      <c r="AN16" s="14">
        <v>5.6296654638082103E-2</v>
      </c>
      <c r="AO16" s="14"/>
      <c r="AP16" s="14">
        <v>9.2199042355278704E-2</v>
      </c>
      <c r="AQ16" s="14">
        <v>7.4555780527682303E-2</v>
      </c>
      <c r="AR16" s="14"/>
      <c r="AS16" s="14">
        <v>8.85281098115797E-2</v>
      </c>
      <c r="AT16" s="14">
        <v>7.8942591597598005E-2</v>
      </c>
      <c r="AU16" s="14">
        <v>8.4406876038268602E-2</v>
      </c>
      <c r="AV16" s="14"/>
      <c r="AW16" s="14">
        <v>7.8401466481705998E-2</v>
      </c>
      <c r="AX16" s="14">
        <v>0.127269759013211</v>
      </c>
      <c r="AY16" s="14"/>
      <c r="AZ16" s="14">
        <v>8.8148554502789703E-2</v>
      </c>
      <c r="BA16" s="14">
        <v>6.5788000721597406E-2</v>
      </c>
    </row>
    <row r="17" spans="2:53" x14ac:dyDescent="0.35">
      <c r="B17" s="15" t="s">
        <v>113</v>
      </c>
      <c r="C17" s="14">
        <v>7.9791902115676105E-2</v>
      </c>
      <c r="D17" s="14">
        <v>7.4180838346614902E-2</v>
      </c>
      <c r="E17" s="14">
        <v>8.4515297421590196E-2</v>
      </c>
      <c r="F17" s="14"/>
      <c r="G17" s="14">
        <v>4.7152529771917098E-2</v>
      </c>
      <c r="H17" s="14">
        <v>0.104697639553557</v>
      </c>
      <c r="I17" s="14">
        <v>8.3854311377227805E-2</v>
      </c>
      <c r="J17" s="14">
        <v>6.8305986681278297E-2</v>
      </c>
      <c r="K17" s="14">
        <v>6.0049122794676002E-2</v>
      </c>
      <c r="L17" s="14">
        <v>7.6967898204425594E-2</v>
      </c>
      <c r="M17" s="14"/>
      <c r="N17" s="14">
        <v>7.6041904741246599E-2</v>
      </c>
      <c r="O17" s="14">
        <v>7.4915904273695405E-2</v>
      </c>
      <c r="P17" s="14">
        <v>6.3226976104483704E-2</v>
      </c>
      <c r="Q17" s="14">
        <v>0.104406116422643</v>
      </c>
      <c r="R17" s="14"/>
      <c r="S17" s="14">
        <v>9.6620014520808803E-2</v>
      </c>
      <c r="T17" s="14">
        <v>7.8286906560323999E-2</v>
      </c>
      <c r="U17" s="14">
        <v>7.9526351339822998E-2</v>
      </c>
      <c r="V17" s="14">
        <v>0.100046852882229</v>
      </c>
      <c r="W17" s="14">
        <v>4.6179864260232399E-2</v>
      </c>
      <c r="X17" s="14">
        <v>6.1472166961083201E-2</v>
      </c>
      <c r="Y17" s="14">
        <v>4.7001253860599702E-2</v>
      </c>
      <c r="Z17" s="14">
        <v>0.111488754644119</v>
      </c>
      <c r="AA17" s="14">
        <v>9.4600978437737293E-2</v>
      </c>
      <c r="AB17" s="14"/>
      <c r="AC17" s="14">
        <v>7.1739049352436302E-2</v>
      </c>
      <c r="AD17" s="14">
        <v>7.4630788826054506E-2</v>
      </c>
      <c r="AE17" s="14">
        <v>8.1971086913758207E-2</v>
      </c>
      <c r="AF17" s="14">
        <v>9.1134598039984402E-2</v>
      </c>
      <c r="AG17" s="14">
        <v>0.16855066132427099</v>
      </c>
      <c r="AH17" s="14"/>
      <c r="AI17" s="14">
        <v>8.6942091084390799E-2</v>
      </c>
      <c r="AJ17" s="14">
        <v>7.9805704001354297E-2</v>
      </c>
      <c r="AK17" s="14">
        <v>8.6422102776799903E-2</v>
      </c>
      <c r="AL17" s="14">
        <v>4.7307825044250698E-2</v>
      </c>
      <c r="AM17" s="14">
        <v>0.13927092178855199</v>
      </c>
      <c r="AN17" s="14">
        <v>6.7715850722471702E-2</v>
      </c>
      <c r="AO17" s="14"/>
      <c r="AP17" s="14">
        <v>6.0866838293946103E-2</v>
      </c>
      <c r="AQ17" s="14">
        <v>0.101342402420229</v>
      </c>
      <c r="AR17" s="14"/>
      <c r="AS17" s="14">
        <v>9.9902640176205898E-2</v>
      </c>
      <c r="AT17" s="14">
        <v>7.6780678306146904E-2</v>
      </c>
      <c r="AU17" s="14">
        <v>7.5269805787243002E-2</v>
      </c>
      <c r="AV17" s="14"/>
      <c r="AW17" s="14">
        <v>6.8130701519254003E-2</v>
      </c>
      <c r="AX17" s="14">
        <v>0.10621371397200099</v>
      </c>
      <c r="AY17" s="14"/>
      <c r="AZ17" s="14">
        <v>7.8615270063069106E-2</v>
      </c>
      <c r="BA17" s="14">
        <v>8.3422862265068704E-2</v>
      </c>
    </row>
    <row r="18" spans="2:53" x14ac:dyDescent="0.35">
      <c r="B18" s="15" t="s">
        <v>114</v>
      </c>
      <c r="C18" s="14">
        <v>7.7145650711287705E-2</v>
      </c>
      <c r="D18" s="14">
        <v>6.9768827108048104E-2</v>
      </c>
      <c r="E18" s="14">
        <v>8.4603166614090203E-2</v>
      </c>
      <c r="F18" s="14"/>
      <c r="G18" s="14">
        <v>0.14264816943094299</v>
      </c>
      <c r="H18" s="14">
        <v>8.7497595762782002E-2</v>
      </c>
      <c r="I18" s="14">
        <v>8.3609029259544193E-2</v>
      </c>
      <c r="J18" s="14">
        <v>6.1739108861474198E-2</v>
      </c>
      <c r="K18" s="14">
        <v>7.4487783633907706E-2</v>
      </c>
      <c r="L18" s="14">
        <v>8.7848888700421998E-2</v>
      </c>
      <c r="M18" s="14"/>
      <c r="N18" s="14">
        <v>8.2137190116045894E-2</v>
      </c>
      <c r="O18" s="14">
        <v>6.7962971669618094E-2</v>
      </c>
      <c r="P18" s="14">
        <v>6.7633060605416198E-2</v>
      </c>
      <c r="Q18" s="14">
        <v>8.8890304934971895E-2</v>
      </c>
      <c r="R18" s="14"/>
      <c r="S18" s="14">
        <v>6.6595552679561298E-2</v>
      </c>
      <c r="T18" s="14">
        <v>7.2140120540106101E-2</v>
      </c>
      <c r="U18" s="14">
        <v>5.1977919381178697E-2</v>
      </c>
      <c r="V18" s="14">
        <v>0.106829380493505</v>
      </c>
      <c r="W18" s="14">
        <v>7.5008401335515798E-2</v>
      </c>
      <c r="X18" s="14">
        <v>5.5374710891801501E-2</v>
      </c>
      <c r="Y18" s="14">
        <v>9.8050271887915999E-2</v>
      </c>
      <c r="Z18" s="14">
        <v>0.11709947212858</v>
      </c>
      <c r="AA18" s="14">
        <v>7.7386626622449398E-2</v>
      </c>
      <c r="AB18" s="14"/>
      <c r="AC18" s="14">
        <v>6.7698770301128294E-2</v>
      </c>
      <c r="AD18" s="14">
        <v>7.4505047672069197E-2</v>
      </c>
      <c r="AE18" s="14">
        <v>8.0164859320592405E-2</v>
      </c>
      <c r="AF18" s="14">
        <v>7.8600850258290805E-2</v>
      </c>
      <c r="AG18" s="14">
        <v>6.72911918666695E-2</v>
      </c>
      <c r="AH18" s="14"/>
      <c r="AI18" s="14">
        <v>9.4422384139875207E-2</v>
      </c>
      <c r="AJ18" s="14">
        <v>7.1794336607965095E-2</v>
      </c>
      <c r="AK18" s="14">
        <v>7.4733391944454206E-2</v>
      </c>
      <c r="AL18" s="14">
        <v>6.9161415000264598E-2</v>
      </c>
      <c r="AM18" s="14">
        <v>0.10266507661676801</v>
      </c>
      <c r="AN18" s="14">
        <v>3.5113660474782801E-2</v>
      </c>
      <c r="AO18" s="14"/>
      <c r="AP18" s="14">
        <v>7.7318104239420593E-2</v>
      </c>
      <c r="AQ18" s="14">
        <v>7.5840118192723197E-2</v>
      </c>
      <c r="AR18" s="14"/>
      <c r="AS18" s="14">
        <v>5.7676159752529599E-2</v>
      </c>
      <c r="AT18" s="14">
        <v>9.3532128690594601E-2</v>
      </c>
      <c r="AU18" s="14">
        <v>7.7540166498127699E-2</v>
      </c>
      <c r="AV18" s="14"/>
      <c r="AW18" s="14">
        <v>7.2894555002182906E-2</v>
      </c>
      <c r="AX18" s="14">
        <v>9.92435256217747E-2</v>
      </c>
      <c r="AY18" s="14"/>
      <c r="AZ18" s="14">
        <v>7.7078661431063095E-2</v>
      </c>
      <c r="BA18" s="14">
        <v>7.3954550706593403E-2</v>
      </c>
    </row>
    <row r="19" spans="2:53" x14ac:dyDescent="0.35">
      <c r="B19" s="15" t="s">
        <v>115</v>
      </c>
      <c r="C19" s="14">
        <v>5.9820227466108801E-2</v>
      </c>
      <c r="D19" s="14">
        <v>6.0382993040034097E-2</v>
      </c>
      <c r="E19" s="14">
        <v>5.9315008482026699E-2</v>
      </c>
      <c r="F19" s="14"/>
      <c r="G19" s="14">
        <v>0</v>
      </c>
      <c r="H19" s="14">
        <v>8.2606247069998501E-2</v>
      </c>
      <c r="I19" s="14">
        <v>6.4689226788140902E-2</v>
      </c>
      <c r="J19" s="14">
        <v>5.1847699334155901E-2</v>
      </c>
      <c r="K19" s="14">
        <v>3.9177240776072597E-2</v>
      </c>
      <c r="L19" s="14">
        <v>0</v>
      </c>
      <c r="M19" s="14"/>
      <c r="N19" s="14">
        <v>6.2592631744404395E-2</v>
      </c>
      <c r="O19" s="14">
        <v>5.5953271661700603E-2</v>
      </c>
      <c r="P19" s="14">
        <v>7.1009652545080695E-2</v>
      </c>
      <c r="Q19" s="14">
        <v>5.1698822273099798E-2</v>
      </c>
      <c r="R19" s="14"/>
      <c r="S19" s="14">
        <v>7.9055595753251703E-2</v>
      </c>
      <c r="T19" s="14">
        <v>6.1299292714185397E-2</v>
      </c>
      <c r="U19" s="14">
        <v>7.3078446257193896E-2</v>
      </c>
      <c r="V19" s="14">
        <v>4.4696876781604299E-2</v>
      </c>
      <c r="W19" s="14">
        <v>7.5321616065309599E-2</v>
      </c>
      <c r="X19" s="14">
        <v>5.0687424484412401E-2</v>
      </c>
      <c r="Y19" s="14">
        <v>5.4868593110113502E-2</v>
      </c>
      <c r="Z19" s="14">
        <v>3.6347156898785399E-2</v>
      </c>
      <c r="AA19" s="14">
        <v>4.6033346374498602E-2</v>
      </c>
      <c r="AB19" s="14"/>
      <c r="AC19" s="14">
        <v>8.1971805743358397E-2</v>
      </c>
      <c r="AD19" s="14">
        <v>5.44990937742902E-2</v>
      </c>
      <c r="AE19" s="14">
        <v>4.9115240768903702E-2</v>
      </c>
      <c r="AF19" s="14">
        <v>7.5272870064761604E-2</v>
      </c>
      <c r="AG19" s="14">
        <v>2.74610887755742E-2</v>
      </c>
      <c r="AH19" s="14"/>
      <c r="AI19" s="14">
        <v>6.9851122917574199E-2</v>
      </c>
      <c r="AJ19" s="14">
        <v>4.4115655334704199E-2</v>
      </c>
      <c r="AK19" s="14">
        <v>6.3130770750826695E-2</v>
      </c>
      <c r="AL19" s="14">
        <v>4.2470789155218097E-2</v>
      </c>
      <c r="AM19" s="14">
        <v>0.12278490133577501</v>
      </c>
      <c r="AN19" s="14">
        <v>6.3326001052399494E-2</v>
      </c>
      <c r="AO19" s="14"/>
      <c r="AP19" s="14">
        <v>6.1045132505901101E-2</v>
      </c>
      <c r="AQ19" s="14">
        <v>5.8634823994734298E-2</v>
      </c>
      <c r="AR19" s="14"/>
      <c r="AS19" s="14">
        <v>4.4665063368974703E-2</v>
      </c>
      <c r="AT19" s="14">
        <v>5.29767382248824E-2</v>
      </c>
      <c r="AU19" s="14">
        <v>6.5922597505924704E-2</v>
      </c>
      <c r="AV19" s="14"/>
      <c r="AW19" s="14">
        <v>5.7918222611948601E-2</v>
      </c>
      <c r="AX19" s="14">
        <v>6.6133255964721693E-2</v>
      </c>
      <c r="AY19" s="14"/>
      <c r="AZ19" s="14">
        <v>6.1441320243971399E-2</v>
      </c>
      <c r="BA19" s="14">
        <v>5.2404527238915602E-2</v>
      </c>
    </row>
    <row r="20" spans="2:53" x14ac:dyDescent="0.35">
      <c r="B20" s="15" t="s">
        <v>116</v>
      </c>
      <c r="C20" s="23">
        <v>2.7548420441300198E-2</v>
      </c>
      <c r="D20" s="23">
        <v>1.81465577923982E-2</v>
      </c>
      <c r="E20" s="23">
        <v>3.6984509371019998E-2</v>
      </c>
      <c r="F20" s="23"/>
      <c r="G20" s="23">
        <v>0.110546678169645</v>
      </c>
      <c r="H20" s="23">
        <v>1.73862140099545E-2</v>
      </c>
      <c r="I20" s="23">
        <v>2.9172744492796301E-2</v>
      </c>
      <c r="J20" s="23">
        <v>2.4310638022974701E-2</v>
      </c>
      <c r="K20" s="23">
        <v>4.0509158351830603E-2</v>
      </c>
      <c r="L20" s="23">
        <v>3.7039589098535101E-2</v>
      </c>
      <c r="M20" s="23"/>
      <c r="N20" s="23">
        <v>1.4735931085644799E-2</v>
      </c>
      <c r="O20" s="23">
        <v>2.83714436030067E-2</v>
      </c>
      <c r="P20" s="23">
        <v>3.0197054198798499E-2</v>
      </c>
      <c r="Q20" s="23">
        <v>3.6623434733653301E-2</v>
      </c>
      <c r="R20" s="23"/>
      <c r="S20" s="23">
        <v>1.4490656399575801E-2</v>
      </c>
      <c r="T20" s="23">
        <v>2.6928313890775098E-2</v>
      </c>
      <c r="U20" s="23">
        <v>2.47403710815653E-2</v>
      </c>
      <c r="V20" s="23">
        <v>5.2908800585252998E-2</v>
      </c>
      <c r="W20" s="23">
        <v>2.3572198119171401E-2</v>
      </c>
      <c r="X20" s="23">
        <v>3.6664228994568199E-2</v>
      </c>
      <c r="Y20" s="23">
        <v>1.82677064932238E-2</v>
      </c>
      <c r="Z20" s="23">
        <v>3.9523464260446999E-2</v>
      </c>
      <c r="AA20" s="23">
        <v>2.3355789652566399E-2</v>
      </c>
      <c r="AB20" s="23"/>
      <c r="AC20" s="23">
        <v>3.2991760475341803E-2</v>
      </c>
      <c r="AD20" s="23">
        <v>1.7769306574446801E-2</v>
      </c>
      <c r="AE20" s="23">
        <v>3.0331379482446401E-2</v>
      </c>
      <c r="AF20" s="23">
        <v>1.45361791142371E-2</v>
      </c>
      <c r="AG20" s="23">
        <v>0</v>
      </c>
      <c r="AH20" s="23"/>
      <c r="AI20" s="23">
        <v>1.8767095803439202E-2</v>
      </c>
      <c r="AJ20" s="23">
        <v>1.23273106788497E-2</v>
      </c>
      <c r="AK20" s="23">
        <v>4.3470832958891099E-2</v>
      </c>
      <c r="AL20" s="23">
        <v>2.6279178088651101E-2</v>
      </c>
      <c r="AM20" s="23">
        <v>2.8471180551953201E-2</v>
      </c>
      <c r="AN20" s="23">
        <v>4.6641998107676101E-2</v>
      </c>
      <c r="AO20" s="23"/>
      <c r="AP20" s="23">
        <v>3.1231072488956999E-2</v>
      </c>
      <c r="AQ20" s="23">
        <v>2.34937026465908E-2</v>
      </c>
      <c r="AR20" s="23"/>
      <c r="AS20" s="23">
        <v>1.96889222777657E-2</v>
      </c>
      <c r="AT20" s="23">
        <v>2.3656192464818499E-2</v>
      </c>
      <c r="AU20" s="23">
        <v>3.0814598591579902E-2</v>
      </c>
      <c r="AV20" s="23"/>
      <c r="AW20" s="23">
        <v>2.6083630175790899E-2</v>
      </c>
      <c r="AX20" s="23">
        <v>1.1863536154804099E-2</v>
      </c>
      <c r="AY20" s="23"/>
      <c r="AZ20" s="23">
        <v>2.1029807832366999E-2</v>
      </c>
      <c r="BA20" s="23">
        <v>4.6846697363441402E-2</v>
      </c>
    </row>
    <row r="21" spans="2:53" x14ac:dyDescent="0.35">
      <c r="B21" s="16"/>
    </row>
    <row r="22" spans="2:53" x14ac:dyDescent="0.35">
      <c r="B22" t="s">
        <v>84</v>
      </c>
    </row>
    <row r="23" spans="2:53" x14ac:dyDescent="0.35">
      <c r="B23" t="s">
        <v>85</v>
      </c>
    </row>
    <row r="25" spans="2:53" x14ac:dyDescent="0.35">
      <c r="B25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L19"/>
  <sheetViews>
    <sheetView showGridLines="0" workbookViewId="0">
      <pane xSplit="2" topLeftCell="C1" activePane="topRight" state="frozen"/>
      <selection pane="topRight" activeCell="D7" sqref="D7"/>
    </sheetView>
  </sheetViews>
  <sheetFormatPr defaultColWidth="10.90625" defaultRowHeight="14.5" x14ac:dyDescent="0.35"/>
  <cols>
    <col min="2" max="2" width="25.7265625" customWidth="1"/>
    <col min="3" max="12" width="20.7265625" customWidth="1"/>
  </cols>
  <sheetData>
    <row r="2" spans="2:12" ht="40" customHeight="1" x14ac:dyDescent="0.35">
      <c r="D2" s="35" t="s">
        <v>128</v>
      </c>
      <c r="E2" s="32"/>
      <c r="F2" s="32"/>
      <c r="G2" s="32"/>
      <c r="H2" s="32"/>
      <c r="I2" s="32"/>
      <c r="J2" s="32"/>
      <c r="K2" s="32"/>
      <c r="L2" s="32"/>
    </row>
    <row r="6" spans="2:12" ht="50" customHeight="1" x14ac:dyDescent="0.35">
      <c r="B6" s="17" t="s">
        <v>14</v>
      </c>
      <c r="C6" s="17" t="s">
        <v>119</v>
      </c>
      <c r="D6" s="17" t="s">
        <v>120</v>
      </c>
      <c r="E6" s="17" t="s">
        <v>121</v>
      </c>
      <c r="F6" s="17" t="s">
        <v>122</v>
      </c>
      <c r="G6" s="17" t="s">
        <v>123</v>
      </c>
      <c r="H6" s="17" t="s">
        <v>124</v>
      </c>
      <c r="I6" s="17" t="s">
        <v>125</v>
      </c>
      <c r="J6" s="17" t="s">
        <v>126</v>
      </c>
      <c r="K6" s="17" t="s">
        <v>127</v>
      </c>
    </row>
    <row r="7" spans="2:12" x14ac:dyDescent="0.35">
      <c r="B7" s="15" t="s">
        <v>76</v>
      </c>
      <c r="C7" s="14">
        <v>0.44420969025630802</v>
      </c>
      <c r="D7" s="14">
        <v>0.72999759276680998</v>
      </c>
      <c r="E7" s="14">
        <v>0.65837412103441195</v>
      </c>
      <c r="F7" s="14">
        <v>0.69589052844417698</v>
      </c>
      <c r="G7" s="14">
        <v>0.65782912966850304</v>
      </c>
      <c r="H7" s="14">
        <v>0.72926926219004995</v>
      </c>
      <c r="I7" s="14">
        <v>0.69521125456877597</v>
      </c>
      <c r="J7" s="14">
        <v>0.80529502199105396</v>
      </c>
      <c r="K7" s="14">
        <v>1</v>
      </c>
    </row>
    <row r="8" spans="2:12" x14ac:dyDescent="0.35">
      <c r="B8" s="15" t="s">
        <v>77</v>
      </c>
      <c r="C8" s="14">
        <v>0.42827773595686702</v>
      </c>
      <c r="D8" s="14">
        <v>0.22758171998678001</v>
      </c>
      <c r="E8" s="14">
        <v>0.30670162784868599</v>
      </c>
      <c r="F8" s="14">
        <v>0.271870512553886</v>
      </c>
      <c r="G8" s="14">
        <v>0.31421631546295697</v>
      </c>
      <c r="H8" s="14">
        <v>0.243793043086906</v>
      </c>
      <c r="I8" s="14">
        <v>0.283949643923606</v>
      </c>
      <c r="J8" s="14">
        <v>0.176714696883296</v>
      </c>
      <c r="K8" s="14">
        <v>0</v>
      </c>
    </row>
    <row r="9" spans="2:12" x14ac:dyDescent="0.35">
      <c r="B9" s="15" t="s">
        <v>78</v>
      </c>
      <c r="C9" s="14">
        <v>0.108945615865761</v>
      </c>
      <c r="D9" s="14">
        <v>2.83977251694616E-2</v>
      </c>
      <c r="E9" s="14">
        <v>2.8543741859087299E-2</v>
      </c>
      <c r="F9" s="14">
        <v>2.6489005781368501E-2</v>
      </c>
      <c r="G9" s="14">
        <v>2.4567511608298901E-2</v>
      </c>
      <c r="H9" s="14">
        <v>1.9881038615383199E-2</v>
      </c>
      <c r="I9" s="14">
        <v>1.6512486633826901E-2</v>
      </c>
      <c r="J9" s="14">
        <v>1.2398218970930399E-2</v>
      </c>
      <c r="K9" s="14">
        <v>0</v>
      </c>
    </row>
    <row r="10" spans="2:12" x14ac:dyDescent="0.35">
      <c r="B10" s="15" t="s">
        <v>79</v>
      </c>
      <c r="C10" s="14">
        <v>1.03456684287933E-2</v>
      </c>
      <c r="D10" s="14">
        <v>5.2137264329389799E-3</v>
      </c>
      <c r="E10" s="14">
        <v>5.0095121508024103E-3</v>
      </c>
      <c r="F10" s="14">
        <v>3.3441499956749698E-3</v>
      </c>
      <c r="G10" s="14">
        <v>1.65803756906236E-3</v>
      </c>
      <c r="H10" s="14">
        <v>3.3045815683931299E-3</v>
      </c>
      <c r="I10" s="14">
        <v>1.5812970445802099E-3</v>
      </c>
      <c r="J10" s="14">
        <v>3.1891561165349499E-3</v>
      </c>
      <c r="K10" s="14">
        <v>0</v>
      </c>
    </row>
    <row r="11" spans="2:12" x14ac:dyDescent="0.35">
      <c r="B11" s="20" t="s">
        <v>80</v>
      </c>
      <c r="C11" s="18">
        <v>8.2212894922706406E-3</v>
      </c>
      <c r="D11" s="18">
        <v>8.8092356440090495E-3</v>
      </c>
      <c r="E11" s="18">
        <v>1.37099710701186E-3</v>
      </c>
      <c r="F11" s="18">
        <v>2.4058032248934699E-3</v>
      </c>
      <c r="G11" s="18">
        <v>1.72900569117845E-3</v>
      </c>
      <c r="H11" s="18">
        <v>3.7520745392678099E-3</v>
      </c>
      <c r="I11" s="18">
        <v>2.7453178292103802E-3</v>
      </c>
      <c r="J11" s="18">
        <v>2.4029060381842099E-3</v>
      </c>
      <c r="K11" s="18">
        <v>0</v>
      </c>
    </row>
    <row r="12" spans="2:12" x14ac:dyDescent="0.35">
      <c r="B12" s="20" t="s">
        <v>81</v>
      </c>
      <c r="C12" s="18">
        <v>0.87248742621317499</v>
      </c>
      <c r="D12" s="18">
        <v>0.95757931275358998</v>
      </c>
      <c r="E12" s="18">
        <v>0.96507574888309799</v>
      </c>
      <c r="F12" s="18">
        <v>0.96776104099806304</v>
      </c>
      <c r="G12" s="18">
        <v>0.97204544513145996</v>
      </c>
      <c r="H12" s="18">
        <v>0.97306230527695603</v>
      </c>
      <c r="I12" s="18">
        <v>0.97916089849238297</v>
      </c>
      <c r="J12" s="18">
        <v>0.98200971887434996</v>
      </c>
      <c r="K12" s="18">
        <v>1</v>
      </c>
    </row>
    <row r="13" spans="2:12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5">
      <c r="B14" t="s">
        <v>84</v>
      </c>
    </row>
    <row r="15" spans="2:12" x14ac:dyDescent="0.35">
      <c r="B15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BA19"/>
  <sheetViews>
    <sheetView showGridLines="0" workbookViewId="0">
      <pane xSplit="2" topLeftCell="C1" activePane="topRight" state="frozen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129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0.65837412103441195</v>
      </c>
      <c r="D9" s="14">
        <v>0.59979276054572805</v>
      </c>
      <c r="E9" s="14">
        <v>0.71667111170320896</v>
      </c>
      <c r="F9" s="14"/>
      <c r="G9" s="14">
        <v>0.708200107940408</v>
      </c>
      <c r="H9" s="14">
        <v>0.66405874198336601</v>
      </c>
      <c r="I9" s="14">
        <v>0.69011714521815604</v>
      </c>
      <c r="J9" s="14">
        <v>0.65857015894705795</v>
      </c>
      <c r="K9" s="14">
        <v>0.53180412138130795</v>
      </c>
      <c r="L9" s="14">
        <v>0.43590720261410298</v>
      </c>
      <c r="M9" s="14"/>
      <c r="N9" s="14">
        <v>0.69697329780690498</v>
      </c>
      <c r="O9" s="14">
        <v>0.68091660568673096</v>
      </c>
      <c r="P9" s="14">
        <v>0.60263549288339702</v>
      </c>
      <c r="Q9" s="14">
        <v>0.64022601488225805</v>
      </c>
      <c r="R9" s="14"/>
      <c r="S9" s="14">
        <v>0.68226824919251305</v>
      </c>
      <c r="T9" s="14">
        <v>0.69641197214182404</v>
      </c>
      <c r="U9" s="14">
        <v>0.65611247692789998</v>
      </c>
      <c r="V9" s="14">
        <v>0.64483621654851697</v>
      </c>
      <c r="W9" s="14">
        <v>0.64914935472634405</v>
      </c>
      <c r="X9" s="14">
        <v>0.65040257664721401</v>
      </c>
      <c r="Y9" s="14">
        <v>0.63602066562456405</v>
      </c>
      <c r="Z9" s="14">
        <v>0.62808857418804298</v>
      </c>
      <c r="AA9" s="14">
        <v>0.636803183927794</v>
      </c>
      <c r="AB9" s="14"/>
      <c r="AC9" s="14">
        <v>0.61863607033451795</v>
      </c>
      <c r="AD9" s="14">
        <v>0.60378773656062501</v>
      </c>
      <c r="AE9" s="14">
        <v>0.68567908770192798</v>
      </c>
      <c r="AF9" s="14">
        <v>0.74598845215468901</v>
      </c>
      <c r="AG9" s="14">
        <v>0.73390749792105803</v>
      </c>
      <c r="AH9" s="14"/>
      <c r="AI9" s="14">
        <v>0.64521000267920003</v>
      </c>
      <c r="AJ9" s="14">
        <v>0.65801004259044105</v>
      </c>
      <c r="AK9" s="14">
        <v>0.66518014589632601</v>
      </c>
      <c r="AL9" s="14">
        <v>0.62351312489343003</v>
      </c>
      <c r="AM9" s="14">
        <v>0.71797911939903902</v>
      </c>
      <c r="AN9" s="14">
        <v>0.73268319944350602</v>
      </c>
      <c r="AO9" s="14"/>
      <c r="AP9" s="14">
        <v>0.64896628242276999</v>
      </c>
      <c r="AQ9" s="14">
        <v>0.66785827910375095</v>
      </c>
      <c r="AR9" s="14"/>
      <c r="AS9" s="14">
        <v>0.66087593594326499</v>
      </c>
      <c r="AT9" s="14">
        <v>0.65266538127404194</v>
      </c>
      <c r="AU9" s="14">
        <v>0.65938884241683304</v>
      </c>
      <c r="AV9" s="14"/>
      <c r="AW9" s="14">
        <v>0.65933614043413902</v>
      </c>
      <c r="AX9" s="14">
        <v>0.70254911028767197</v>
      </c>
      <c r="AY9" s="14"/>
      <c r="AZ9" s="14">
        <v>0.65377845040410498</v>
      </c>
      <c r="BA9" s="14">
        <v>0.68172472635702996</v>
      </c>
    </row>
    <row r="10" spans="2:53" x14ac:dyDescent="0.35">
      <c r="B10" s="15" t="s">
        <v>77</v>
      </c>
      <c r="C10" s="14">
        <v>0.30670162784868599</v>
      </c>
      <c r="D10" s="14">
        <v>0.358252726840394</v>
      </c>
      <c r="E10" s="14">
        <v>0.25540666047787902</v>
      </c>
      <c r="F10" s="14"/>
      <c r="G10" s="14">
        <v>0.291799892059592</v>
      </c>
      <c r="H10" s="14">
        <v>0.27843377965777599</v>
      </c>
      <c r="I10" s="14">
        <v>0.287714762914067</v>
      </c>
      <c r="J10" s="14">
        <v>0.31087788211460299</v>
      </c>
      <c r="K10" s="14">
        <v>0.414991777501097</v>
      </c>
      <c r="L10" s="14">
        <v>0.39626336398359302</v>
      </c>
      <c r="M10" s="14"/>
      <c r="N10" s="14">
        <v>0.29229869802196001</v>
      </c>
      <c r="O10" s="14">
        <v>0.297369470304235</v>
      </c>
      <c r="P10" s="14">
        <v>0.334738431133905</v>
      </c>
      <c r="Q10" s="14">
        <v>0.30896379734573898</v>
      </c>
      <c r="R10" s="14"/>
      <c r="S10" s="14">
        <v>0.28964799547369702</v>
      </c>
      <c r="T10" s="14">
        <v>0.27416337925700202</v>
      </c>
      <c r="U10" s="14">
        <v>0.33472389841199102</v>
      </c>
      <c r="V10" s="14">
        <v>0.32008890235863202</v>
      </c>
      <c r="W10" s="14">
        <v>0.290914780287088</v>
      </c>
      <c r="X10" s="14">
        <v>0.28283510620061703</v>
      </c>
      <c r="Y10" s="14">
        <v>0.33245155330281001</v>
      </c>
      <c r="Z10" s="14">
        <v>0.31348747441438601</v>
      </c>
      <c r="AA10" s="14">
        <v>0.341671497123677</v>
      </c>
      <c r="AB10" s="14"/>
      <c r="AC10" s="14">
        <v>0.33372568773491601</v>
      </c>
      <c r="AD10" s="14">
        <v>0.35964721490559398</v>
      </c>
      <c r="AE10" s="14">
        <v>0.29108977524656698</v>
      </c>
      <c r="AF10" s="14">
        <v>0.230695507080456</v>
      </c>
      <c r="AG10" s="14">
        <v>0.25492776892257002</v>
      </c>
      <c r="AH10" s="14"/>
      <c r="AI10" s="14">
        <v>0.32324895694948003</v>
      </c>
      <c r="AJ10" s="14">
        <v>0.30180460114406399</v>
      </c>
      <c r="AK10" s="14">
        <v>0.306419229808503</v>
      </c>
      <c r="AL10" s="14">
        <v>0.326589264680689</v>
      </c>
      <c r="AM10" s="14">
        <v>0.26049402832395502</v>
      </c>
      <c r="AN10" s="14">
        <v>0.25278749953132901</v>
      </c>
      <c r="AO10" s="14"/>
      <c r="AP10" s="14">
        <v>0.31852704237644303</v>
      </c>
      <c r="AQ10" s="14">
        <v>0.29438480536703898</v>
      </c>
      <c r="AR10" s="14"/>
      <c r="AS10" s="14">
        <v>0.30938069276948899</v>
      </c>
      <c r="AT10" s="14">
        <v>0.30305638248938599</v>
      </c>
      <c r="AU10" s="14">
        <v>0.30705847966293698</v>
      </c>
      <c r="AV10" s="14"/>
      <c r="AW10" s="14">
        <v>0.31393568375163</v>
      </c>
      <c r="AX10" s="14">
        <v>0.25088729376784102</v>
      </c>
      <c r="AY10" s="14"/>
      <c r="AZ10" s="14">
        <v>0.30807161260299998</v>
      </c>
      <c r="BA10" s="14">
        <v>0.30541298489319602</v>
      </c>
    </row>
    <row r="11" spans="2:53" x14ac:dyDescent="0.35">
      <c r="B11" s="15" t="s">
        <v>78</v>
      </c>
      <c r="C11" s="14">
        <v>2.8543741859087299E-2</v>
      </c>
      <c r="D11" s="14">
        <v>3.2760743267347799E-2</v>
      </c>
      <c r="E11" s="14">
        <v>2.43510421246474E-2</v>
      </c>
      <c r="F11" s="14"/>
      <c r="G11" s="14">
        <v>0</v>
      </c>
      <c r="H11" s="14">
        <v>4.51440134139715E-2</v>
      </c>
      <c r="I11" s="14">
        <v>1.2235608919593501E-2</v>
      </c>
      <c r="J11" s="14">
        <v>3.0551958938339199E-2</v>
      </c>
      <c r="K11" s="14">
        <v>5.1090612843506897E-2</v>
      </c>
      <c r="L11" s="14">
        <v>0.167829433402304</v>
      </c>
      <c r="M11" s="14"/>
      <c r="N11" s="14">
        <v>9.5098488032633894E-3</v>
      </c>
      <c r="O11" s="14">
        <v>1.6114334387663701E-2</v>
      </c>
      <c r="P11" s="14">
        <v>4.4045671249132098E-2</v>
      </c>
      <c r="Q11" s="14">
        <v>4.8701928630643702E-2</v>
      </c>
      <c r="R11" s="14"/>
      <c r="S11" s="14">
        <v>2.2010520410738199E-2</v>
      </c>
      <c r="T11" s="14">
        <v>2.5048759994181598E-2</v>
      </c>
      <c r="U11" s="14">
        <v>7.22045593911188E-3</v>
      </c>
      <c r="V11" s="14">
        <v>1.2647464915833601E-2</v>
      </c>
      <c r="W11" s="14">
        <v>5.3187816606937298E-2</v>
      </c>
      <c r="X11" s="14">
        <v>5.3700973034399198E-2</v>
      </c>
      <c r="Y11" s="14">
        <v>3.01991904304168E-2</v>
      </c>
      <c r="Z11" s="14">
        <v>5.84239513975707E-2</v>
      </c>
      <c r="AA11" s="14">
        <v>2.1525318948528199E-2</v>
      </c>
      <c r="AB11" s="14"/>
      <c r="AC11" s="14">
        <v>4.0674495218623499E-2</v>
      </c>
      <c r="AD11" s="14">
        <v>2.8533591605744299E-2</v>
      </c>
      <c r="AE11" s="14">
        <v>1.74784511910882E-2</v>
      </c>
      <c r="AF11" s="14">
        <v>2.1129553736493199E-2</v>
      </c>
      <c r="AG11" s="14">
        <v>1.11647331563717E-2</v>
      </c>
      <c r="AH11" s="14"/>
      <c r="AI11" s="14">
        <v>2.8929438487946098E-2</v>
      </c>
      <c r="AJ11" s="14">
        <v>2.8709300521226201E-2</v>
      </c>
      <c r="AK11" s="14">
        <v>2.0613066870749E-2</v>
      </c>
      <c r="AL11" s="14">
        <v>3.9804724982721702E-2</v>
      </c>
      <c r="AM11" s="14">
        <v>2.1526852277006101E-2</v>
      </c>
      <c r="AN11" s="14">
        <v>1.4529301025164899E-2</v>
      </c>
      <c r="AO11" s="14"/>
      <c r="AP11" s="14">
        <v>2.71470268894781E-2</v>
      </c>
      <c r="AQ11" s="14">
        <v>3.0207231722265099E-2</v>
      </c>
      <c r="AR11" s="14"/>
      <c r="AS11" s="14">
        <v>1.5407156430089299E-2</v>
      </c>
      <c r="AT11" s="14">
        <v>3.49964352886439E-2</v>
      </c>
      <c r="AU11" s="14">
        <v>3.01712244748168E-2</v>
      </c>
      <c r="AV11" s="14"/>
      <c r="AW11" s="14">
        <v>2.24528428228132E-2</v>
      </c>
      <c r="AX11" s="14">
        <v>3.4225342754251098E-2</v>
      </c>
      <c r="AY11" s="14"/>
      <c r="AZ11" s="14">
        <v>3.1520518977121798E-2</v>
      </c>
      <c r="BA11" s="14">
        <v>1.28622887497739E-2</v>
      </c>
    </row>
    <row r="12" spans="2:53" x14ac:dyDescent="0.35">
      <c r="B12" s="15" t="s">
        <v>79</v>
      </c>
      <c r="C12" s="14">
        <v>5.0095121508024103E-3</v>
      </c>
      <c r="D12" s="14">
        <v>8.8041415102563005E-3</v>
      </c>
      <c r="E12" s="14">
        <v>1.2167054163372E-3</v>
      </c>
      <c r="F12" s="14"/>
      <c r="G12" s="14">
        <v>0</v>
      </c>
      <c r="H12" s="14">
        <v>8.0107947947924401E-3</v>
      </c>
      <c r="I12" s="14">
        <v>8.72868637108167E-3</v>
      </c>
      <c r="J12" s="14">
        <v>0</v>
      </c>
      <c r="K12" s="14">
        <v>0</v>
      </c>
      <c r="L12" s="14">
        <v>0</v>
      </c>
      <c r="M12" s="14"/>
      <c r="N12" s="14">
        <v>4.9467229294974902E-4</v>
      </c>
      <c r="O12" s="14">
        <v>5.5995896213693903E-3</v>
      </c>
      <c r="P12" s="14">
        <v>1.56155063023449E-2</v>
      </c>
      <c r="Q12" s="14">
        <v>0</v>
      </c>
      <c r="R12" s="14"/>
      <c r="S12" s="14">
        <v>6.0732349230513301E-3</v>
      </c>
      <c r="T12" s="14">
        <v>4.3758886069926797E-3</v>
      </c>
      <c r="U12" s="14">
        <v>0</v>
      </c>
      <c r="V12" s="14">
        <v>1.6511392170099198E-2</v>
      </c>
      <c r="W12" s="14">
        <v>6.7480483796308497E-3</v>
      </c>
      <c r="X12" s="14">
        <v>7.8166560070366906E-3</v>
      </c>
      <c r="Y12" s="14">
        <v>1.3285906422094199E-3</v>
      </c>
      <c r="Z12" s="14">
        <v>0</v>
      </c>
      <c r="AA12" s="14">
        <v>0</v>
      </c>
      <c r="AB12" s="14"/>
      <c r="AC12" s="14">
        <v>6.9637467119420798E-3</v>
      </c>
      <c r="AD12" s="14">
        <v>4.9842217829073202E-3</v>
      </c>
      <c r="AE12" s="14">
        <v>5.7526858604166897E-3</v>
      </c>
      <c r="AF12" s="14">
        <v>8.8789540345220305E-4</v>
      </c>
      <c r="AG12" s="14">
        <v>0</v>
      </c>
      <c r="AH12" s="14"/>
      <c r="AI12" s="14">
        <v>2.6116018833735799E-3</v>
      </c>
      <c r="AJ12" s="14">
        <v>1.1476055744268901E-2</v>
      </c>
      <c r="AK12" s="14">
        <v>7.7875574244218896E-3</v>
      </c>
      <c r="AL12" s="14">
        <v>8.8277498338068892E-3</v>
      </c>
      <c r="AM12" s="14">
        <v>0</v>
      </c>
      <c r="AN12" s="14">
        <v>0</v>
      </c>
      <c r="AO12" s="14"/>
      <c r="AP12" s="14">
        <v>4.9911613140888201E-3</v>
      </c>
      <c r="AQ12" s="14">
        <v>5.0463038853381997E-3</v>
      </c>
      <c r="AR12" s="14"/>
      <c r="AS12" s="14">
        <v>1.0554531287642799E-2</v>
      </c>
      <c r="AT12" s="14">
        <v>9.2818009479282496E-3</v>
      </c>
      <c r="AU12" s="14">
        <v>2.2538588381493798E-3</v>
      </c>
      <c r="AV12" s="14"/>
      <c r="AW12" s="14">
        <v>3.1505885936146099E-3</v>
      </c>
      <c r="AX12" s="14">
        <v>1.23382531902358E-2</v>
      </c>
      <c r="AY12" s="14"/>
      <c r="AZ12" s="14">
        <v>6.38127880300857E-3</v>
      </c>
      <c r="BA12" s="14">
        <v>0</v>
      </c>
    </row>
    <row r="13" spans="2:53" x14ac:dyDescent="0.35">
      <c r="B13" s="15" t="s">
        <v>80</v>
      </c>
      <c r="C13" s="18">
        <v>1.37099710701186E-3</v>
      </c>
      <c r="D13" s="18">
        <v>3.89627836273248E-4</v>
      </c>
      <c r="E13" s="18">
        <v>2.3544802779278599E-3</v>
      </c>
      <c r="F13" s="18"/>
      <c r="G13" s="18">
        <v>0</v>
      </c>
      <c r="H13" s="18">
        <v>4.3526701500940599E-3</v>
      </c>
      <c r="I13" s="18">
        <v>1.2037965771009599E-3</v>
      </c>
      <c r="J13" s="18">
        <v>0</v>
      </c>
      <c r="K13" s="18">
        <v>2.11348827408793E-3</v>
      </c>
      <c r="L13" s="18">
        <v>0</v>
      </c>
      <c r="M13" s="18"/>
      <c r="N13" s="18">
        <v>7.2348307492284703E-4</v>
      </c>
      <c r="O13" s="18">
        <v>0</v>
      </c>
      <c r="P13" s="18">
        <v>2.9648984312212199E-3</v>
      </c>
      <c r="Q13" s="18">
        <v>2.10825914135932E-3</v>
      </c>
      <c r="R13" s="18"/>
      <c r="S13" s="18">
        <v>0</v>
      </c>
      <c r="T13" s="18">
        <v>0</v>
      </c>
      <c r="U13" s="18">
        <v>1.9431687209972199E-3</v>
      </c>
      <c r="V13" s="18">
        <v>5.9160240069183103E-3</v>
      </c>
      <c r="W13" s="18">
        <v>0</v>
      </c>
      <c r="X13" s="18">
        <v>5.2446881107329297E-3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3.04723514512905E-3</v>
      </c>
      <c r="AE13" s="18">
        <v>0</v>
      </c>
      <c r="AF13" s="18">
        <v>1.2985916249097799E-3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1.26513560935166E-3</v>
      </c>
      <c r="AM13" s="18">
        <v>0</v>
      </c>
      <c r="AN13" s="18">
        <v>0</v>
      </c>
      <c r="AO13" s="18"/>
      <c r="AP13" s="18">
        <v>3.6848699722024497E-4</v>
      </c>
      <c r="AQ13" s="18">
        <v>2.5033799216069401E-3</v>
      </c>
      <c r="AR13" s="18"/>
      <c r="AS13" s="18">
        <v>3.78168356951394E-3</v>
      </c>
      <c r="AT13" s="18">
        <v>0</v>
      </c>
      <c r="AU13" s="18">
        <v>1.12759460726424E-3</v>
      </c>
      <c r="AV13" s="18"/>
      <c r="AW13" s="18">
        <v>1.1247443978030501E-3</v>
      </c>
      <c r="AX13" s="18">
        <v>0</v>
      </c>
      <c r="AY13" s="18"/>
      <c r="AZ13" s="18">
        <v>2.4813921276486798E-4</v>
      </c>
      <c r="BA13" s="18">
        <v>0</v>
      </c>
    </row>
    <row r="14" spans="2:53" x14ac:dyDescent="0.35">
      <c r="B14" s="26" t="s">
        <v>81</v>
      </c>
      <c r="C14" s="27">
        <v>0.96507574888309799</v>
      </c>
      <c r="D14" s="27">
        <v>0.95804548738612305</v>
      </c>
      <c r="E14" s="27">
        <v>0.97207777218108804</v>
      </c>
      <c r="F14" s="27"/>
      <c r="G14" s="27">
        <v>1</v>
      </c>
      <c r="H14" s="27">
        <v>0.94249252164114194</v>
      </c>
      <c r="I14" s="27">
        <v>0.97783190813222398</v>
      </c>
      <c r="J14" s="27">
        <v>0.96944804106166105</v>
      </c>
      <c r="K14" s="27">
        <v>0.94679589888240501</v>
      </c>
      <c r="L14" s="27">
        <v>0.83217056659769595</v>
      </c>
      <c r="M14" s="27"/>
      <c r="N14" s="27">
        <v>0.98927199582886405</v>
      </c>
      <c r="O14" s="27">
        <v>0.97828607599096695</v>
      </c>
      <c r="P14" s="27">
        <v>0.93737392401730202</v>
      </c>
      <c r="Q14" s="27">
        <v>0.94918981222799703</v>
      </c>
      <c r="R14" s="27"/>
      <c r="S14" s="27">
        <v>0.97191624466621096</v>
      </c>
      <c r="T14" s="27">
        <v>0.970575351398826</v>
      </c>
      <c r="U14" s="27">
        <v>0.990836375339891</v>
      </c>
      <c r="V14" s="27">
        <v>0.96492511890714905</v>
      </c>
      <c r="W14" s="27">
        <v>0.940064135013432</v>
      </c>
      <c r="X14" s="27">
        <v>0.93323768284783104</v>
      </c>
      <c r="Y14" s="27">
        <v>0.96847221892737401</v>
      </c>
      <c r="Z14" s="27">
        <v>0.94157604860242905</v>
      </c>
      <c r="AA14" s="27">
        <v>0.97847468105147195</v>
      </c>
      <c r="AB14" s="27"/>
      <c r="AC14" s="27">
        <v>0.95236175806943502</v>
      </c>
      <c r="AD14" s="27">
        <v>0.96343495146621905</v>
      </c>
      <c r="AE14" s="27">
        <v>0.97676886294849496</v>
      </c>
      <c r="AF14" s="27">
        <v>0.97668395923514495</v>
      </c>
      <c r="AG14" s="27">
        <v>0.98883526684362799</v>
      </c>
      <c r="AH14" s="27"/>
      <c r="AI14" s="27">
        <v>0.96845895962868001</v>
      </c>
      <c r="AJ14" s="27">
        <v>0.95981464373450498</v>
      </c>
      <c r="AK14" s="27">
        <v>0.97159937570482902</v>
      </c>
      <c r="AL14" s="27">
        <v>0.95010238957411997</v>
      </c>
      <c r="AM14" s="27">
        <v>0.97847314772299399</v>
      </c>
      <c r="AN14" s="27">
        <v>0.98547069897483497</v>
      </c>
      <c r="AO14" s="27"/>
      <c r="AP14" s="27">
        <v>0.96749332479921302</v>
      </c>
      <c r="AQ14" s="27">
        <v>0.96224308447078999</v>
      </c>
      <c r="AR14" s="27"/>
      <c r="AS14" s="27">
        <v>0.97025662871275398</v>
      </c>
      <c r="AT14" s="27">
        <v>0.95572176376342799</v>
      </c>
      <c r="AU14" s="27">
        <v>0.96644732207977002</v>
      </c>
      <c r="AV14" s="27"/>
      <c r="AW14" s="27">
        <v>0.97327182418576896</v>
      </c>
      <c r="AX14" s="27">
        <v>0.953436404055513</v>
      </c>
      <c r="AY14" s="27"/>
      <c r="AZ14" s="27">
        <v>0.96185006300710496</v>
      </c>
      <c r="BA14" s="27">
        <v>0.98713771125022598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BA19"/>
  <sheetViews>
    <sheetView showGridLines="0" workbookViewId="0">
      <pane xSplit="2" topLeftCell="C1" activePane="topRight" state="frozen"/>
      <selection activeCell="BE12" sqref="BE12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130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0.72926926219004995</v>
      </c>
      <c r="D9" s="14">
        <v>0.71182676186934202</v>
      </c>
      <c r="E9" s="14">
        <v>0.74743274654539305</v>
      </c>
      <c r="F9" s="14"/>
      <c r="G9" s="14">
        <v>0.32280996918382798</v>
      </c>
      <c r="H9" s="14">
        <v>0.71381869248118601</v>
      </c>
      <c r="I9" s="14">
        <v>0.71801626699641297</v>
      </c>
      <c r="J9" s="14">
        <v>0.74472902330458401</v>
      </c>
      <c r="K9" s="14">
        <v>0.78815832478746695</v>
      </c>
      <c r="L9" s="14">
        <v>0.68459630571836305</v>
      </c>
      <c r="M9" s="14"/>
      <c r="N9" s="14">
        <v>0.75899478308995705</v>
      </c>
      <c r="O9" s="14">
        <v>0.75728806642482804</v>
      </c>
      <c r="P9" s="14">
        <v>0.69479480154093898</v>
      </c>
      <c r="Q9" s="14">
        <v>0.69713401936203701</v>
      </c>
      <c r="R9" s="14"/>
      <c r="S9" s="14">
        <v>0.75780178022675404</v>
      </c>
      <c r="T9" s="14">
        <v>0.78746035604379505</v>
      </c>
      <c r="U9" s="14">
        <v>0.74860122473990998</v>
      </c>
      <c r="V9" s="14">
        <v>0.69711814040456099</v>
      </c>
      <c r="W9" s="14">
        <v>0.72722715281944905</v>
      </c>
      <c r="X9" s="14">
        <v>0.70112019439548801</v>
      </c>
      <c r="Y9" s="14">
        <v>0.69520822377636005</v>
      </c>
      <c r="Z9" s="14">
        <v>0.65662068957384101</v>
      </c>
      <c r="AA9" s="14">
        <v>0.71218887001561204</v>
      </c>
      <c r="AB9" s="14"/>
      <c r="AC9" s="14">
        <v>0.70065368792236105</v>
      </c>
      <c r="AD9" s="14">
        <v>0.68869365223749701</v>
      </c>
      <c r="AE9" s="14">
        <v>0.77418776665440003</v>
      </c>
      <c r="AF9" s="14">
        <v>0.768912466364291</v>
      </c>
      <c r="AG9" s="14">
        <v>0.79825819839243195</v>
      </c>
      <c r="AH9" s="14"/>
      <c r="AI9" s="14">
        <v>0.72726024651566401</v>
      </c>
      <c r="AJ9" s="14">
        <v>0.74360519601916297</v>
      </c>
      <c r="AK9" s="14">
        <v>0.67495281076139502</v>
      </c>
      <c r="AL9" s="14">
        <v>0.69296179604775798</v>
      </c>
      <c r="AM9" s="14">
        <v>0.76347136695880002</v>
      </c>
      <c r="AN9" s="14">
        <v>0.833235302513467</v>
      </c>
      <c r="AO9" s="14"/>
      <c r="AP9" s="14">
        <v>0.73174863288287495</v>
      </c>
      <c r="AQ9" s="14">
        <v>0.72627392886634801</v>
      </c>
      <c r="AR9" s="14"/>
      <c r="AS9" s="14">
        <v>0.73587127155119803</v>
      </c>
      <c r="AT9" s="14">
        <v>0.76634593501634296</v>
      </c>
      <c r="AU9" s="14">
        <v>0.71652903673467205</v>
      </c>
      <c r="AV9" s="14"/>
      <c r="AW9" s="14">
        <v>0.74138145870868499</v>
      </c>
      <c r="AX9" s="14">
        <v>0.76526475632782798</v>
      </c>
      <c r="AY9" s="14"/>
      <c r="AZ9" s="14">
        <v>0.72684406464787199</v>
      </c>
      <c r="BA9" s="14">
        <v>0.74326923376314602</v>
      </c>
    </row>
    <row r="10" spans="2:53" x14ac:dyDescent="0.35">
      <c r="B10" s="15" t="s">
        <v>77</v>
      </c>
      <c r="C10" s="14">
        <v>0.243793043086906</v>
      </c>
      <c r="D10" s="14">
        <v>0.25823298095701103</v>
      </c>
      <c r="E10" s="14">
        <v>0.22957791998171001</v>
      </c>
      <c r="F10" s="14"/>
      <c r="G10" s="14">
        <v>0.49591043723416001</v>
      </c>
      <c r="H10" s="14">
        <v>0.239372047718131</v>
      </c>
      <c r="I10" s="14">
        <v>0.25261821910761101</v>
      </c>
      <c r="J10" s="14">
        <v>0.24323496228950001</v>
      </c>
      <c r="K10" s="14">
        <v>0.18974500843091099</v>
      </c>
      <c r="L10" s="14">
        <v>0.28352330060403003</v>
      </c>
      <c r="M10" s="14"/>
      <c r="N10" s="14">
        <v>0.22341447378981399</v>
      </c>
      <c r="O10" s="14">
        <v>0.21983022328541901</v>
      </c>
      <c r="P10" s="14">
        <v>0.26848366792870598</v>
      </c>
      <c r="Q10" s="14">
        <v>0.26991584826574799</v>
      </c>
      <c r="R10" s="14"/>
      <c r="S10" s="14">
        <v>0.21542077701826701</v>
      </c>
      <c r="T10" s="14">
        <v>0.17819724084201499</v>
      </c>
      <c r="U10" s="14">
        <v>0.21842264374678499</v>
      </c>
      <c r="V10" s="14">
        <v>0.26009350467431602</v>
      </c>
      <c r="W10" s="14">
        <v>0.25518020339793501</v>
      </c>
      <c r="X10" s="14">
        <v>0.27437209017839598</v>
      </c>
      <c r="Y10" s="14">
        <v>0.29272142692766601</v>
      </c>
      <c r="Z10" s="14">
        <v>0.33436201925749798</v>
      </c>
      <c r="AA10" s="14">
        <v>0.26115047024349902</v>
      </c>
      <c r="AB10" s="14"/>
      <c r="AC10" s="14">
        <v>0.273483744359165</v>
      </c>
      <c r="AD10" s="14">
        <v>0.292872872222319</v>
      </c>
      <c r="AE10" s="14">
        <v>0.203395376343803</v>
      </c>
      <c r="AF10" s="14">
        <v>0.197875156087158</v>
      </c>
      <c r="AG10" s="14">
        <v>0.19105219608326399</v>
      </c>
      <c r="AH10" s="14"/>
      <c r="AI10" s="14">
        <v>0.25244622500746999</v>
      </c>
      <c r="AJ10" s="14">
        <v>0.22049952027904199</v>
      </c>
      <c r="AK10" s="14">
        <v>0.274643322778164</v>
      </c>
      <c r="AL10" s="14">
        <v>0.28310353280928702</v>
      </c>
      <c r="AM10" s="14">
        <v>0.23461987905784201</v>
      </c>
      <c r="AN10" s="14">
        <v>0.138667854311714</v>
      </c>
      <c r="AO10" s="14"/>
      <c r="AP10" s="14">
        <v>0.241727824722894</v>
      </c>
      <c r="AQ10" s="14">
        <v>0.24623558317350999</v>
      </c>
      <c r="AR10" s="14"/>
      <c r="AS10" s="14">
        <v>0.22998926188351401</v>
      </c>
      <c r="AT10" s="14">
        <v>0.20695601843322001</v>
      </c>
      <c r="AU10" s="14">
        <v>0.25840065362234999</v>
      </c>
      <c r="AV10" s="14"/>
      <c r="AW10" s="14">
        <v>0.23606675837962299</v>
      </c>
      <c r="AX10" s="14">
        <v>0.208141291807767</v>
      </c>
      <c r="AY10" s="14"/>
      <c r="AZ10" s="14">
        <v>0.24698732347112701</v>
      </c>
      <c r="BA10" s="14">
        <v>0.23194562396803001</v>
      </c>
    </row>
    <row r="11" spans="2:53" x14ac:dyDescent="0.35">
      <c r="B11" s="15" t="s">
        <v>78</v>
      </c>
      <c r="C11" s="14">
        <v>1.9881038615383199E-2</v>
      </c>
      <c r="D11" s="14">
        <v>2.42992728226279E-2</v>
      </c>
      <c r="E11" s="14">
        <v>1.54785465611225E-2</v>
      </c>
      <c r="F11" s="14"/>
      <c r="G11" s="14">
        <v>0.18127959358201301</v>
      </c>
      <c r="H11" s="14">
        <v>4.2456589650589301E-2</v>
      </c>
      <c r="I11" s="14">
        <v>1.93612280459401E-2</v>
      </c>
      <c r="J11" s="14">
        <v>1.20360144059158E-2</v>
      </c>
      <c r="K11" s="14">
        <v>0</v>
      </c>
      <c r="L11" s="14">
        <v>3.1880393677607102E-2</v>
      </c>
      <c r="M11" s="14"/>
      <c r="N11" s="14">
        <v>1.7590743120228701E-2</v>
      </c>
      <c r="O11" s="14">
        <v>2.2881710289752201E-2</v>
      </c>
      <c r="P11" s="14">
        <v>2.5334896327692501E-2</v>
      </c>
      <c r="Q11" s="14">
        <v>1.46708126230355E-2</v>
      </c>
      <c r="R11" s="14"/>
      <c r="S11" s="14">
        <v>2.3129295019777101E-2</v>
      </c>
      <c r="T11" s="14">
        <v>2.5224766175963701E-2</v>
      </c>
      <c r="U11" s="14">
        <v>2.49110097679715E-2</v>
      </c>
      <c r="V11" s="14">
        <v>2.0703143849272E-2</v>
      </c>
      <c r="W11" s="14">
        <v>1.7592643782615901E-2</v>
      </c>
      <c r="X11" s="14">
        <v>6.7509632461309702E-3</v>
      </c>
      <c r="Y11" s="14">
        <v>1.2070349295974E-2</v>
      </c>
      <c r="Z11" s="14">
        <v>9.0172911686618E-3</v>
      </c>
      <c r="AA11" s="14">
        <v>2.6660659740888701E-2</v>
      </c>
      <c r="AB11" s="14"/>
      <c r="AC11" s="14">
        <v>1.3314127145114599E-2</v>
      </c>
      <c r="AD11" s="14">
        <v>1.5386240395055499E-2</v>
      </c>
      <c r="AE11" s="14">
        <v>2.07480813415706E-2</v>
      </c>
      <c r="AF11" s="14">
        <v>3.32123775485514E-2</v>
      </c>
      <c r="AG11" s="14">
        <v>1.06896055243042E-2</v>
      </c>
      <c r="AH11" s="14"/>
      <c r="AI11" s="14">
        <v>1.4223244100457499E-2</v>
      </c>
      <c r="AJ11" s="14">
        <v>3.5895283701795101E-2</v>
      </c>
      <c r="AK11" s="14">
        <v>3.9571112800739799E-2</v>
      </c>
      <c r="AL11" s="14">
        <v>1.8845272619225199E-2</v>
      </c>
      <c r="AM11" s="14">
        <v>1.90875398335777E-3</v>
      </c>
      <c r="AN11" s="14">
        <v>7.5744500482331899E-3</v>
      </c>
      <c r="AO11" s="14"/>
      <c r="AP11" s="14">
        <v>2.16716462558126E-2</v>
      </c>
      <c r="AQ11" s="14">
        <v>1.7930425870441399E-2</v>
      </c>
      <c r="AR11" s="14"/>
      <c r="AS11" s="14">
        <v>3.0357782995774098E-2</v>
      </c>
      <c r="AT11" s="14">
        <v>2.25510336186979E-2</v>
      </c>
      <c r="AU11" s="14">
        <v>1.6271876691850401E-2</v>
      </c>
      <c r="AV11" s="14"/>
      <c r="AW11" s="14">
        <v>1.80449440314541E-2</v>
      </c>
      <c r="AX11" s="14">
        <v>2.3058651931947199E-2</v>
      </c>
      <c r="AY11" s="14"/>
      <c r="AZ11" s="14">
        <v>2.1959128865409999E-2</v>
      </c>
      <c r="BA11" s="14">
        <v>1.25505711939884E-2</v>
      </c>
    </row>
    <row r="12" spans="2:53" x14ac:dyDescent="0.35">
      <c r="B12" s="15" t="s">
        <v>79</v>
      </c>
      <c r="C12" s="14">
        <v>3.3045815683931299E-3</v>
      </c>
      <c r="D12" s="14">
        <v>5.6409843510190497E-3</v>
      </c>
      <c r="E12" s="14">
        <v>0</v>
      </c>
      <c r="F12" s="14"/>
      <c r="G12" s="14">
        <v>0</v>
      </c>
      <c r="H12" s="14">
        <v>0</v>
      </c>
      <c r="I12" s="14">
        <v>2.9030062996116199E-3</v>
      </c>
      <c r="J12" s="14">
        <v>0</v>
      </c>
      <c r="K12" s="14">
        <v>2.2096666781622198E-2</v>
      </c>
      <c r="L12" s="14">
        <v>0</v>
      </c>
      <c r="M12" s="14"/>
      <c r="N12" s="14">
        <v>0</v>
      </c>
      <c r="O12" s="14">
        <v>0</v>
      </c>
      <c r="P12" s="14">
        <v>8.4217357714418701E-3</v>
      </c>
      <c r="Q12" s="14">
        <v>5.8425527635278997E-3</v>
      </c>
      <c r="R12" s="14"/>
      <c r="S12" s="14">
        <v>0</v>
      </c>
      <c r="T12" s="14">
        <v>9.1176369382260907E-3</v>
      </c>
      <c r="U12" s="14">
        <v>0</v>
      </c>
      <c r="V12" s="14">
        <v>9.67656722213215E-3</v>
      </c>
      <c r="W12" s="14">
        <v>0</v>
      </c>
      <c r="X12" s="14">
        <v>7.8166560070366906E-3</v>
      </c>
      <c r="Y12" s="14">
        <v>0</v>
      </c>
      <c r="Z12" s="14">
        <v>0</v>
      </c>
      <c r="AA12" s="14">
        <v>0</v>
      </c>
      <c r="AB12" s="14"/>
      <c r="AC12" s="14">
        <v>1.01926269614995E-2</v>
      </c>
      <c r="AD12" s="14">
        <v>0</v>
      </c>
      <c r="AE12" s="14">
        <v>1.6687756602267599E-3</v>
      </c>
      <c r="AF12" s="14">
        <v>0</v>
      </c>
      <c r="AG12" s="14">
        <v>0</v>
      </c>
      <c r="AH12" s="14"/>
      <c r="AI12" s="14">
        <v>4.4100342541726597E-3</v>
      </c>
      <c r="AJ12" s="14">
        <v>0</v>
      </c>
      <c r="AK12" s="14">
        <v>1.08327536597019E-2</v>
      </c>
      <c r="AL12" s="14">
        <v>5.0893985237300196E-3</v>
      </c>
      <c r="AM12" s="14">
        <v>0</v>
      </c>
      <c r="AN12" s="14">
        <v>0</v>
      </c>
      <c r="AO12" s="14"/>
      <c r="AP12" s="14">
        <v>3.3224908623661598E-3</v>
      </c>
      <c r="AQ12" s="14">
        <v>3.2950809853134599E-3</v>
      </c>
      <c r="AR12" s="14"/>
      <c r="AS12" s="14">
        <v>0</v>
      </c>
      <c r="AT12" s="14">
        <v>4.1470129317397299E-3</v>
      </c>
      <c r="AU12" s="14">
        <v>3.9448567658284398E-3</v>
      </c>
      <c r="AV12" s="14"/>
      <c r="AW12" s="14">
        <v>1.9390088374412499E-3</v>
      </c>
      <c r="AX12" s="14">
        <v>0</v>
      </c>
      <c r="AY12" s="14"/>
      <c r="AZ12" s="14">
        <v>4.2094830155910796E-3</v>
      </c>
      <c r="BA12" s="14">
        <v>0</v>
      </c>
    </row>
    <row r="13" spans="2:53" x14ac:dyDescent="0.35">
      <c r="B13" s="15" t="s">
        <v>80</v>
      </c>
      <c r="C13" s="18">
        <v>3.7520745392678099E-3</v>
      </c>
      <c r="D13" s="18">
        <v>0</v>
      </c>
      <c r="E13" s="18">
        <v>7.5107869117750602E-3</v>
      </c>
      <c r="F13" s="18"/>
      <c r="G13" s="18">
        <v>0</v>
      </c>
      <c r="H13" s="18">
        <v>4.3526701500940599E-3</v>
      </c>
      <c r="I13" s="18">
        <v>7.1012795504242802E-3</v>
      </c>
      <c r="J13" s="18">
        <v>0</v>
      </c>
      <c r="K13" s="18">
        <v>0</v>
      </c>
      <c r="L13" s="18">
        <v>0</v>
      </c>
      <c r="M13" s="18"/>
      <c r="N13" s="18">
        <v>0</v>
      </c>
      <c r="O13" s="18">
        <v>0</v>
      </c>
      <c r="P13" s="18">
        <v>2.9648984312212199E-3</v>
      </c>
      <c r="Q13" s="18">
        <v>1.2436766985651999E-2</v>
      </c>
      <c r="R13" s="18"/>
      <c r="S13" s="18">
        <v>3.6481477352014501E-3</v>
      </c>
      <c r="T13" s="18">
        <v>0</v>
      </c>
      <c r="U13" s="18">
        <v>8.0651217453341292E-3</v>
      </c>
      <c r="V13" s="18">
        <v>1.24086438497189E-2</v>
      </c>
      <c r="W13" s="18">
        <v>0</v>
      </c>
      <c r="X13" s="18">
        <v>9.9400961729480108E-3</v>
      </c>
      <c r="Y13" s="18">
        <v>0</v>
      </c>
      <c r="Z13" s="18">
        <v>0</v>
      </c>
      <c r="AA13" s="18">
        <v>0</v>
      </c>
      <c r="AB13" s="18"/>
      <c r="AC13" s="18">
        <v>2.35581361186005E-3</v>
      </c>
      <c r="AD13" s="18">
        <v>3.04723514512905E-3</v>
      </c>
      <c r="AE13" s="18">
        <v>0</v>
      </c>
      <c r="AF13" s="18">
        <v>0</v>
      </c>
      <c r="AG13" s="18">
        <v>0</v>
      </c>
      <c r="AH13" s="18"/>
      <c r="AI13" s="18">
        <v>1.6602501222362099E-3</v>
      </c>
      <c r="AJ13" s="18">
        <v>0</v>
      </c>
      <c r="AK13" s="18">
        <v>0</v>
      </c>
      <c r="AL13" s="18">
        <v>0</v>
      </c>
      <c r="AM13" s="18">
        <v>0</v>
      </c>
      <c r="AN13" s="18">
        <v>2.0522393126585801E-2</v>
      </c>
      <c r="AO13" s="18"/>
      <c r="AP13" s="18">
        <v>1.52940527605278E-3</v>
      </c>
      <c r="AQ13" s="18">
        <v>6.26498110438791E-3</v>
      </c>
      <c r="AR13" s="18"/>
      <c r="AS13" s="18">
        <v>3.78168356951394E-3</v>
      </c>
      <c r="AT13" s="18">
        <v>0</v>
      </c>
      <c r="AU13" s="18">
        <v>4.8535761852995301E-3</v>
      </c>
      <c r="AV13" s="18"/>
      <c r="AW13" s="18">
        <v>2.5678300427968599E-3</v>
      </c>
      <c r="AX13" s="18">
        <v>3.53529993245738E-3</v>
      </c>
      <c r="AY13" s="18"/>
      <c r="AZ13" s="18">
        <v>0</v>
      </c>
      <c r="BA13" s="18">
        <v>1.22345710748351E-2</v>
      </c>
    </row>
    <row r="14" spans="2:53" x14ac:dyDescent="0.35">
      <c r="B14" s="26" t="s">
        <v>81</v>
      </c>
      <c r="C14" s="27">
        <v>0.97306230527695603</v>
      </c>
      <c r="D14" s="27">
        <v>0.97005974282635299</v>
      </c>
      <c r="E14" s="27">
        <v>0.977010666527103</v>
      </c>
      <c r="F14" s="27"/>
      <c r="G14" s="27">
        <v>0.81872040641798705</v>
      </c>
      <c r="H14" s="27">
        <v>0.95319074019931704</v>
      </c>
      <c r="I14" s="27">
        <v>0.97063448610402403</v>
      </c>
      <c r="J14" s="27">
        <v>0.98796398559408405</v>
      </c>
      <c r="K14" s="27">
        <v>0.97790333321837797</v>
      </c>
      <c r="L14" s="27">
        <v>0.96811960632239302</v>
      </c>
      <c r="M14" s="27"/>
      <c r="N14" s="27">
        <v>0.98240925687977099</v>
      </c>
      <c r="O14" s="27">
        <v>0.97711828971024794</v>
      </c>
      <c r="P14" s="27">
        <v>0.96327846946964402</v>
      </c>
      <c r="Q14" s="27">
        <v>0.967049867627785</v>
      </c>
      <c r="R14" s="27"/>
      <c r="S14" s="27">
        <v>0.97322255724502105</v>
      </c>
      <c r="T14" s="27">
        <v>0.96565759688580999</v>
      </c>
      <c r="U14" s="27">
        <v>0.96702386848669397</v>
      </c>
      <c r="V14" s="27">
        <v>0.95721164507887702</v>
      </c>
      <c r="W14" s="27">
        <v>0.98240735621738395</v>
      </c>
      <c r="X14" s="27">
        <v>0.97549228457388404</v>
      </c>
      <c r="Y14" s="27">
        <v>0.98792965070402605</v>
      </c>
      <c r="Z14" s="27">
        <v>0.99098270883133799</v>
      </c>
      <c r="AA14" s="27">
        <v>0.97333934025911095</v>
      </c>
      <c r="AB14" s="27"/>
      <c r="AC14" s="27">
        <v>0.97413743228152605</v>
      </c>
      <c r="AD14" s="27">
        <v>0.98156652445981596</v>
      </c>
      <c r="AE14" s="27">
        <v>0.97758314299820304</v>
      </c>
      <c r="AF14" s="27">
        <v>0.966787622451449</v>
      </c>
      <c r="AG14" s="27">
        <v>0.98931039447569602</v>
      </c>
      <c r="AH14" s="27"/>
      <c r="AI14" s="27">
        <v>0.97970647152313395</v>
      </c>
      <c r="AJ14" s="27">
        <v>0.96410471629820504</v>
      </c>
      <c r="AK14" s="27">
        <v>0.94959613353955796</v>
      </c>
      <c r="AL14" s="27">
        <v>0.976065328857045</v>
      </c>
      <c r="AM14" s="27">
        <v>0.99809124601664201</v>
      </c>
      <c r="AN14" s="27">
        <v>0.97190315682518102</v>
      </c>
      <c r="AO14" s="27"/>
      <c r="AP14" s="27">
        <v>0.97347645760576895</v>
      </c>
      <c r="AQ14" s="27">
        <v>0.97250951203985703</v>
      </c>
      <c r="AR14" s="27"/>
      <c r="AS14" s="27">
        <v>0.96586053343471201</v>
      </c>
      <c r="AT14" s="27">
        <v>0.97330195344956205</v>
      </c>
      <c r="AU14" s="27">
        <v>0.97492969035702204</v>
      </c>
      <c r="AV14" s="27"/>
      <c r="AW14" s="27">
        <v>0.97744821708830798</v>
      </c>
      <c r="AX14" s="27">
        <v>0.97340604813559495</v>
      </c>
      <c r="AY14" s="27"/>
      <c r="AZ14" s="27">
        <v>0.97383138811899905</v>
      </c>
      <c r="BA14" s="27">
        <v>0.975214857731177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BA19"/>
  <sheetViews>
    <sheetView showGridLines="0" workbookViewId="0">
      <pane xSplit="2" topLeftCell="C1" activePane="topRight" state="frozen"/>
      <selection activeCell="BE12" sqref="BE12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131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0.80529502199105396</v>
      </c>
      <c r="D9" s="14">
        <v>0.78079229547506701</v>
      </c>
      <c r="E9" s="14">
        <v>0.829628571493225</v>
      </c>
      <c r="F9" s="14"/>
      <c r="G9" s="14">
        <v>0.64706820608833504</v>
      </c>
      <c r="H9" s="14">
        <v>0.76018231273651704</v>
      </c>
      <c r="I9" s="14">
        <v>0.80330051874085495</v>
      </c>
      <c r="J9" s="14">
        <v>0.82890570288486998</v>
      </c>
      <c r="K9" s="14">
        <v>0.82895452656940305</v>
      </c>
      <c r="L9" s="14">
        <v>0.75068756426078698</v>
      </c>
      <c r="M9" s="14"/>
      <c r="N9" s="14">
        <v>0.83198679552009303</v>
      </c>
      <c r="O9" s="14">
        <v>0.83861583381492799</v>
      </c>
      <c r="P9" s="14">
        <v>0.74556230041857796</v>
      </c>
      <c r="Q9" s="14">
        <v>0.79468161879297206</v>
      </c>
      <c r="R9" s="14"/>
      <c r="S9" s="14">
        <v>0.79520890747707995</v>
      </c>
      <c r="T9" s="14">
        <v>0.81912720639209802</v>
      </c>
      <c r="U9" s="14">
        <v>0.84414835232055796</v>
      </c>
      <c r="V9" s="14">
        <v>0.80062547295132502</v>
      </c>
      <c r="W9" s="14">
        <v>0.81627445183923297</v>
      </c>
      <c r="X9" s="14">
        <v>0.76991960488478794</v>
      </c>
      <c r="Y9" s="14">
        <v>0.81614152241076598</v>
      </c>
      <c r="Z9" s="14">
        <v>0.75841768992377501</v>
      </c>
      <c r="AA9" s="14">
        <v>0.80396950173702098</v>
      </c>
      <c r="AB9" s="14"/>
      <c r="AC9" s="14">
        <v>0.79946404818230299</v>
      </c>
      <c r="AD9" s="14">
        <v>0.77391184429486704</v>
      </c>
      <c r="AE9" s="14">
        <v>0.82102483386468095</v>
      </c>
      <c r="AF9" s="14">
        <v>0.837830344121689</v>
      </c>
      <c r="AG9" s="14">
        <v>0.904505248822706</v>
      </c>
      <c r="AH9" s="14"/>
      <c r="AI9" s="14">
        <v>0.77613547322990195</v>
      </c>
      <c r="AJ9" s="14">
        <v>0.81364359408012399</v>
      </c>
      <c r="AK9" s="14">
        <v>0.77105285409898805</v>
      </c>
      <c r="AL9" s="14">
        <v>0.832752948329887</v>
      </c>
      <c r="AM9" s="14">
        <v>0.85843040007932903</v>
      </c>
      <c r="AN9" s="14">
        <v>0.86810041911318903</v>
      </c>
      <c r="AO9" s="14"/>
      <c r="AP9" s="14">
        <v>0.80524668039323899</v>
      </c>
      <c r="AQ9" s="14">
        <v>0.80727788079506502</v>
      </c>
      <c r="AR9" s="14"/>
      <c r="AS9" s="14">
        <v>0.80865602643712897</v>
      </c>
      <c r="AT9" s="14">
        <v>0.80703313925756304</v>
      </c>
      <c r="AU9" s="14">
        <v>0.80387650556128498</v>
      </c>
      <c r="AV9" s="14"/>
      <c r="AW9" s="14">
        <v>0.81172913800979996</v>
      </c>
      <c r="AX9" s="14">
        <v>0.80663513240601403</v>
      </c>
      <c r="AY9" s="14"/>
      <c r="AZ9" s="14">
        <v>0.79681030676308096</v>
      </c>
      <c r="BA9" s="14">
        <v>0.84576282883481402</v>
      </c>
    </row>
    <row r="10" spans="2:53" x14ac:dyDescent="0.35">
      <c r="B10" s="15" t="s">
        <v>77</v>
      </c>
      <c r="C10" s="14">
        <v>0.176714696883296</v>
      </c>
      <c r="D10" s="14">
        <v>0.198956166692904</v>
      </c>
      <c r="E10" s="14">
        <v>0.15462677034123301</v>
      </c>
      <c r="F10" s="14"/>
      <c r="G10" s="14">
        <v>0.171652200329653</v>
      </c>
      <c r="H10" s="14">
        <v>0.18474195425268899</v>
      </c>
      <c r="I10" s="14">
        <v>0.17943975696933001</v>
      </c>
      <c r="J10" s="14">
        <v>0.16694598591357801</v>
      </c>
      <c r="K10" s="14">
        <v>0.17104547343059701</v>
      </c>
      <c r="L10" s="14">
        <v>0.249312435739213</v>
      </c>
      <c r="M10" s="14"/>
      <c r="N10" s="14">
        <v>0.15304965421613001</v>
      </c>
      <c r="O10" s="14">
        <v>0.14903371288686301</v>
      </c>
      <c r="P10" s="14">
        <v>0.22725677847398101</v>
      </c>
      <c r="Q10" s="14">
        <v>0.18607615433915101</v>
      </c>
      <c r="R10" s="14"/>
      <c r="S10" s="14">
        <v>0.18591816585415399</v>
      </c>
      <c r="T10" s="14">
        <v>0.16164757254168499</v>
      </c>
      <c r="U10" s="14">
        <v>0.14356197287619399</v>
      </c>
      <c r="V10" s="14">
        <v>0.182217637873092</v>
      </c>
      <c r="W10" s="14">
        <v>0.150422952803</v>
      </c>
      <c r="X10" s="14">
        <v>0.20592865973846899</v>
      </c>
      <c r="Y10" s="14">
        <v>0.168562314579597</v>
      </c>
      <c r="Z10" s="14">
        <v>0.22581326122577999</v>
      </c>
      <c r="AA10" s="14">
        <v>0.18799042464278001</v>
      </c>
      <c r="AB10" s="14"/>
      <c r="AC10" s="14">
        <v>0.17852996003416799</v>
      </c>
      <c r="AD10" s="14">
        <v>0.206134972763344</v>
      </c>
      <c r="AE10" s="14">
        <v>0.165126496927643</v>
      </c>
      <c r="AF10" s="14">
        <v>0.143020145150106</v>
      </c>
      <c r="AG10" s="14">
        <v>8.0128739235155094E-2</v>
      </c>
      <c r="AH10" s="14"/>
      <c r="AI10" s="14">
        <v>0.197676405952944</v>
      </c>
      <c r="AJ10" s="14">
        <v>0.17043396510157799</v>
      </c>
      <c r="AK10" s="14">
        <v>0.20394002430595601</v>
      </c>
      <c r="AL10" s="14">
        <v>0.16073593017337801</v>
      </c>
      <c r="AM10" s="14">
        <v>0.141569599920671</v>
      </c>
      <c r="AN10" s="14">
        <v>0.117460907529249</v>
      </c>
      <c r="AO10" s="14"/>
      <c r="AP10" s="14">
        <v>0.17707574265704301</v>
      </c>
      <c r="AQ10" s="14">
        <v>0.17432202363010399</v>
      </c>
      <c r="AR10" s="14"/>
      <c r="AS10" s="14">
        <v>0.173681408588053</v>
      </c>
      <c r="AT10" s="14">
        <v>0.16602018051825501</v>
      </c>
      <c r="AU10" s="14">
        <v>0.180693377782149</v>
      </c>
      <c r="AV10" s="14"/>
      <c r="AW10" s="14">
        <v>0.172817026180832</v>
      </c>
      <c r="AX10" s="14">
        <v>0.16654555703826601</v>
      </c>
      <c r="AY10" s="14"/>
      <c r="AZ10" s="14">
        <v>0.18414427933967101</v>
      </c>
      <c r="BA10" s="14">
        <v>0.14766497095063499</v>
      </c>
    </row>
    <row r="11" spans="2:53" x14ac:dyDescent="0.35">
      <c r="B11" s="15" t="s">
        <v>78</v>
      </c>
      <c r="C11" s="14">
        <v>1.2398218970930399E-2</v>
      </c>
      <c r="D11" s="14">
        <v>1.63944398272685E-2</v>
      </c>
      <c r="E11" s="14">
        <v>8.4108230058934606E-3</v>
      </c>
      <c r="F11" s="14"/>
      <c r="G11" s="14">
        <v>0</v>
      </c>
      <c r="H11" s="14">
        <v>4.6148156016650899E-2</v>
      </c>
      <c r="I11" s="14">
        <v>1.08712024945512E-2</v>
      </c>
      <c r="J11" s="14">
        <v>2.50459771976402E-3</v>
      </c>
      <c r="K11" s="14">
        <v>0</v>
      </c>
      <c r="L11" s="14">
        <v>0</v>
      </c>
      <c r="M11" s="14"/>
      <c r="N11" s="14">
        <v>1.31612223286949E-2</v>
      </c>
      <c r="O11" s="14">
        <v>1.23504532982088E-2</v>
      </c>
      <c r="P11" s="14">
        <v>1.53211880388081E-2</v>
      </c>
      <c r="Q11" s="14">
        <v>9.1974598907416903E-3</v>
      </c>
      <c r="R11" s="14"/>
      <c r="S11" s="14">
        <v>1.6911937742173599E-2</v>
      </c>
      <c r="T11" s="14">
        <v>1.3138212221050801E-2</v>
      </c>
      <c r="U11" s="14">
        <v>1.22896748032481E-2</v>
      </c>
      <c r="V11" s="14">
        <v>9.67656722213215E-3</v>
      </c>
      <c r="W11" s="14">
        <v>2.6554546978136001E-2</v>
      </c>
      <c r="X11" s="14">
        <v>1.1090391258972401E-2</v>
      </c>
      <c r="Y11" s="14">
        <v>1.0359366171151701E-2</v>
      </c>
      <c r="Z11" s="14">
        <v>5.5129583215209601E-3</v>
      </c>
      <c r="AA11" s="14">
        <v>3.7263800944918502E-3</v>
      </c>
      <c r="AB11" s="14"/>
      <c r="AC11" s="14">
        <v>1.5042245071586999E-2</v>
      </c>
      <c r="AD11" s="14">
        <v>1.4587248691572101E-2</v>
      </c>
      <c r="AE11" s="14">
        <v>1.27691948285771E-2</v>
      </c>
      <c r="AF11" s="14">
        <v>1.2664645822489801E-2</v>
      </c>
      <c r="AG11" s="14">
        <v>8.1483457592046206E-3</v>
      </c>
      <c r="AH11" s="14"/>
      <c r="AI11" s="14">
        <v>1.67230894378461E-2</v>
      </c>
      <c r="AJ11" s="14">
        <v>1.4952174873404901E-2</v>
      </c>
      <c r="AK11" s="14">
        <v>2.5007121595056199E-2</v>
      </c>
      <c r="AL11" s="14">
        <v>5.2885292233660597E-4</v>
      </c>
      <c r="AM11" s="14">
        <v>0</v>
      </c>
      <c r="AN11" s="14">
        <v>1.4438673357562E-2</v>
      </c>
      <c r="AO11" s="14"/>
      <c r="AP11" s="14">
        <v>1.2970789166462901E-2</v>
      </c>
      <c r="AQ11" s="14">
        <v>1.1793953754020901E-2</v>
      </c>
      <c r="AR11" s="14"/>
      <c r="AS11" s="14">
        <v>1.00033847180304E-2</v>
      </c>
      <c r="AT11" s="14">
        <v>1.7651716990980601E-2</v>
      </c>
      <c r="AU11" s="14">
        <v>1.1489318166003199E-2</v>
      </c>
      <c r="AV11" s="14"/>
      <c r="AW11" s="14">
        <v>1.0430544022876799E-2</v>
      </c>
      <c r="AX11" s="14">
        <v>2.26727427835384E-2</v>
      </c>
      <c r="AY11" s="14"/>
      <c r="AZ11" s="14">
        <v>1.4133457465042401E-2</v>
      </c>
      <c r="BA11" s="14">
        <v>3.9132541090624298E-3</v>
      </c>
    </row>
    <row r="12" spans="2:53" x14ac:dyDescent="0.35">
      <c r="B12" s="15" t="s">
        <v>79</v>
      </c>
      <c r="C12" s="14">
        <v>3.1891561165349499E-3</v>
      </c>
      <c r="D12" s="14">
        <v>3.5131091476766798E-3</v>
      </c>
      <c r="E12" s="14">
        <v>2.8680359868649501E-3</v>
      </c>
      <c r="F12" s="14"/>
      <c r="G12" s="14">
        <v>0.18127959358201301</v>
      </c>
      <c r="H12" s="14">
        <v>3.4239863998854702E-3</v>
      </c>
      <c r="I12" s="14">
        <v>3.9030219783696301E-3</v>
      </c>
      <c r="J12" s="14">
        <v>0</v>
      </c>
      <c r="K12" s="14">
        <v>0</v>
      </c>
      <c r="L12" s="14">
        <v>0</v>
      </c>
      <c r="M12" s="14"/>
      <c r="N12" s="14">
        <v>1.1635899063968599E-3</v>
      </c>
      <c r="O12" s="14">
        <v>0</v>
      </c>
      <c r="P12" s="14">
        <v>6.3429126469905697E-3</v>
      </c>
      <c r="Q12" s="14">
        <v>5.9520621268222803E-3</v>
      </c>
      <c r="R12" s="14"/>
      <c r="S12" s="14">
        <v>1.9609889265924801E-3</v>
      </c>
      <c r="T12" s="14">
        <v>6.0870088451657096E-3</v>
      </c>
      <c r="U12" s="14">
        <v>0</v>
      </c>
      <c r="V12" s="14">
        <v>0</v>
      </c>
      <c r="W12" s="14">
        <v>6.7480483796308497E-3</v>
      </c>
      <c r="X12" s="14">
        <v>7.8166560070366906E-3</v>
      </c>
      <c r="Y12" s="14">
        <v>0</v>
      </c>
      <c r="Z12" s="14">
        <v>1.02560905289239E-2</v>
      </c>
      <c r="AA12" s="14">
        <v>0</v>
      </c>
      <c r="AB12" s="14"/>
      <c r="AC12" s="14">
        <v>6.9637467119420798E-3</v>
      </c>
      <c r="AD12" s="14">
        <v>0</v>
      </c>
      <c r="AE12" s="14">
        <v>1.0794743790989701E-3</v>
      </c>
      <c r="AF12" s="14">
        <v>6.4848649057151504E-3</v>
      </c>
      <c r="AG12" s="14">
        <v>0</v>
      </c>
      <c r="AH12" s="14"/>
      <c r="AI12" s="14">
        <v>6.4606060699864097E-3</v>
      </c>
      <c r="AJ12" s="14">
        <v>0</v>
      </c>
      <c r="AK12" s="14">
        <v>0</v>
      </c>
      <c r="AL12" s="14">
        <v>5.9822685743989102E-3</v>
      </c>
      <c r="AM12" s="14">
        <v>0</v>
      </c>
      <c r="AN12" s="14">
        <v>0</v>
      </c>
      <c r="AO12" s="14"/>
      <c r="AP12" s="14">
        <v>3.3224911575016202E-3</v>
      </c>
      <c r="AQ12" s="14">
        <v>3.0494133976278902E-3</v>
      </c>
      <c r="AR12" s="14"/>
      <c r="AS12" s="14">
        <v>0</v>
      </c>
      <c r="AT12" s="14">
        <v>9.2949632332020807E-3</v>
      </c>
      <c r="AU12" s="14">
        <v>2.2420113023971298E-3</v>
      </c>
      <c r="AV12" s="14"/>
      <c r="AW12" s="14">
        <v>2.7542138591630399E-3</v>
      </c>
      <c r="AX12" s="14">
        <v>3.1034056303510201E-3</v>
      </c>
      <c r="AY12" s="14"/>
      <c r="AZ12" s="14">
        <v>4.0624503371390897E-3</v>
      </c>
      <c r="BA12" s="14">
        <v>0</v>
      </c>
    </row>
    <row r="13" spans="2:53" x14ac:dyDescent="0.35">
      <c r="B13" s="15" t="s">
        <v>80</v>
      </c>
      <c r="C13" s="18">
        <v>2.4029060381842099E-3</v>
      </c>
      <c r="D13" s="18">
        <v>3.43988857083501E-4</v>
      </c>
      <c r="E13" s="18">
        <v>4.4657991727833296E-3</v>
      </c>
      <c r="F13" s="18"/>
      <c r="G13" s="18">
        <v>0</v>
      </c>
      <c r="H13" s="18">
        <v>5.5035905942576501E-3</v>
      </c>
      <c r="I13" s="18">
        <v>2.48549981689462E-3</v>
      </c>
      <c r="J13" s="18">
        <v>1.6437134817880799E-3</v>
      </c>
      <c r="K13" s="18">
        <v>0</v>
      </c>
      <c r="L13" s="18">
        <v>0</v>
      </c>
      <c r="M13" s="18"/>
      <c r="N13" s="18">
        <v>6.3873802868497705E-4</v>
      </c>
      <c r="O13" s="18">
        <v>0</v>
      </c>
      <c r="P13" s="18">
        <v>5.5168204216426804E-3</v>
      </c>
      <c r="Q13" s="18">
        <v>4.0927048503138297E-3</v>
      </c>
      <c r="R13" s="18"/>
      <c r="S13" s="18">
        <v>0</v>
      </c>
      <c r="T13" s="18">
        <v>0</v>
      </c>
      <c r="U13" s="18">
        <v>0</v>
      </c>
      <c r="V13" s="18">
        <v>7.4803219534506898E-3</v>
      </c>
      <c r="W13" s="18">
        <v>0</v>
      </c>
      <c r="X13" s="18">
        <v>5.2446881107329297E-3</v>
      </c>
      <c r="Y13" s="18">
        <v>4.9367968384857403E-3</v>
      </c>
      <c r="Z13" s="18">
        <v>0</v>
      </c>
      <c r="AA13" s="18">
        <v>4.3136935257065403E-3</v>
      </c>
      <c r="AB13" s="18"/>
      <c r="AC13" s="18">
        <v>0</v>
      </c>
      <c r="AD13" s="18">
        <v>5.3659342502163096E-3</v>
      </c>
      <c r="AE13" s="18">
        <v>0</v>
      </c>
      <c r="AF13" s="18">
        <v>0</v>
      </c>
      <c r="AG13" s="18">
        <v>7.2176661829346797E-3</v>
      </c>
      <c r="AH13" s="18"/>
      <c r="AI13" s="18">
        <v>3.0044253093214099E-3</v>
      </c>
      <c r="AJ13" s="18">
        <v>9.7026594489346197E-4</v>
      </c>
      <c r="AK13" s="18">
        <v>0</v>
      </c>
      <c r="AL13" s="18">
        <v>0</v>
      </c>
      <c r="AM13" s="18">
        <v>0</v>
      </c>
      <c r="AN13" s="18">
        <v>0</v>
      </c>
      <c r="AO13" s="18"/>
      <c r="AP13" s="18">
        <v>1.38429662575397E-3</v>
      </c>
      <c r="AQ13" s="18">
        <v>3.5567284231820102E-3</v>
      </c>
      <c r="AR13" s="18"/>
      <c r="AS13" s="18">
        <v>7.6591802567876101E-3</v>
      </c>
      <c r="AT13" s="18">
        <v>0</v>
      </c>
      <c r="AU13" s="18">
        <v>1.6987871881660099E-3</v>
      </c>
      <c r="AV13" s="18"/>
      <c r="AW13" s="18">
        <v>2.2690779273278399E-3</v>
      </c>
      <c r="AX13" s="18">
        <v>1.04316214183061E-3</v>
      </c>
      <c r="AY13" s="18"/>
      <c r="AZ13" s="18">
        <v>8.4950609506615404E-4</v>
      </c>
      <c r="BA13" s="18">
        <v>2.6589461054883599E-3</v>
      </c>
    </row>
    <row r="14" spans="2:53" x14ac:dyDescent="0.35">
      <c r="B14" s="26" t="s">
        <v>81</v>
      </c>
      <c r="C14" s="27">
        <v>0.98200971887434996</v>
      </c>
      <c r="D14" s="27">
        <v>0.97974846216797096</v>
      </c>
      <c r="E14" s="27">
        <v>0.98425534183445795</v>
      </c>
      <c r="F14" s="27"/>
      <c r="G14" s="27">
        <v>0.81872040641798705</v>
      </c>
      <c r="H14" s="27">
        <v>0.94492426698920595</v>
      </c>
      <c r="I14" s="27">
        <v>0.98274027571018496</v>
      </c>
      <c r="J14" s="27">
        <v>0.99585168879844799</v>
      </c>
      <c r="K14" s="27">
        <v>1</v>
      </c>
      <c r="L14" s="27">
        <v>1</v>
      </c>
      <c r="M14" s="27"/>
      <c r="N14" s="27">
        <v>0.98503644973622295</v>
      </c>
      <c r="O14" s="27">
        <v>0.98764954670179095</v>
      </c>
      <c r="P14" s="27">
        <v>0.97281907889255903</v>
      </c>
      <c r="Q14" s="27">
        <v>0.98075777313212198</v>
      </c>
      <c r="R14" s="27"/>
      <c r="S14" s="27">
        <v>0.98112707333123395</v>
      </c>
      <c r="T14" s="27">
        <v>0.98077477893378395</v>
      </c>
      <c r="U14" s="27">
        <v>0.98771032519675195</v>
      </c>
      <c r="V14" s="27">
        <v>0.982843110824417</v>
      </c>
      <c r="W14" s="27">
        <v>0.96669740464223297</v>
      </c>
      <c r="X14" s="27">
        <v>0.97584826462325802</v>
      </c>
      <c r="Y14" s="27">
        <v>0.98470383699036301</v>
      </c>
      <c r="Z14" s="27">
        <v>0.98423095114955494</v>
      </c>
      <c r="AA14" s="27">
        <v>0.99195992637980202</v>
      </c>
      <c r="AB14" s="27"/>
      <c r="AC14" s="27">
        <v>0.97799400821647098</v>
      </c>
      <c r="AD14" s="27">
        <v>0.98004681705821195</v>
      </c>
      <c r="AE14" s="27">
        <v>0.98615133079232398</v>
      </c>
      <c r="AF14" s="27">
        <v>0.98085048927179497</v>
      </c>
      <c r="AG14" s="27">
        <v>0.98463398805786095</v>
      </c>
      <c r="AH14" s="27"/>
      <c r="AI14" s="27">
        <v>0.97381187918284595</v>
      </c>
      <c r="AJ14" s="27">
        <v>0.98407755918170203</v>
      </c>
      <c r="AK14" s="27">
        <v>0.97499287840494397</v>
      </c>
      <c r="AL14" s="27">
        <v>0.99348887850326495</v>
      </c>
      <c r="AM14" s="27">
        <v>1</v>
      </c>
      <c r="AN14" s="27">
        <v>0.98556132664243801</v>
      </c>
      <c r="AO14" s="27"/>
      <c r="AP14" s="27">
        <v>0.98232242305028195</v>
      </c>
      <c r="AQ14" s="27">
        <v>0.98159990442516898</v>
      </c>
      <c r="AR14" s="27"/>
      <c r="AS14" s="27">
        <v>0.982337435025182</v>
      </c>
      <c r="AT14" s="27">
        <v>0.97305331977581699</v>
      </c>
      <c r="AU14" s="27">
        <v>0.98456988334343398</v>
      </c>
      <c r="AV14" s="27"/>
      <c r="AW14" s="27">
        <v>0.98454616419063201</v>
      </c>
      <c r="AX14" s="27">
        <v>0.97318068944428004</v>
      </c>
      <c r="AY14" s="27"/>
      <c r="AZ14" s="27">
        <v>0.98095458610275199</v>
      </c>
      <c r="BA14" s="27">
        <v>0.99342779978544904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BA19"/>
  <sheetViews>
    <sheetView showGridLines="0" workbookViewId="0">
      <pane xSplit="2" topLeftCell="C1" activePane="topRight" state="frozen"/>
      <selection activeCell="BE12" sqref="BE12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132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0.44420969025630802</v>
      </c>
      <c r="D9" s="14">
        <v>0.46466390580787698</v>
      </c>
      <c r="E9" s="14">
        <v>0.42416978731390198</v>
      </c>
      <c r="F9" s="14"/>
      <c r="G9" s="14">
        <v>0.53802529139227895</v>
      </c>
      <c r="H9" s="14">
        <v>0.460560932249516</v>
      </c>
      <c r="I9" s="14">
        <v>0.47796354664587298</v>
      </c>
      <c r="J9" s="14">
        <v>0.40799268030272601</v>
      </c>
      <c r="K9" s="14">
        <v>0.38370405587220602</v>
      </c>
      <c r="L9" s="14">
        <v>0.36456016083339599</v>
      </c>
      <c r="M9" s="14"/>
      <c r="N9" s="14">
        <v>0.52639784749322704</v>
      </c>
      <c r="O9" s="14">
        <v>0.44380931649712502</v>
      </c>
      <c r="P9" s="14">
        <v>0.36509658802481398</v>
      </c>
      <c r="Q9" s="14">
        <v>0.42811340263112502</v>
      </c>
      <c r="R9" s="14"/>
      <c r="S9" s="14">
        <v>0.57193004482501797</v>
      </c>
      <c r="T9" s="14">
        <v>0.44408042446318502</v>
      </c>
      <c r="U9" s="14">
        <v>0.44701674206038999</v>
      </c>
      <c r="V9" s="14">
        <v>0.352203898715648</v>
      </c>
      <c r="W9" s="14">
        <v>0.44601719346129698</v>
      </c>
      <c r="X9" s="14">
        <v>0.41950622429738998</v>
      </c>
      <c r="Y9" s="14">
        <v>0.40607793937009301</v>
      </c>
      <c r="Z9" s="14">
        <v>0.38397378571574498</v>
      </c>
      <c r="AA9" s="14">
        <v>0.43335006527897502</v>
      </c>
      <c r="AB9" s="14"/>
      <c r="AC9" s="14">
        <v>0.32258653873204302</v>
      </c>
      <c r="AD9" s="14">
        <v>0.35722784496434501</v>
      </c>
      <c r="AE9" s="14">
        <v>0.49469670654101799</v>
      </c>
      <c r="AF9" s="14">
        <v>0.62521054027563505</v>
      </c>
      <c r="AG9" s="14">
        <v>0.58121627349733995</v>
      </c>
      <c r="AH9" s="14"/>
      <c r="AI9" s="14">
        <v>0.492809630957525</v>
      </c>
      <c r="AJ9" s="14">
        <v>0.47048941770366798</v>
      </c>
      <c r="AK9" s="14">
        <v>0.45705417776300999</v>
      </c>
      <c r="AL9" s="14">
        <v>0.36089670006587199</v>
      </c>
      <c r="AM9" s="14">
        <v>0.48303789108808398</v>
      </c>
      <c r="AN9" s="14">
        <v>0.42896956589344998</v>
      </c>
      <c r="AO9" s="14"/>
      <c r="AP9" s="14">
        <v>0.46228817382066301</v>
      </c>
      <c r="AQ9" s="14">
        <v>0.42463363708398</v>
      </c>
      <c r="AR9" s="14"/>
      <c r="AS9" s="14">
        <v>0.51272368489605602</v>
      </c>
      <c r="AT9" s="14">
        <v>0.45321795127306902</v>
      </c>
      <c r="AU9" s="14">
        <v>0.423106485885897</v>
      </c>
      <c r="AV9" s="14"/>
      <c r="AW9" s="14">
        <v>0.43018387554975102</v>
      </c>
      <c r="AX9" s="14">
        <v>0.58787793578389702</v>
      </c>
      <c r="AY9" s="14"/>
      <c r="AZ9" s="14">
        <v>0.46668234947964798</v>
      </c>
      <c r="BA9" s="14">
        <v>0.36212906825090102</v>
      </c>
    </row>
    <row r="10" spans="2:53" x14ac:dyDescent="0.35">
      <c r="B10" s="15" t="s">
        <v>77</v>
      </c>
      <c r="C10" s="14">
        <v>0.42827773595686702</v>
      </c>
      <c r="D10" s="14">
        <v>0.431753855720652</v>
      </c>
      <c r="E10" s="14">
        <v>0.424244543707536</v>
      </c>
      <c r="F10" s="14"/>
      <c r="G10" s="14">
        <v>0.25321063756095402</v>
      </c>
      <c r="H10" s="14">
        <v>0.41095269596790701</v>
      </c>
      <c r="I10" s="14">
        <v>0.41191527459562899</v>
      </c>
      <c r="J10" s="14">
        <v>0.44178416228346601</v>
      </c>
      <c r="K10" s="14">
        <v>0.482264893282499</v>
      </c>
      <c r="L10" s="14">
        <v>0.53589067250909195</v>
      </c>
      <c r="M10" s="14"/>
      <c r="N10" s="14">
        <v>0.40542034907498398</v>
      </c>
      <c r="O10" s="14">
        <v>0.45967832730841002</v>
      </c>
      <c r="P10" s="14">
        <v>0.43522632133306</v>
      </c>
      <c r="Q10" s="14">
        <v>0.41200058531988099</v>
      </c>
      <c r="R10" s="14"/>
      <c r="S10" s="14">
        <v>0.34614467053342401</v>
      </c>
      <c r="T10" s="14">
        <v>0.44420767616515799</v>
      </c>
      <c r="U10" s="14">
        <v>0.43921749165266399</v>
      </c>
      <c r="V10" s="14">
        <v>0.45245060733838999</v>
      </c>
      <c r="W10" s="14">
        <v>0.42216209467647597</v>
      </c>
      <c r="X10" s="14">
        <v>0.400568710875286</v>
      </c>
      <c r="Y10" s="14">
        <v>0.44864884816101303</v>
      </c>
      <c r="Z10" s="14">
        <v>0.46553233232848501</v>
      </c>
      <c r="AA10" s="14">
        <v>0.476436826415294</v>
      </c>
      <c r="AB10" s="14"/>
      <c r="AC10" s="14">
        <v>0.48194208172622499</v>
      </c>
      <c r="AD10" s="14">
        <v>0.48100332148084701</v>
      </c>
      <c r="AE10" s="14">
        <v>0.42148233501874399</v>
      </c>
      <c r="AF10" s="14">
        <v>0.31419813833375299</v>
      </c>
      <c r="AG10" s="14">
        <v>0.41055330105570897</v>
      </c>
      <c r="AH10" s="14"/>
      <c r="AI10" s="14">
        <v>0.38329593215672703</v>
      </c>
      <c r="AJ10" s="14">
        <v>0.41055070688138501</v>
      </c>
      <c r="AK10" s="14">
        <v>0.44667290382896802</v>
      </c>
      <c r="AL10" s="14">
        <v>0.51047059286750895</v>
      </c>
      <c r="AM10" s="14">
        <v>0.410757255208686</v>
      </c>
      <c r="AN10" s="14">
        <v>0.49552616986217601</v>
      </c>
      <c r="AO10" s="14"/>
      <c r="AP10" s="14">
        <v>0.42802857722165</v>
      </c>
      <c r="AQ10" s="14">
        <v>0.42738235638632999</v>
      </c>
      <c r="AR10" s="14"/>
      <c r="AS10" s="14">
        <v>0.40443211526302297</v>
      </c>
      <c r="AT10" s="14">
        <v>0.436269025708522</v>
      </c>
      <c r="AU10" s="14">
        <v>0.43233243777678998</v>
      </c>
      <c r="AV10" s="14"/>
      <c r="AW10" s="14">
        <v>0.44202250755611999</v>
      </c>
      <c r="AX10" s="14">
        <v>0.35583232391620001</v>
      </c>
      <c r="AY10" s="14"/>
      <c r="AZ10" s="14">
        <v>0.41703734666324399</v>
      </c>
      <c r="BA10" s="14">
        <v>0.476564951972548</v>
      </c>
    </row>
    <row r="11" spans="2:53" x14ac:dyDescent="0.35">
      <c r="B11" s="15" t="s">
        <v>78</v>
      </c>
      <c r="C11" s="14">
        <v>0.108945615865761</v>
      </c>
      <c r="D11" s="14">
        <v>9.2050499536245001E-2</v>
      </c>
      <c r="E11" s="14">
        <v>0.12595986580667501</v>
      </c>
      <c r="F11" s="14"/>
      <c r="G11" s="14">
        <v>9.5495639659026202E-2</v>
      </c>
      <c r="H11" s="14">
        <v>0.11520700946113401</v>
      </c>
      <c r="I11" s="14">
        <v>8.9942035606582094E-2</v>
      </c>
      <c r="J11" s="14">
        <v>0.13106192020499</v>
      </c>
      <c r="K11" s="14">
        <v>0.12347678307077201</v>
      </c>
      <c r="L11" s="14">
        <v>7.1927198932918504E-2</v>
      </c>
      <c r="M11" s="14"/>
      <c r="N11" s="14">
        <v>6.4649992974861195E-2</v>
      </c>
      <c r="O11" s="14">
        <v>8.7265126990057701E-2</v>
      </c>
      <c r="P11" s="14">
        <v>0.16579066094804401</v>
      </c>
      <c r="Q11" s="14">
        <v>0.12866414530138001</v>
      </c>
      <c r="R11" s="14"/>
      <c r="S11" s="14">
        <v>7.5654520268599507E-2</v>
      </c>
      <c r="T11" s="14">
        <v>9.4635983747767605E-2</v>
      </c>
      <c r="U11" s="14">
        <v>8.6405436018762299E-2</v>
      </c>
      <c r="V11" s="14">
        <v>0.16100018247050599</v>
      </c>
      <c r="W11" s="14">
        <v>0.10065701393113</v>
      </c>
      <c r="X11" s="14">
        <v>0.17130489509352501</v>
      </c>
      <c r="Y11" s="14">
        <v>0.128979815534535</v>
      </c>
      <c r="Z11" s="14">
        <v>0.11254310670876699</v>
      </c>
      <c r="AA11" s="14">
        <v>8.1585720026031205E-2</v>
      </c>
      <c r="AB11" s="14"/>
      <c r="AC11" s="14">
        <v>0.173699674719521</v>
      </c>
      <c r="AD11" s="14">
        <v>0.144727548209797</v>
      </c>
      <c r="AE11" s="14">
        <v>7.63077099727036E-2</v>
      </c>
      <c r="AF11" s="14">
        <v>5.7528769179068198E-2</v>
      </c>
      <c r="AG11" s="14">
        <v>8.2304254469508908E-3</v>
      </c>
      <c r="AH11" s="14"/>
      <c r="AI11" s="14">
        <v>0.107275662775252</v>
      </c>
      <c r="AJ11" s="14">
        <v>0.10608606147850499</v>
      </c>
      <c r="AK11" s="14">
        <v>7.9183351050019599E-2</v>
      </c>
      <c r="AL11" s="14">
        <v>0.105420104770353</v>
      </c>
      <c r="AM11" s="14">
        <v>0.10620485370323</v>
      </c>
      <c r="AN11" s="14">
        <v>4.4082316916072201E-2</v>
      </c>
      <c r="AO11" s="14"/>
      <c r="AP11" s="14">
        <v>9.1799403483401903E-2</v>
      </c>
      <c r="AQ11" s="14">
        <v>0.128588614434402</v>
      </c>
      <c r="AR11" s="14"/>
      <c r="AS11" s="14">
        <v>6.9986826804891294E-2</v>
      </c>
      <c r="AT11" s="14">
        <v>0.100233450848991</v>
      </c>
      <c r="AU11" s="14">
        <v>0.122006929786384</v>
      </c>
      <c r="AV11" s="14"/>
      <c r="AW11" s="14">
        <v>0.110926538723949</v>
      </c>
      <c r="AX11" s="14">
        <v>4.6572253934149099E-2</v>
      </c>
      <c r="AY11" s="14"/>
      <c r="AZ11" s="14">
        <v>9.99109737995241E-2</v>
      </c>
      <c r="BA11" s="14">
        <v>0.13974102630864499</v>
      </c>
    </row>
    <row r="12" spans="2:53" x14ac:dyDescent="0.35">
      <c r="B12" s="15" t="s">
        <v>79</v>
      </c>
      <c r="C12" s="14">
        <v>1.03456684287933E-2</v>
      </c>
      <c r="D12" s="14">
        <v>9.88380075279135E-3</v>
      </c>
      <c r="E12" s="14">
        <v>1.08179356872273E-2</v>
      </c>
      <c r="F12" s="14"/>
      <c r="G12" s="14">
        <v>0.11326843138774099</v>
      </c>
      <c r="H12" s="14">
        <v>4.9301628694198097E-3</v>
      </c>
      <c r="I12" s="14">
        <v>8.5793978444078291E-3</v>
      </c>
      <c r="J12" s="14">
        <v>1.4218566355072199E-2</v>
      </c>
      <c r="K12" s="14">
        <v>1.0554267774523E-2</v>
      </c>
      <c r="L12" s="14">
        <v>0</v>
      </c>
      <c r="M12" s="14"/>
      <c r="N12" s="14">
        <v>3.53181045692818E-3</v>
      </c>
      <c r="O12" s="14">
        <v>5.8567558069377301E-3</v>
      </c>
      <c r="P12" s="14">
        <v>2.18431418595487E-2</v>
      </c>
      <c r="Q12" s="14">
        <v>1.23724487995534E-2</v>
      </c>
      <c r="R12" s="14"/>
      <c r="S12" s="14">
        <v>0</v>
      </c>
      <c r="T12" s="14">
        <v>1.2919118981373301E-2</v>
      </c>
      <c r="U12" s="14">
        <v>1.1230086777515301E-2</v>
      </c>
      <c r="V12" s="14">
        <v>1.7758017773813799E-2</v>
      </c>
      <c r="W12" s="14">
        <v>1.7785521784487501E-2</v>
      </c>
      <c r="X12" s="14">
        <v>3.3754816230654899E-3</v>
      </c>
      <c r="Y12" s="14">
        <v>8.0748901348132694E-3</v>
      </c>
      <c r="Z12" s="14">
        <v>3.7950775247002501E-2</v>
      </c>
      <c r="AA12" s="14">
        <v>4.3136947539926199E-3</v>
      </c>
      <c r="AB12" s="14"/>
      <c r="AC12" s="14">
        <v>1.0613279183692899E-2</v>
      </c>
      <c r="AD12" s="14">
        <v>1.3994050199881499E-2</v>
      </c>
      <c r="AE12" s="14">
        <v>6.0695649116170904E-3</v>
      </c>
      <c r="AF12" s="14">
        <v>0</v>
      </c>
      <c r="AG12" s="14">
        <v>0</v>
      </c>
      <c r="AH12" s="14"/>
      <c r="AI12" s="14">
        <v>7.39328906878287E-3</v>
      </c>
      <c r="AJ12" s="14">
        <v>1.05099219364865E-2</v>
      </c>
      <c r="AK12" s="14">
        <v>1.7089567358002399E-2</v>
      </c>
      <c r="AL12" s="14">
        <v>1.93340542602186E-2</v>
      </c>
      <c r="AM12" s="14">
        <v>0</v>
      </c>
      <c r="AN12" s="14">
        <v>0</v>
      </c>
      <c r="AO12" s="14"/>
      <c r="AP12" s="14">
        <v>1.0208836492806E-2</v>
      </c>
      <c r="AQ12" s="14">
        <v>1.05329651771656E-2</v>
      </c>
      <c r="AR12" s="14"/>
      <c r="AS12" s="14">
        <v>9.0756894665153798E-3</v>
      </c>
      <c r="AT12" s="14">
        <v>1.0279572169417999E-2</v>
      </c>
      <c r="AU12" s="14">
        <v>1.0707008393395501E-2</v>
      </c>
      <c r="AV12" s="14"/>
      <c r="AW12" s="14">
        <v>9.8472791428130604E-3</v>
      </c>
      <c r="AX12" s="14">
        <v>3.3956269168339001E-3</v>
      </c>
      <c r="AY12" s="14"/>
      <c r="AZ12" s="14">
        <v>1.2084250893906599E-2</v>
      </c>
      <c r="BA12" s="14">
        <v>4.0806226616832498E-3</v>
      </c>
    </row>
    <row r="13" spans="2:53" x14ac:dyDescent="0.35">
      <c r="B13" s="15" t="s">
        <v>80</v>
      </c>
      <c r="C13" s="18">
        <v>8.2212894922706406E-3</v>
      </c>
      <c r="D13" s="18">
        <v>1.6479381824347601E-3</v>
      </c>
      <c r="E13" s="18">
        <v>1.480786748466E-2</v>
      </c>
      <c r="F13" s="18"/>
      <c r="G13" s="18">
        <v>0</v>
      </c>
      <c r="H13" s="18">
        <v>8.3491994520235105E-3</v>
      </c>
      <c r="I13" s="18">
        <v>1.1599745307507899E-2</v>
      </c>
      <c r="J13" s="18">
        <v>4.9426708537462401E-3</v>
      </c>
      <c r="K13" s="18">
        <v>0</v>
      </c>
      <c r="L13" s="18">
        <v>2.7621967724594E-2</v>
      </c>
      <c r="M13" s="18"/>
      <c r="N13" s="18">
        <v>0</v>
      </c>
      <c r="O13" s="18">
        <v>3.3904733974696598E-3</v>
      </c>
      <c r="P13" s="18">
        <v>1.20432878345331E-2</v>
      </c>
      <c r="Q13" s="18">
        <v>1.8849417948059999E-2</v>
      </c>
      <c r="R13" s="18"/>
      <c r="S13" s="18">
        <v>6.2707643729583299E-3</v>
      </c>
      <c r="T13" s="18">
        <v>4.1567966425162398E-3</v>
      </c>
      <c r="U13" s="18">
        <v>1.61302434906683E-2</v>
      </c>
      <c r="V13" s="18">
        <v>1.6587293701642299E-2</v>
      </c>
      <c r="W13" s="18">
        <v>1.3378176146610301E-2</v>
      </c>
      <c r="X13" s="18">
        <v>5.2446881107329297E-3</v>
      </c>
      <c r="Y13" s="18">
        <v>8.2185067995459195E-3</v>
      </c>
      <c r="Z13" s="18">
        <v>0</v>
      </c>
      <c r="AA13" s="18">
        <v>4.3136935257065403E-3</v>
      </c>
      <c r="AB13" s="18"/>
      <c r="AC13" s="18">
        <v>1.11584256385174E-2</v>
      </c>
      <c r="AD13" s="18">
        <v>3.04723514512905E-3</v>
      </c>
      <c r="AE13" s="18">
        <v>1.44368355591717E-3</v>
      </c>
      <c r="AF13" s="18">
        <v>3.0625522115440601E-3</v>
      </c>
      <c r="AG13" s="18">
        <v>0</v>
      </c>
      <c r="AH13" s="18"/>
      <c r="AI13" s="18">
        <v>9.2254850417134802E-3</v>
      </c>
      <c r="AJ13" s="18">
        <v>2.3638919999555601E-3</v>
      </c>
      <c r="AK13" s="18">
        <v>0</v>
      </c>
      <c r="AL13" s="18">
        <v>3.8785480360470199E-3</v>
      </c>
      <c r="AM13" s="18">
        <v>0</v>
      </c>
      <c r="AN13" s="18">
        <v>3.1421947328302301E-2</v>
      </c>
      <c r="AO13" s="18"/>
      <c r="AP13" s="18">
        <v>7.6750089814789403E-3</v>
      </c>
      <c r="AQ13" s="18">
        <v>8.8624269181227806E-3</v>
      </c>
      <c r="AR13" s="18"/>
      <c r="AS13" s="18">
        <v>3.78168356951394E-3</v>
      </c>
      <c r="AT13" s="18">
        <v>0</v>
      </c>
      <c r="AU13" s="18">
        <v>1.1847138157533001E-2</v>
      </c>
      <c r="AV13" s="18"/>
      <c r="AW13" s="18">
        <v>7.0197990273663602E-3</v>
      </c>
      <c r="AX13" s="18">
        <v>6.3218594489199099E-3</v>
      </c>
      <c r="AY13" s="18"/>
      <c r="AZ13" s="18">
        <v>4.2850791636777196E-3</v>
      </c>
      <c r="BA13" s="18">
        <v>1.7484330806223299E-2</v>
      </c>
    </row>
    <row r="14" spans="2:53" x14ac:dyDescent="0.35">
      <c r="B14" s="26" t="s">
        <v>81</v>
      </c>
      <c r="C14" s="27">
        <v>0.87248742621317499</v>
      </c>
      <c r="D14" s="27">
        <v>0.89641776152852903</v>
      </c>
      <c r="E14" s="27">
        <v>0.84841433102143804</v>
      </c>
      <c r="F14" s="27"/>
      <c r="G14" s="27">
        <v>0.79123592895323303</v>
      </c>
      <c r="H14" s="27">
        <v>0.87151362821742295</v>
      </c>
      <c r="I14" s="27">
        <v>0.88987882124150197</v>
      </c>
      <c r="J14" s="27">
        <v>0.84977684258619202</v>
      </c>
      <c r="K14" s="27">
        <v>0.86596894915470501</v>
      </c>
      <c r="L14" s="27">
        <v>0.90045083334248699</v>
      </c>
      <c r="M14" s="27"/>
      <c r="N14" s="27">
        <v>0.93181819656821097</v>
      </c>
      <c r="O14" s="27">
        <v>0.90348764380553503</v>
      </c>
      <c r="P14" s="27">
        <v>0.80032290935787398</v>
      </c>
      <c r="Q14" s="27">
        <v>0.840113987951006</v>
      </c>
      <c r="R14" s="27"/>
      <c r="S14" s="27">
        <v>0.91807471535844198</v>
      </c>
      <c r="T14" s="27">
        <v>0.88828810062834296</v>
      </c>
      <c r="U14" s="27">
        <v>0.88623423371305399</v>
      </c>
      <c r="V14" s="27">
        <v>0.80465450605403799</v>
      </c>
      <c r="W14" s="27">
        <v>0.86817928813777301</v>
      </c>
      <c r="X14" s="27">
        <v>0.82007493517267704</v>
      </c>
      <c r="Y14" s="27">
        <v>0.85472678753110498</v>
      </c>
      <c r="Z14" s="27">
        <v>0.84950611804423104</v>
      </c>
      <c r="AA14" s="27">
        <v>0.90978689169426996</v>
      </c>
      <c r="AB14" s="27"/>
      <c r="AC14" s="27">
        <v>0.80452862045826801</v>
      </c>
      <c r="AD14" s="27">
        <v>0.83823116644519202</v>
      </c>
      <c r="AE14" s="27">
        <v>0.91617904155976204</v>
      </c>
      <c r="AF14" s="27">
        <v>0.93940867860938804</v>
      </c>
      <c r="AG14" s="27">
        <v>0.99176957455304904</v>
      </c>
      <c r="AH14" s="27"/>
      <c r="AI14" s="27">
        <v>0.87610556311425203</v>
      </c>
      <c r="AJ14" s="27">
        <v>0.88104012458505299</v>
      </c>
      <c r="AK14" s="27">
        <v>0.90372708159197801</v>
      </c>
      <c r="AL14" s="27">
        <v>0.871367292933381</v>
      </c>
      <c r="AM14" s="27">
        <v>0.89379514629677004</v>
      </c>
      <c r="AN14" s="27">
        <v>0.92449573575562505</v>
      </c>
      <c r="AO14" s="27"/>
      <c r="AP14" s="27">
        <v>0.890316751042313</v>
      </c>
      <c r="AQ14" s="27">
        <v>0.85201599347030998</v>
      </c>
      <c r="AR14" s="27"/>
      <c r="AS14" s="27">
        <v>0.91715580015907905</v>
      </c>
      <c r="AT14" s="27">
        <v>0.88948697698159096</v>
      </c>
      <c r="AU14" s="27">
        <v>0.85543892366268803</v>
      </c>
      <c r="AV14" s="27"/>
      <c r="AW14" s="27">
        <v>0.87220638310587195</v>
      </c>
      <c r="AX14" s="27">
        <v>0.94371025970009703</v>
      </c>
      <c r="AY14" s="27"/>
      <c r="AZ14" s="27">
        <v>0.88371969614289203</v>
      </c>
      <c r="BA14" s="27">
        <v>0.83869402022344897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BA19"/>
  <sheetViews>
    <sheetView showGridLines="0" workbookViewId="0">
      <pane xSplit="2" topLeftCell="C1" activePane="topRight" state="frozen"/>
      <selection activeCell="BE12" sqref="BE12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133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2053</v>
      </c>
      <c r="D7" s="10">
        <v>842</v>
      </c>
      <c r="E7" s="10">
        <v>1210</v>
      </c>
      <c r="F7" s="10"/>
      <c r="G7" s="10">
        <v>11</v>
      </c>
      <c r="H7" s="10">
        <v>342</v>
      </c>
      <c r="I7" s="10">
        <v>904</v>
      </c>
      <c r="J7" s="10">
        <v>605</v>
      </c>
      <c r="K7" s="10">
        <v>165</v>
      </c>
      <c r="L7" s="10">
        <v>26</v>
      </c>
      <c r="M7" s="10"/>
      <c r="N7" s="10">
        <v>886</v>
      </c>
      <c r="O7" s="10">
        <v>504</v>
      </c>
      <c r="P7" s="10">
        <v>302</v>
      </c>
      <c r="Q7" s="10">
        <v>355</v>
      </c>
      <c r="R7" s="10"/>
      <c r="S7" s="10">
        <v>382</v>
      </c>
      <c r="T7" s="10">
        <v>311</v>
      </c>
      <c r="U7" s="10">
        <v>161</v>
      </c>
      <c r="V7" s="10">
        <v>189</v>
      </c>
      <c r="W7" s="10">
        <v>169</v>
      </c>
      <c r="X7" s="10">
        <v>234</v>
      </c>
      <c r="Y7" s="10">
        <v>222</v>
      </c>
      <c r="Z7" s="10">
        <v>104</v>
      </c>
      <c r="AA7" s="10">
        <v>281</v>
      </c>
      <c r="AB7" s="10"/>
      <c r="AC7" s="10">
        <v>322</v>
      </c>
      <c r="AD7" s="10">
        <v>383</v>
      </c>
      <c r="AE7" s="10">
        <v>642</v>
      </c>
      <c r="AF7" s="10">
        <v>395</v>
      </c>
      <c r="AG7" s="10">
        <v>91</v>
      </c>
      <c r="AH7" s="10"/>
      <c r="AI7" s="10">
        <v>755</v>
      </c>
      <c r="AJ7" s="10">
        <v>383</v>
      </c>
      <c r="AK7" s="10">
        <v>196</v>
      </c>
      <c r="AL7" s="10">
        <v>287</v>
      </c>
      <c r="AM7" s="10">
        <v>105</v>
      </c>
      <c r="AN7" s="10">
        <v>142</v>
      </c>
      <c r="AO7" s="10"/>
      <c r="AP7" s="10">
        <v>1084</v>
      </c>
      <c r="AQ7" s="10">
        <v>966</v>
      </c>
      <c r="AR7" s="10"/>
      <c r="AS7" s="10">
        <v>361</v>
      </c>
      <c r="AT7" s="10">
        <v>383</v>
      </c>
      <c r="AU7" s="10">
        <v>1309</v>
      </c>
      <c r="AV7" s="10"/>
      <c r="AW7" s="10">
        <v>1489</v>
      </c>
      <c r="AX7" s="10">
        <v>423</v>
      </c>
      <c r="AY7" s="10"/>
      <c r="AZ7" s="10">
        <v>1631</v>
      </c>
      <c r="BA7" s="10">
        <v>415</v>
      </c>
    </row>
    <row r="8" spans="2:53" ht="30" customHeight="1" x14ac:dyDescent="0.35">
      <c r="B8" s="11" t="s">
        <v>19</v>
      </c>
      <c r="C8" s="11">
        <v>2053</v>
      </c>
      <c r="D8" s="11">
        <v>1028</v>
      </c>
      <c r="E8" s="11">
        <v>1024</v>
      </c>
      <c r="F8" s="11"/>
      <c r="G8" s="11">
        <v>11</v>
      </c>
      <c r="H8" s="11">
        <v>308</v>
      </c>
      <c r="I8" s="11">
        <v>900</v>
      </c>
      <c r="J8" s="11">
        <v>616</v>
      </c>
      <c r="K8" s="11">
        <v>187</v>
      </c>
      <c r="L8" s="11">
        <v>31</v>
      </c>
      <c r="M8" s="11"/>
      <c r="N8" s="11">
        <v>551</v>
      </c>
      <c r="O8" s="11">
        <v>533</v>
      </c>
      <c r="P8" s="11">
        <v>450</v>
      </c>
      <c r="Q8" s="11">
        <v>513</v>
      </c>
      <c r="R8" s="11"/>
      <c r="S8" s="11">
        <v>327</v>
      </c>
      <c r="T8" s="11">
        <v>329</v>
      </c>
      <c r="U8" s="11">
        <v>205</v>
      </c>
      <c r="V8" s="11">
        <v>227</v>
      </c>
      <c r="W8" s="11">
        <v>184</v>
      </c>
      <c r="X8" s="11">
        <v>207</v>
      </c>
      <c r="Y8" s="11">
        <v>206</v>
      </c>
      <c r="Z8" s="11">
        <v>102</v>
      </c>
      <c r="AA8" s="11">
        <v>266</v>
      </c>
      <c r="AB8" s="11"/>
      <c r="AC8" s="11">
        <v>410</v>
      </c>
      <c r="AD8" s="11">
        <v>437</v>
      </c>
      <c r="AE8" s="11">
        <v>599</v>
      </c>
      <c r="AF8" s="11">
        <v>307</v>
      </c>
      <c r="AG8" s="11">
        <v>48</v>
      </c>
      <c r="AH8" s="11"/>
      <c r="AI8" s="11">
        <v>722</v>
      </c>
      <c r="AJ8" s="11">
        <v>365</v>
      </c>
      <c r="AK8" s="11">
        <v>185</v>
      </c>
      <c r="AL8" s="11">
        <v>313</v>
      </c>
      <c r="AM8" s="11">
        <v>105</v>
      </c>
      <c r="AN8" s="11">
        <v>152</v>
      </c>
      <c r="AO8" s="11"/>
      <c r="AP8" s="11">
        <v>1084</v>
      </c>
      <c r="AQ8" s="11">
        <v>966</v>
      </c>
      <c r="AR8" s="11"/>
      <c r="AS8" s="11">
        <v>353</v>
      </c>
      <c r="AT8" s="11">
        <v>390</v>
      </c>
      <c r="AU8" s="11">
        <v>1310</v>
      </c>
      <c r="AV8" s="11"/>
      <c r="AW8" s="11">
        <v>1546</v>
      </c>
      <c r="AX8" s="11">
        <v>338</v>
      </c>
      <c r="AY8" s="11"/>
      <c r="AZ8" s="11">
        <v>1612</v>
      </c>
      <c r="BA8" s="11">
        <v>432</v>
      </c>
    </row>
    <row r="9" spans="2:53" x14ac:dyDescent="0.35">
      <c r="B9" s="15" t="s">
        <v>76</v>
      </c>
      <c r="C9" s="14">
        <v>1</v>
      </c>
      <c r="D9" s="14">
        <v>1</v>
      </c>
      <c r="E9" s="14">
        <v>1</v>
      </c>
      <c r="F9" s="14"/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/>
      <c r="N9" s="14">
        <v>1</v>
      </c>
      <c r="O9" s="14">
        <v>1</v>
      </c>
      <c r="P9" s="14">
        <v>1</v>
      </c>
      <c r="Q9" s="14">
        <v>1</v>
      </c>
      <c r="R9" s="14"/>
      <c r="S9" s="14">
        <v>1</v>
      </c>
      <c r="T9" s="14">
        <v>1</v>
      </c>
      <c r="U9" s="14">
        <v>1</v>
      </c>
      <c r="V9" s="14">
        <v>1</v>
      </c>
      <c r="W9" s="14">
        <v>1</v>
      </c>
      <c r="X9" s="14">
        <v>1</v>
      </c>
      <c r="Y9" s="14">
        <v>1</v>
      </c>
      <c r="Z9" s="14">
        <v>1</v>
      </c>
      <c r="AA9" s="14">
        <v>1</v>
      </c>
      <c r="AB9" s="14"/>
      <c r="AC9" s="14">
        <v>1</v>
      </c>
      <c r="AD9" s="14">
        <v>1</v>
      </c>
      <c r="AE9" s="14">
        <v>1</v>
      </c>
      <c r="AF9" s="14">
        <v>1</v>
      </c>
      <c r="AG9" s="14">
        <v>1</v>
      </c>
      <c r="AH9" s="14"/>
      <c r="AI9" s="14">
        <v>1</v>
      </c>
      <c r="AJ9" s="14">
        <v>1</v>
      </c>
      <c r="AK9" s="14">
        <v>1</v>
      </c>
      <c r="AL9" s="14">
        <v>1</v>
      </c>
      <c r="AM9" s="14">
        <v>1</v>
      </c>
      <c r="AN9" s="14">
        <v>1</v>
      </c>
      <c r="AO9" s="14"/>
      <c r="AP9" s="14">
        <v>1</v>
      </c>
      <c r="AQ9" s="14">
        <v>1</v>
      </c>
      <c r="AR9" s="14"/>
      <c r="AS9" s="14">
        <v>1</v>
      </c>
      <c r="AT9" s="14">
        <v>1</v>
      </c>
      <c r="AU9" s="14">
        <v>1</v>
      </c>
      <c r="AV9" s="14"/>
      <c r="AW9" s="14">
        <v>1</v>
      </c>
      <c r="AX9" s="14">
        <v>1</v>
      </c>
      <c r="AY9" s="14"/>
      <c r="AZ9" s="14">
        <v>1</v>
      </c>
      <c r="BA9" s="14">
        <v>1</v>
      </c>
    </row>
    <row r="10" spans="2:53" x14ac:dyDescent="0.35">
      <c r="B10" s="15" t="s">
        <v>77</v>
      </c>
      <c r="C10" s="14">
        <v>0</v>
      </c>
      <c r="D10" s="14">
        <v>0</v>
      </c>
      <c r="E10" s="14">
        <v>0</v>
      </c>
      <c r="F10" s="14"/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/>
      <c r="N10" s="14">
        <v>0</v>
      </c>
      <c r="O10" s="14">
        <v>0</v>
      </c>
      <c r="P10" s="14">
        <v>0</v>
      </c>
      <c r="Q10" s="14">
        <v>0</v>
      </c>
      <c r="R10" s="14"/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/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/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/>
      <c r="AP10" s="14">
        <v>0</v>
      </c>
      <c r="AQ10" s="14">
        <v>0</v>
      </c>
      <c r="AR10" s="14"/>
      <c r="AS10" s="14">
        <v>0</v>
      </c>
      <c r="AT10" s="14">
        <v>0</v>
      </c>
      <c r="AU10" s="14">
        <v>0</v>
      </c>
      <c r="AV10" s="14"/>
      <c r="AW10" s="14">
        <v>0</v>
      </c>
      <c r="AX10" s="14">
        <v>0</v>
      </c>
      <c r="AY10" s="14"/>
      <c r="AZ10" s="14">
        <v>0</v>
      </c>
      <c r="BA10" s="14">
        <v>0</v>
      </c>
    </row>
    <row r="11" spans="2:53" x14ac:dyDescent="0.35">
      <c r="B11" s="15" t="s">
        <v>78</v>
      </c>
      <c r="C11" s="14">
        <v>0</v>
      </c>
      <c r="D11" s="14">
        <v>0</v>
      </c>
      <c r="E11" s="14">
        <v>0</v>
      </c>
      <c r="F11" s="14"/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/>
      <c r="N11" s="14">
        <v>0</v>
      </c>
      <c r="O11" s="14">
        <v>0</v>
      </c>
      <c r="P11" s="14">
        <v>0</v>
      </c>
      <c r="Q11" s="14">
        <v>0</v>
      </c>
      <c r="R11" s="14"/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/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/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/>
      <c r="AP11" s="14">
        <v>0</v>
      </c>
      <c r="AQ11" s="14">
        <v>0</v>
      </c>
      <c r="AR11" s="14"/>
      <c r="AS11" s="14">
        <v>0</v>
      </c>
      <c r="AT11" s="14">
        <v>0</v>
      </c>
      <c r="AU11" s="14">
        <v>0</v>
      </c>
      <c r="AV11" s="14"/>
      <c r="AW11" s="14">
        <v>0</v>
      </c>
      <c r="AX11" s="14">
        <v>0</v>
      </c>
      <c r="AY11" s="14"/>
      <c r="AZ11" s="14">
        <v>0</v>
      </c>
      <c r="BA11" s="14">
        <v>0</v>
      </c>
    </row>
    <row r="12" spans="2:53" x14ac:dyDescent="0.35">
      <c r="B12" s="15" t="s">
        <v>79</v>
      </c>
      <c r="C12" s="14">
        <v>0</v>
      </c>
      <c r="D12" s="14">
        <v>0</v>
      </c>
      <c r="E12" s="14">
        <v>0</v>
      </c>
      <c r="F12" s="14"/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/>
      <c r="N12" s="14">
        <v>0</v>
      </c>
      <c r="O12" s="14">
        <v>0</v>
      </c>
      <c r="P12" s="14">
        <v>0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0</v>
      </c>
      <c r="AQ12" s="14">
        <v>0</v>
      </c>
      <c r="AR12" s="14"/>
      <c r="AS12" s="14">
        <v>0</v>
      </c>
      <c r="AT12" s="14">
        <v>0</v>
      </c>
      <c r="AU12" s="14">
        <v>0</v>
      </c>
      <c r="AV12" s="14"/>
      <c r="AW12" s="14">
        <v>0</v>
      </c>
      <c r="AX12" s="14">
        <v>0</v>
      </c>
      <c r="AY12" s="14"/>
      <c r="AZ12" s="14">
        <v>0</v>
      </c>
      <c r="BA12" s="14">
        <v>0</v>
      </c>
    </row>
    <row r="13" spans="2:53" x14ac:dyDescent="0.35">
      <c r="B13" s="15" t="s">
        <v>80</v>
      </c>
      <c r="C13" s="18">
        <v>0</v>
      </c>
      <c r="D13" s="18">
        <v>0</v>
      </c>
      <c r="E13" s="18">
        <v>0</v>
      </c>
      <c r="F13" s="18"/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/>
      <c r="N13" s="18">
        <v>0</v>
      </c>
      <c r="O13" s="18">
        <v>0</v>
      </c>
      <c r="P13" s="18">
        <v>0</v>
      </c>
      <c r="Q13" s="18">
        <v>0</v>
      </c>
      <c r="R13" s="18"/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/>
      <c r="AP13" s="18">
        <v>0</v>
      </c>
      <c r="AQ13" s="18">
        <v>0</v>
      </c>
      <c r="AR13" s="18"/>
      <c r="AS13" s="18">
        <v>0</v>
      </c>
      <c r="AT13" s="18">
        <v>0</v>
      </c>
      <c r="AU13" s="18">
        <v>0</v>
      </c>
      <c r="AV13" s="18"/>
      <c r="AW13" s="18">
        <v>0</v>
      </c>
      <c r="AX13" s="18">
        <v>0</v>
      </c>
      <c r="AY13" s="18"/>
      <c r="AZ13" s="18">
        <v>0</v>
      </c>
      <c r="BA13" s="18">
        <v>0</v>
      </c>
    </row>
    <row r="14" spans="2:53" x14ac:dyDescent="0.35">
      <c r="B14" s="26" t="s">
        <v>81</v>
      </c>
      <c r="C14" s="27">
        <v>1</v>
      </c>
      <c r="D14" s="27">
        <v>1</v>
      </c>
      <c r="E14" s="27">
        <v>1</v>
      </c>
      <c r="F14" s="27"/>
      <c r="G14" s="27">
        <v>1</v>
      </c>
      <c r="H14" s="27">
        <v>1</v>
      </c>
      <c r="I14" s="27">
        <v>1</v>
      </c>
      <c r="J14" s="27">
        <v>1</v>
      </c>
      <c r="K14" s="27">
        <v>1</v>
      </c>
      <c r="L14" s="27">
        <v>1</v>
      </c>
      <c r="M14" s="27"/>
      <c r="N14" s="27">
        <v>1</v>
      </c>
      <c r="O14" s="27">
        <v>1</v>
      </c>
      <c r="P14" s="27">
        <v>1</v>
      </c>
      <c r="Q14" s="27">
        <v>1</v>
      </c>
      <c r="R14" s="27"/>
      <c r="S14" s="27">
        <v>1</v>
      </c>
      <c r="T14" s="27">
        <v>1</v>
      </c>
      <c r="U14" s="27">
        <v>1</v>
      </c>
      <c r="V14" s="27">
        <v>1</v>
      </c>
      <c r="W14" s="27">
        <v>1</v>
      </c>
      <c r="X14" s="27">
        <v>1</v>
      </c>
      <c r="Y14" s="27">
        <v>1</v>
      </c>
      <c r="Z14" s="27">
        <v>1</v>
      </c>
      <c r="AA14" s="27">
        <v>1</v>
      </c>
      <c r="AB14" s="27"/>
      <c r="AC14" s="27">
        <v>1</v>
      </c>
      <c r="AD14" s="27">
        <v>1</v>
      </c>
      <c r="AE14" s="27">
        <v>1</v>
      </c>
      <c r="AF14" s="27">
        <v>1</v>
      </c>
      <c r="AG14" s="27">
        <v>1</v>
      </c>
      <c r="AH14" s="27"/>
      <c r="AI14" s="27">
        <v>1</v>
      </c>
      <c r="AJ14" s="27">
        <v>1</v>
      </c>
      <c r="AK14" s="27">
        <v>1</v>
      </c>
      <c r="AL14" s="27">
        <v>1</v>
      </c>
      <c r="AM14" s="27">
        <v>1</v>
      </c>
      <c r="AN14" s="27">
        <v>1</v>
      </c>
      <c r="AO14" s="27"/>
      <c r="AP14" s="27">
        <v>1</v>
      </c>
      <c r="AQ14" s="27">
        <v>1</v>
      </c>
      <c r="AR14" s="27"/>
      <c r="AS14" s="27">
        <v>1</v>
      </c>
      <c r="AT14" s="27">
        <v>1</v>
      </c>
      <c r="AU14" s="27">
        <v>1</v>
      </c>
      <c r="AV14" s="27"/>
      <c r="AW14" s="27">
        <v>1</v>
      </c>
      <c r="AX14" s="27">
        <v>1</v>
      </c>
      <c r="AY14" s="27"/>
      <c r="AZ14" s="27">
        <v>1</v>
      </c>
      <c r="BA14" s="27">
        <v>1</v>
      </c>
    </row>
    <row r="15" spans="2:53" x14ac:dyDescent="0.35">
      <c r="B15" s="25" t="s">
        <v>134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BA19"/>
  <sheetViews>
    <sheetView showGridLines="0" workbookViewId="0">
      <pane xSplit="2" topLeftCell="C1" activePane="topRight" state="frozen"/>
      <selection activeCell="BE12" sqref="BE12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135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0.69521125456877597</v>
      </c>
      <c r="D9" s="14">
        <v>0.68924742261721095</v>
      </c>
      <c r="E9" s="14">
        <v>0.70185387253036202</v>
      </c>
      <c r="F9" s="14"/>
      <c r="G9" s="14">
        <v>0.75914594388955103</v>
      </c>
      <c r="H9" s="14">
        <v>0.72187891287841899</v>
      </c>
      <c r="I9" s="14">
        <v>0.71080440714684801</v>
      </c>
      <c r="J9" s="14">
        <v>0.69666192007370598</v>
      </c>
      <c r="K9" s="14">
        <v>0.59915075089412695</v>
      </c>
      <c r="L9" s="14">
        <v>0.51578723317818098</v>
      </c>
      <c r="M9" s="14"/>
      <c r="N9" s="14">
        <v>0.73610908062647995</v>
      </c>
      <c r="O9" s="14">
        <v>0.73601915862073897</v>
      </c>
      <c r="P9" s="14">
        <v>0.63698017149525699</v>
      </c>
      <c r="Q9" s="14">
        <v>0.65978424758144405</v>
      </c>
      <c r="R9" s="14"/>
      <c r="S9" s="14">
        <v>0.73517130289073995</v>
      </c>
      <c r="T9" s="14">
        <v>0.74923798511332096</v>
      </c>
      <c r="U9" s="14">
        <v>0.68379894344685199</v>
      </c>
      <c r="V9" s="14">
        <v>0.65571750955814501</v>
      </c>
      <c r="W9" s="14">
        <v>0.68424768419508797</v>
      </c>
      <c r="X9" s="14">
        <v>0.64650531006307999</v>
      </c>
      <c r="Y9" s="14">
        <v>0.68668235095401797</v>
      </c>
      <c r="Z9" s="14">
        <v>0.73584136343837203</v>
      </c>
      <c r="AA9" s="14">
        <v>0.65796449979550897</v>
      </c>
      <c r="AB9" s="14"/>
      <c r="AC9" s="14">
        <v>0.64173682194912196</v>
      </c>
      <c r="AD9" s="14">
        <v>0.61497289150552503</v>
      </c>
      <c r="AE9" s="14">
        <v>0.75722139909158204</v>
      </c>
      <c r="AF9" s="14">
        <v>0.78759881593641701</v>
      </c>
      <c r="AG9" s="14">
        <v>0.78350818547811196</v>
      </c>
      <c r="AH9" s="14"/>
      <c r="AI9" s="14">
        <v>0.68945937938456603</v>
      </c>
      <c r="AJ9" s="14">
        <v>0.69113443697735</v>
      </c>
      <c r="AK9" s="14">
        <v>0.71199875595211104</v>
      </c>
      <c r="AL9" s="14">
        <v>0.69691474988439395</v>
      </c>
      <c r="AM9" s="14">
        <v>0.76820437355427296</v>
      </c>
      <c r="AN9" s="14">
        <v>0.72748365514734403</v>
      </c>
      <c r="AO9" s="14"/>
      <c r="AP9" s="14">
        <v>0.68346234819267804</v>
      </c>
      <c r="AQ9" s="14">
        <v>0.70947508700199502</v>
      </c>
      <c r="AR9" s="14"/>
      <c r="AS9" s="14">
        <v>0.75108500061126404</v>
      </c>
      <c r="AT9" s="14">
        <v>0.65906850535494998</v>
      </c>
      <c r="AU9" s="14">
        <v>0.69086091925242399</v>
      </c>
      <c r="AV9" s="14"/>
      <c r="AW9" s="14">
        <v>0.69185435804990303</v>
      </c>
      <c r="AX9" s="14">
        <v>0.75488679479541998</v>
      </c>
      <c r="AY9" s="14"/>
      <c r="AZ9" s="14">
        <v>0.699726111550247</v>
      </c>
      <c r="BA9" s="14">
        <v>0.687800337925081</v>
      </c>
    </row>
    <row r="10" spans="2:53" x14ac:dyDescent="0.35">
      <c r="B10" s="15" t="s">
        <v>77</v>
      </c>
      <c r="C10" s="14">
        <v>0.283949643923606</v>
      </c>
      <c r="D10" s="14">
        <v>0.29624269888604998</v>
      </c>
      <c r="E10" s="14">
        <v>0.27095253832148603</v>
      </c>
      <c r="F10" s="14"/>
      <c r="G10" s="14">
        <v>0.24085405611044899</v>
      </c>
      <c r="H10" s="14">
        <v>0.24334998710130801</v>
      </c>
      <c r="I10" s="14">
        <v>0.262814699765064</v>
      </c>
      <c r="J10" s="14">
        <v>0.293626514671255</v>
      </c>
      <c r="K10" s="14">
        <v>0.38786523651079702</v>
      </c>
      <c r="L10" s="14">
        <v>0.48421276682181902</v>
      </c>
      <c r="M10" s="14"/>
      <c r="N10" s="14">
        <v>0.24438598802592501</v>
      </c>
      <c r="O10" s="14">
        <v>0.24714409844545299</v>
      </c>
      <c r="P10" s="14">
        <v>0.33486935363716502</v>
      </c>
      <c r="Q10" s="14">
        <v>0.31996685880457099</v>
      </c>
      <c r="R10" s="14"/>
      <c r="S10" s="14">
        <v>0.24127771461980799</v>
      </c>
      <c r="T10" s="14">
        <v>0.22586445275484501</v>
      </c>
      <c r="U10" s="14">
        <v>0.29775051476571401</v>
      </c>
      <c r="V10" s="14">
        <v>0.33166714381700901</v>
      </c>
      <c r="W10" s="14">
        <v>0.29655978677536099</v>
      </c>
      <c r="X10" s="14">
        <v>0.310638820422314</v>
      </c>
      <c r="Y10" s="14">
        <v>0.30111687525508102</v>
      </c>
      <c r="Z10" s="14">
        <v>0.23732984313963201</v>
      </c>
      <c r="AA10" s="14">
        <v>0.33221535931063301</v>
      </c>
      <c r="AB10" s="14"/>
      <c r="AC10" s="14">
        <v>0.33993536696244397</v>
      </c>
      <c r="AD10" s="14">
        <v>0.35552774253939001</v>
      </c>
      <c r="AE10" s="14">
        <v>0.228603845991461</v>
      </c>
      <c r="AF10" s="14">
        <v>0.19715558113075801</v>
      </c>
      <c r="AG10" s="14">
        <v>0.20269125013933401</v>
      </c>
      <c r="AH10" s="14"/>
      <c r="AI10" s="14">
        <v>0.29380191439936099</v>
      </c>
      <c r="AJ10" s="14">
        <v>0.286090469627859</v>
      </c>
      <c r="AK10" s="14">
        <v>0.25752769708164802</v>
      </c>
      <c r="AL10" s="14">
        <v>0.28605868424484598</v>
      </c>
      <c r="AM10" s="14">
        <v>0.21767634312419601</v>
      </c>
      <c r="AN10" s="14">
        <v>0.245048832128725</v>
      </c>
      <c r="AO10" s="14"/>
      <c r="AP10" s="14">
        <v>0.29775269937721399</v>
      </c>
      <c r="AQ10" s="14">
        <v>0.26797425362608401</v>
      </c>
      <c r="AR10" s="14"/>
      <c r="AS10" s="14">
        <v>0.235225906727421</v>
      </c>
      <c r="AT10" s="14">
        <v>0.306214645558609</v>
      </c>
      <c r="AU10" s="14">
        <v>0.29047924605325298</v>
      </c>
      <c r="AV10" s="14"/>
      <c r="AW10" s="14">
        <v>0.28862992182688502</v>
      </c>
      <c r="AX10" s="14">
        <v>0.22218608926639</v>
      </c>
      <c r="AY10" s="14"/>
      <c r="AZ10" s="14">
        <v>0.27893690547477401</v>
      </c>
      <c r="BA10" s="14">
        <v>0.29836540542611101</v>
      </c>
    </row>
    <row r="11" spans="2:53" x14ac:dyDescent="0.35">
      <c r="B11" s="15" t="s">
        <v>78</v>
      </c>
      <c r="C11" s="14">
        <v>1.6512486633826901E-2</v>
      </c>
      <c r="D11" s="14">
        <v>1.28619403143043E-2</v>
      </c>
      <c r="E11" s="14">
        <v>2.0181961008942199E-2</v>
      </c>
      <c r="F11" s="14"/>
      <c r="G11" s="14">
        <v>0</v>
      </c>
      <c r="H11" s="14">
        <v>2.76144031547585E-2</v>
      </c>
      <c r="I11" s="14">
        <v>2.1065546199796999E-2</v>
      </c>
      <c r="J11" s="14">
        <v>8.5876670732917999E-3</v>
      </c>
      <c r="K11" s="14">
        <v>6.5046551775156296E-3</v>
      </c>
      <c r="L11" s="14">
        <v>0</v>
      </c>
      <c r="M11" s="14"/>
      <c r="N11" s="14">
        <v>1.8059873657880199E-2</v>
      </c>
      <c r="O11" s="14">
        <v>1.39133286394145E-2</v>
      </c>
      <c r="P11" s="14">
        <v>2.1429833063291399E-2</v>
      </c>
      <c r="Q11" s="14">
        <v>1.34090289871471E-2</v>
      </c>
      <c r="R11" s="14"/>
      <c r="S11" s="14">
        <v>1.72802181164943E-2</v>
      </c>
      <c r="T11" s="14">
        <v>2.4897562131833698E-2</v>
      </c>
      <c r="U11" s="14">
        <v>1.4569330187576401E-2</v>
      </c>
      <c r="V11" s="14">
        <v>6.6993226179284599E-3</v>
      </c>
      <c r="W11" s="14">
        <v>1.25624006327241E-2</v>
      </c>
      <c r="X11" s="14">
        <v>3.4235699780807198E-2</v>
      </c>
      <c r="Y11" s="14">
        <v>3.9822669913553502E-3</v>
      </c>
      <c r="Z11" s="14">
        <v>2.68287934219958E-2</v>
      </c>
      <c r="AA11" s="14">
        <v>9.8201408938575797E-3</v>
      </c>
      <c r="AB11" s="14"/>
      <c r="AC11" s="14">
        <v>1.8327811088433899E-2</v>
      </c>
      <c r="AD11" s="14">
        <v>1.97941819614234E-2</v>
      </c>
      <c r="AE11" s="14">
        <v>1.0224513067575399E-2</v>
      </c>
      <c r="AF11" s="14">
        <v>1.52456029328256E-2</v>
      </c>
      <c r="AG11" s="14">
        <v>1.38005643825546E-2</v>
      </c>
      <c r="AH11" s="14"/>
      <c r="AI11" s="14">
        <v>1.5078456093836101E-2</v>
      </c>
      <c r="AJ11" s="14">
        <v>2.05799990027699E-2</v>
      </c>
      <c r="AK11" s="14">
        <v>1.0879940030918101E-2</v>
      </c>
      <c r="AL11" s="14">
        <v>1.43053166346128E-2</v>
      </c>
      <c r="AM11" s="14">
        <v>1.4119283321532001E-2</v>
      </c>
      <c r="AN11" s="14">
        <v>2.7467512723931001E-2</v>
      </c>
      <c r="AO11" s="14"/>
      <c r="AP11" s="14">
        <v>1.54566256632647E-2</v>
      </c>
      <c r="AQ11" s="14">
        <v>1.70868867729107E-2</v>
      </c>
      <c r="AR11" s="14"/>
      <c r="AS11" s="14">
        <v>9.9074090918008107E-3</v>
      </c>
      <c r="AT11" s="14">
        <v>3.47168490864413E-2</v>
      </c>
      <c r="AU11" s="14">
        <v>1.29072005139866E-2</v>
      </c>
      <c r="AV11" s="14"/>
      <c r="AW11" s="14">
        <v>1.5683769457083101E-2</v>
      </c>
      <c r="AX11" s="14">
        <v>1.7339229133313299E-2</v>
      </c>
      <c r="AY11" s="14"/>
      <c r="AZ11" s="14">
        <v>1.91158364840892E-2</v>
      </c>
      <c r="BA11" s="14">
        <v>7.1526846726802096E-3</v>
      </c>
    </row>
    <row r="12" spans="2:53" x14ac:dyDescent="0.35">
      <c r="B12" s="15" t="s">
        <v>79</v>
      </c>
      <c r="C12" s="14">
        <v>1.5812970445802099E-3</v>
      </c>
      <c r="D12" s="14">
        <v>1.6479381824347601E-3</v>
      </c>
      <c r="E12" s="14">
        <v>1.5161357110874199E-3</v>
      </c>
      <c r="F12" s="14"/>
      <c r="G12" s="14">
        <v>0</v>
      </c>
      <c r="H12" s="14">
        <v>2.8040267154201201E-3</v>
      </c>
      <c r="I12" s="14">
        <v>1.88632272740255E-3</v>
      </c>
      <c r="J12" s="14">
        <v>1.12389818174722E-3</v>
      </c>
      <c r="K12" s="14">
        <v>0</v>
      </c>
      <c r="L12" s="14">
        <v>0</v>
      </c>
      <c r="M12" s="14"/>
      <c r="N12" s="14">
        <v>0</v>
      </c>
      <c r="O12" s="14">
        <v>2.92341429439388E-3</v>
      </c>
      <c r="P12" s="14">
        <v>3.7557433730644901E-3</v>
      </c>
      <c r="Q12" s="14">
        <v>0</v>
      </c>
      <c r="R12" s="14"/>
      <c r="S12" s="14">
        <v>2.6226166377568802E-3</v>
      </c>
      <c r="T12" s="14">
        <v>0</v>
      </c>
      <c r="U12" s="14">
        <v>0</v>
      </c>
      <c r="V12" s="14">
        <v>0</v>
      </c>
      <c r="W12" s="14">
        <v>0</v>
      </c>
      <c r="X12" s="14">
        <v>3.3754816230654899E-3</v>
      </c>
      <c r="Y12" s="14">
        <v>8.2185067995459195E-3</v>
      </c>
      <c r="Z12" s="14">
        <v>0</v>
      </c>
      <c r="AA12" s="14">
        <v>0</v>
      </c>
      <c r="AB12" s="14"/>
      <c r="AC12" s="14">
        <v>0</v>
      </c>
      <c r="AD12" s="14">
        <v>3.86004224696955E-3</v>
      </c>
      <c r="AE12" s="14">
        <v>2.60964689939795E-3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1.29432845939636E-2</v>
      </c>
      <c r="AL12" s="14">
        <v>2.7212492361473701E-3</v>
      </c>
      <c r="AM12" s="14">
        <v>0</v>
      </c>
      <c r="AN12" s="14">
        <v>0</v>
      </c>
      <c r="AO12" s="14"/>
      <c r="AP12" s="14">
        <v>2.1986498303836E-3</v>
      </c>
      <c r="AQ12" s="14">
        <v>8.9178475930605104E-4</v>
      </c>
      <c r="AR12" s="14"/>
      <c r="AS12" s="14">
        <v>0</v>
      </c>
      <c r="AT12" s="14">
        <v>0</v>
      </c>
      <c r="AU12" s="14">
        <v>2.4744611736230901E-3</v>
      </c>
      <c r="AV12" s="14"/>
      <c r="AW12" s="14">
        <v>1.6539637199231201E-3</v>
      </c>
      <c r="AX12" s="14">
        <v>2.0525868724195098E-3</v>
      </c>
      <c r="AY12" s="14"/>
      <c r="AZ12" s="14">
        <v>9.6479796629983397E-4</v>
      </c>
      <c r="BA12" s="14">
        <v>3.9132541090624298E-3</v>
      </c>
    </row>
    <row r="13" spans="2:53" x14ac:dyDescent="0.35">
      <c r="B13" s="15" t="s">
        <v>80</v>
      </c>
      <c r="C13" s="18">
        <v>2.7453178292103802E-3</v>
      </c>
      <c r="D13" s="18">
        <v>0</v>
      </c>
      <c r="E13" s="18">
        <v>5.4954924281221196E-3</v>
      </c>
      <c r="F13" s="18"/>
      <c r="G13" s="18">
        <v>0</v>
      </c>
      <c r="H13" s="18">
        <v>4.3526701500940599E-3</v>
      </c>
      <c r="I13" s="18">
        <v>3.4290241608885001E-3</v>
      </c>
      <c r="J13" s="18">
        <v>0</v>
      </c>
      <c r="K13" s="18">
        <v>6.4793574175601599E-3</v>
      </c>
      <c r="L13" s="18">
        <v>0</v>
      </c>
      <c r="M13" s="18"/>
      <c r="N13" s="18">
        <v>1.4450576897152799E-3</v>
      </c>
      <c r="O13" s="18">
        <v>0</v>
      </c>
      <c r="P13" s="18">
        <v>2.9648984312212199E-3</v>
      </c>
      <c r="Q13" s="18">
        <v>6.8398646268378197E-3</v>
      </c>
      <c r="R13" s="18"/>
      <c r="S13" s="18">
        <v>3.6481477352014501E-3</v>
      </c>
      <c r="T13" s="18">
        <v>0</v>
      </c>
      <c r="U13" s="18">
        <v>3.88121159985765E-3</v>
      </c>
      <c r="V13" s="18">
        <v>5.9160240069183103E-3</v>
      </c>
      <c r="W13" s="18">
        <v>6.6301283968262896E-3</v>
      </c>
      <c r="X13" s="18">
        <v>5.2446881107329297E-3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5.84514174669277E-3</v>
      </c>
      <c r="AE13" s="18">
        <v>1.3405949499836699E-3</v>
      </c>
      <c r="AF13" s="18">
        <v>0</v>
      </c>
      <c r="AG13" s="18">
        <v>0</v>
      </c>
      <c r="AH13" s="18"/>
      <c r="AI13" s="18">
        <v>1.6602501222362099E-3</v>
      </c>
      <c r="AJ13" s="18">
        <v>2.1950943920213402E-3</v>
      </c>
      <c r="AK13" s="18">
        <v>6.6503223413586299E-3</v>
      </c>
      <c r="AL13" s="18">
        <v>0</v>
      </c>
      <c r="AM13" s="18">
        <v>0</v>
      </c>
      <c r="AN13" s="18">
        <v>0</v>
      </c>
      <c r="AO13" s="18"/>
      <c r="AP13" s="18">
        <v>1.1296769364589E-3</v>
      </c>
      <c r="AQ13" s="18">
        <v>4.5719878397040004E-3</v>
      </c>
      <c r="AR13" s="18"/>
      <c r="AS13" s="18">
        <v>3.78168356951394E-3</v>
      </c>
      <c r="AT13" s="18">
        <v>0</v>
      </c>
      <c r="AU13" s="18">
        <v>3.27817300671269E-3</v>
      </c>
      <c r="AV13" s="18"/>
      <c r="AW13" s="18">
        <v>2.1779869462062499E-3</v>
      </c>
      <c r="AX13" s="18">
        <v>3.53529993245738E-3</v>
      </c>
      <c r="AY13" s="18"/>
      <c r="AZ13" s="18">
        <v>1.2563485245899099E-3</v>
      </c>
      <c r="BA13" s="18">
        <v>2.7683178670645601E-3</v>
      </c>
    </row>
    <row r="14" spans="2:53" x14ac:dyDescent="0.35">
      <c r="B14" s="26" t="s">
        <v>81</v>
      </c>
      <c r="C14" s="27">
        <v>0.97916089849238297</v>
      </c>
      <c r="D14" s="27">
        <v>0.98549012150326099</v>
      </c>
      <c r="E14" s="27">
        <v>0.97280641085184805</v>
      </c>
      <c r="F14" s="27"/>
      <c r="G14" s="27">
        <v>1</v>
      </c>
      <c r="H14" s="27">
        <v>0.96522889997972705</v>
      </c>
      <c r="I14" s="27">
        <v>0.973619106911912</v>
      </c>
      <c r="J14" s="27">
        <v>0.99028843474496098</v>
      </c>
      <c r="K14" s="27">
        <v>0.98701598740492402</v>
      </c>
      <c r="L14" s="27">
        <v>1</v>
      </c>
      <c r="M14" s="27"/>
      <c r="N14" s="27">
        <v>0.98049506865240499</v>
      </c>
      <c r="O14" s="27">
        <v>0.98316325706619201</v>
      </c>
      <c r="P14" s="27">
        <v>0.97184952513242295</v>
      </c>
      <c r="Q14" s="27">
        <v>0.97975110638601504</v>
      </c>
      <c r="R14" s="27"/>
      <c r="S14" s="27">
        <v>0.97644901751054702</v>
      </c>
      <c r="T14" s="27">
        <v>0.97510243786816597</v>
      </c>
      <c r="U14" s="27">
        <v>0.98154945821256601</v>
      </c>
      <c r="V14" s="27">
        <v>0.98738465337515302</v>
      </c>
      <c r="W14" s="27">
        <v>0.98080747097044996</v>
      </c>
      <c r="X14" s="27">
        <v>0.95714413048539404</v>
      </c>
      <c r="Y14" s="27">
        <v>0.98779922620909899</v>
      </c>
      <c r="Z14" s="27">
        <v>0.97317120657800404</v>
      </c>
      <c r="AA14" s="27">
        <v>0.99017985910614204</v>
      </c>
      <c r="AB14" s="27"/>
      <c r="AC14" s="27">
        <v>0.98167218891156605</v>
      </c>
      <c r="AD14" s="27">
        <v>0.97050063404491405</v>
      </c>
      <c r="AE14" s="27">
        <v>0.98582524508304303</v>
      </c>
      <c r="AF14" s="27">
        <v>0.98475439706717405</v>
      </c>
      <c r="AG14" s="27">
        <v>0.98619943561744505</v>
      </c>
      <c r="AH14" s="27"/>
      <c r="AI14" s="27">
        <v>0.98326129378392801</v>
      </c>
      <c r="AJ14" s="27">
        <v>0.977224906605209</v>
      </c>
      <c r="AK14" s="27">
        <v>0.96952645303375995</v>
      </c>
      <c r="AL14" s="27">
        <v>0.98297343412923999</v>
      </c>
      <c r="AM14" s="27">
        <v>0.98588071667846799</v>
      </c>
      <c r="AN14" s="27">
        <v>0.972532487276069</v>
      </c>
      <c r="AO14" s="27"/>
      <c r="AP14" s="27">
        <v>0.98121504756989297</v>
      </c>
      <c r="AQ14" s="27">
        <v>0.97744934062807898</v>
      </c>
      <c r="AR14" s="27"/>
      <c r="AS14" s="27">
        <v>0.98631090733868498</v>
      </c>
      <c r="AT14" s="27">
        <v>0.96528315091355898</v>
      </c>
      <c r="AU14" s="27">
        <v>0.98134016530567802</v>
      </c>
      <c r="AV14" s="27"/>
      <c r="AW14" s="27">
        <v>0.98048427987678699</v>
      </c>
      <c r="AX14" s="27">
        <v>0.97707288406181003</v>
      </c>
      <c r="AY14" s="27"/>
      <c r="AZ14" s="27">
        <v>0.97866301702502101</v>
      </c>
      <c r="BA14" s="27">
        <v>0.986165743351193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BA19"/>
  <sheetViews>
    <sheetView showGridLines="0" workbookViewId="0">
      <pane xSplit="2" topLeftCell="C1" activePane="topRight" state="frozen"/>
      <selection activeCell="BE12" sqref="BE12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136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0.65782912966850304</v>
      </c>
      <c r="D9" s="14">
        <v>0.599924799089123</v>
      </c>
      <c r="E9" s="14">
        <v>0.71544802070077096</v>
      </c>
      <c r="F9" s="14"/>
      <c r="G9" s="14">
        <v>0.82341610194261805</v>
      </c>
      <c r="H9" s="14">
        <v>0.68854913701647502</v>
      </c>
      <c r="I9" s="14">
        <v>0.68013233678082197</v>
      </c>
      <c r="J9" s="14">
        <v>0.64861335981240797</v>
      </c>
      <c r="K9" s="14">
        <v>0.54642095546385006</v>
      </c>
      <c r="L9" s="14">
        <v>0.51429113457676801</v>
      </c>
      <c r="M9" s="14"/>
      <c r="N9" s="14">
        <v>0.69180537669730502</v>
      </c>
      <c r="O9" s="14">
        <v>0.70177330710614505</v>
      </c>
      <c r="P9" s="14">
        <v>0.58398393093676004</v>
      </c>
      <c r="Q9" s="14">
        <v>0.642460488553107</v>
      </c>
      <c r="R9" s="14"/>
      <c r="S9" s="14">
        <v>0.70585210785630803</v>
      </c>
      <c r="T9" s="14">
        <v>0.69369994635811705</v>
      </c>
      <c r="U9" s="14">
        <v>0.69105193801229103</v>
      </c>
      <c r="V9" s="14">
        <v>0.63265431035505304</v>
      </c>
      <c r="W9" s="14">
        <v>0.64404316403863904</v>
      </c>
      <c r="X9" s="14">
        <v>0.62531984565326004</v>
      </c>
      <c r="Y9" s="14">
        <v>0.60565269391307996</v>
      </c>
      <c r="Z9" s="14">
        <v>0.59997997325987595</v>
      </c>
      <c r="AA9" s="14">
        <v>0.64742437382710305</v>
      </c>
      <c r="AB9" s="14"/>
      <c r="AC9" s="14">
        <v>0.59450482635233304</v>
      </c>
      <c r="AD9" s="14">
        <v>0.65510009069083097</v>
      </c>
      <c r="AE9" s="14">
        <v>0.66105553698477804</v>
      </c>
      <c r="AF9" s="14">
        <v>0.74047280067166399</v>
      </c>
      <c r="AG9" s="14">
        <v>0.69896628162211505</v>
      </c>
      <c r="AH9" s="14"/>
      <c r="AI9" s="14">
        <v>0.661985542151587</v>
      </c>
      <c r="AJ9" s="14">
        <v>0.65436007426140497</v>
      </c>
      <c r="AK9" s="14">
        <v>0.66970571561247905</v>
      </c>
      <c r="AL9" s="14">
        <v>0.65530540582496299</v>
      </c>
      <c r="AM9" s="14">
        <v>0.68938043627662005</v>
      </c>
      <c r="AN9" s="14">
        <v>0.65888240812901699</v>
      </c>
      <c r="AO9" s="14"/>
      <c r="AP9" s="14">
        <v>0.64483012774314996</v>
      </c>
      <c r="AQ9" s="14">
        <v>0.67457485657712002</v>
      </c>
      <c r="AR9" s="14"/>
      <c r="AS9" s="14">
        <v>0.68898505226784501</v>
      </c>
      <c r="AT9" s="14">
        <v>0.66229872380024302</v>
      </c>
      <c r="AU9" s="14">
        <v>0.64812234705252902</v>
      </c>
      <c r="AV9" s="14"/>
      <c r="AW9" s="14">
        <v>0.66098603876894402</v>
      </c>
      <c r="AX9" s="14">
        <v>0.68136211117272705</v>
      </c>
      <c r="AY9" s="14"/>
      <c r="AZ9" s="14">
        <v>0.65640347471650196</v>
      </c>
      <c r="BA9" s="14">
        <v>0.67162393807615295</v>
      </c>
    </row>
    <row r="10" spans="2:53" x14ac:dyDescent="0.35">
      <c r="B10" s="15" t="s">
        <v>77</v>
      </c>
      <c r="C10" s="14">
        <v>0.31421631546295697</v>
      </c>
      <c r="D10" s="14">
        <v>0.36332490807906298</v>
      </c>
      <c r="E10" s="14">
        <v>0.265373093083622</v>
      </c>
      <c r="F10" s="14"/>
      <c r="G10" s="14">
        <v>0.176583898057382</v>
      </c>
      <c r="H10" s="14">
        <v>0.26802447194104601</v>
      </c>
      <c r="I10" s="14">
        <v>0.29231222699499199</v>
      </c>
      <c r="J10" s="14">
        <v>0.33283914347715698</v>
      </c>
      <c r="K10" s="14">
        <v>0.42580914231622302</v>
      </c>
      <c r="L10" s="14">
        <v>0.40093994117072401</v>
      </c>
      <c r="M10" s="14"/>
      <c r="N10" s="14">
        <v>0.28967065488341598</v>
      </c>
      <c r="O10" s="14">
        <v>0.28640823691264</v>
      </c>
      <c r="P10" s="14">
        <v>0.37629512867950099</v>
      </c>
      <c r="Q10" s="14">
        <v>0.312665007410523</v>
      </c>
      <c r="R10" s="14"/>
      <c r="S10" s="14">
        <v>0.27038607026139899</v>
      </c>
      <c r="T10" s="14">
        <v>0.26670739676593802</v>
      </c>
      <c r="U10" s="14">
        <v>0.291719315106931</v>
      </c>
      <c r="V10" s="14">
        <v>0.31283248606913799</v>
      </c>
      <c r="W10" s="14">
        <v>0.30628283179799298</v>
      </c>
      <c r="X10" s="14">
        <v>0.35605169134625497</v>
      </c>
      <c r="Y10" s="14">
        <v>0.38617580975730897</v>
      </c>
      <c r="Z10" s="14">
        <v>0.38425097788967899</v>
      </c>
      <c r="AA10" s="14">
        <v>0.33590922338596502</v>
      </c>
      <c r="AB10" s="14"/>
      <c r="AC10" s="14">
        <v>0.35196979928225802</v>
      </c>
      <c r="AD10" s="14">
        <v>0.32459158911987801</v>
      </c>
      <c r="AE10" s="14">
        <v>0.32372871927186198</v>
      </c>
      <c r="AF10" s="14">
        <v>0.24095716596047601</v>
      </c>
      <c r="AG10" s="14">
        <v>0.28264875180064802</v>
      </c>
      <c r="AH10" s="14"/>
      <c r="AI10" s="14">
        <v>0.30788105655032999</v>
      </c>
      <c r="AJ10" s="14">
        <v>0.325983853270154</v>
      </c>
      <c r="AK10" s="14">
        <v>0.29909598783686497</v>
      </c>
      <c r="AL10" s="14">
        <v>0.314665406667749</v>
      </c>
      <c r="AM10" s="14">
        <v>0.301186367100926</v>
      </c>
      <c r="AN10" s="14">
        <v>0.30378231243798198</v>
      </c>
      <c r="AO10" s="14"/>
      <c r="AP10" s="14">
        <v>0.32483627738215198</v>
      </c>
      <c r="AQ10" s="14">
        <v>0.30125308663518502</v>
      </c>
      <c r="AR10" s="14"/>
      <c r="AS10" s="14">
        <v>0.28351042758067602</v>
      </c>
      <c r="AT10" s="14">
        <v>0.292850376755451</v>
      </c>
      <c r="AU10" s="14">
        <v>0.32879814620152897</v>
      </c>
      <c r="AV10" s="14"/>
      <c r="AW10" s="14">
        <v>0.316576832335839</v>
      </c>
      <c r="AX10" s="14">
        <v>0.28386634697739599</v>
      </c>
      <c r="AY10" s="14"/>
      <c r="AZ10" s="14">
        <v>0.31668555301932899</v>
      </c>
      <c r="BA10" s="14">
        <v>0.306711398331248</v>
      </c>
    </row>
    <row r="11" spans="2:53" x14ac:dyDescent="0.35">
      <c r="B11" s="15" t="s">
        <v>78</v>
      </c>
      <c r="C11" s="14">
        <v>2.4567511608298901E-2</v>
      </c>
      <c r="D11" s="14">
        <v>3.4804581929886599E-2</v>
      </c>
      <c r="E11" s="14">
        <v>1.43460743264835E-2</v>
      </c>
      <c r="F11" s="14"/>
      <c r="G11" s="14">
        <v>0</v>
      </c>
      <c r="H11" s="14">
        <v>3.8555413774704901E-2</v>
      </c>
      <c r="I11" s="14">
        <v>2.2732872782522499E-2</v>
      </c>
      <c r="J11" s="14">
        <v>1.6711497679971599E-2</v>
      </c>
      <c r="K11" s="14">
        <v>2.7769902219926201E-2</v>
      </c>
      <c r="L11" s="14">
        <v>8.4768924252507899E-2</v>
      </c>
      <c r="M11" s="14"/>
      <c r="N11" s="14">
        <v>1.8236318244777099E-2</v>
      </c>
      <c r="O11" s="14">
        <v>1.1818455981214501E-2</v>
      </c>
      <c r="P11" s="14">
        <v>3.3985317654078598E-2</v>
      </c>
      <c r="Q11" s="14">
        <v>3.6649118047184702E-2</v>
      </c>
      <c r="R11" s="14"/>
      <c r="S11" s="14">
        <v>2.37618218822928E-2</v>
      </c>
      <c r="T11" s="14">
        <v>3.35056480307791E-2</v>
      </c>
      <c r="U11" s="14">
        <v>1.72287468807777E-2</v>
      </c>
      <c r="V11" s="14">
        <v>4.8597179568890203E-2</v>
      </c>
      <c r="W11" s="14">
        <v>4.2925955783737098E-2</v>
      </c>
      <c r="X11" s="14">
        <v>1.26112225956291E-2</v>
      </c>
      <c r="Y11" s="14">
        <v>2.6571811466538598E-3</v>
      </c>
      <c r="Z11" s="14">
        <v>1.5769048850444899E-2</v>
      </c>
      <c r="AA11" s="14">
        <v>1.6666402786932301E-2</v>
      </c>
      <c r="AB11" s="14"/>
      <c r="AC11" s="14">
        <v>4.7716840497249301E-2</v>
      </c>
      <c r="AD11" s="14">
        <v>1.72610850441621E-2</v>
      </c>
      <c r="AE11" s="14">
        <v>1.52157437433605E-2</v>
      </c>
      <c r="AF11" s="14">
        <v>1.8053725356714199E-2</v>
      </c>
      <c r="AG11" s="14">
        <v>1.8384966577236199E-2</v>
      </c>
      <c r="AH11" s="14"/>
      <c r="AI11" s="14">
        <v>2.99127832989345E-2</v>
      </c>
      <c r="AJ11" s="14">
        <v>1.9656072468440498E-2</v>
      </c>
      <c r="AK11" s="14">
        <v>2.0365541153514501E-2</v>
      </c>
      <c r="AL11" s="14">
        <v>2.2491391156531398E-2</v>
      </c>
      <c r="AM11" s="14">
        <v>9.4331966224536906E-3</v>
      </c>
      <c r="AN11" s="14">
        <v>3.7335279433000398E-2</v>
      </c>
      <c r="AO11" s="14"/>
      <c r="AP11" s="14">
        <v>2.8346949392263399E-2</v>
      </c>
      <c r="AQ11" s="14">
        <v>1.9198454067284799E-2</v>
      </c>
      <c r="AR11" s="14"/>
      <c r="AS11" s="14">
        <v>2.3272521386163699E-2</v>
      </c>
      <c r="AT11" s="14">
        <v>3.9702949142843301E-2</v>
      </c>
      <c r="AU11" s="14">
        <v>2.04405622491362E-2</v>
      </c>
      <c r="AV11" s="14"/>
      <c r="AW11" s="14">
        <v>2.0835971702863901E-2</v>
      </c>
      <c r="AX11" s="14">
        <v>3.4301762756328499E-2</v>
      </c>
      <c r="AY11" s="14"/>
      <c r="AZ11" s="14">
        <v>2.4094728174879398E-2</v>
      </c>
      <c r="BA11" s="14">
        <v>2.1664663592598901E-2</v>
      </c>
    </row>
    <row r="12" spans="2:53" x14ac:dyDescent="0.35">
      <c r="B12" s="15" t="s">
        <v>79</v>
      </c>
      <c r="C12" s="14">
        <v>1.65803756906236E-3</v>
      </c>
      <c r="D12" s="14">
        <v>1.94571090192704E-3</v>
      </c>
      <c r="E12" s="14">
        <v>1.37174170520824E-3</v>
      </c>
      <c r="F12" s="14"/>
      <c r="G12" s="14">
        <v>0</v>
      </c>
      <c r="H12" s="14">
        <v>5.1830711768087695E-4</v>
      </c>
      <c r="I12" s="14">
        <v>3.6187668645629302E-3</v>
      </c>
      <c r="J12" s="14">
        <v>0</v>
      </c>
      <c r="K12" s="14">
        <v>0</v>
      </c>
      <c r="L12" s="14">
        <v>0</v>
      </c>
      <c r="M12" s="14"/>
      <c r="N12" s="14">
        <v>2.8765017450139101E-4</v>
      </c>
      <c r="O12" s="14">
        <v>0</v>
      </c>
      <c r="P12" s="14">
        <v>2.7707242984387299E-3</v>
      </c>
      <c r="Q12" s="14">
        <v>3.9005359163666099E-3</v>
      </c>
      <c r="R12" s="14"/>
      <c r="S12" s="14">
        <v>0</v>
      </c>
      <c r="T12" s="14">
        <v>6.0870088451657096E-3</v>
      </c>
      <c r="U12" s="14">
        <v>0</v>
      </c>
      <c r="V12" s="14">
        <v>0</v>
      </c>
      <c r="W12" s="14">
        <v>6.7480483796308497E-3</v>
      </c>
      <c r="X12" s="14">
        <v>7.7255229412305504E-4</v>
      </c>
      <c r="Y12" s="14">
        <v>0</v>
      </c>
      <c r="Z12" s="14">
        <v>0</v>
      </c>
      <c r="AA12" s="14">
        <v>0</v>
      </c>
      <c r="AB12" s="14"/>
      <c r="AC12" s="14">
        <v>3.0419183262921298E-3</v>
      </c>
      <c r="AD12" s="14">
        <v>0</v>
      </c>
      <c r="AE12" s="14">
        <v>0</v>
      </c>
      <c r="AF12" s="14">
        <v>5.1630801114618699E-4</v>
      </c>
      <c r="AG12" s="14">
        <v>0</v>
      </c>
      <c r="AH12" s="14"/>
      <c r="AI12" s="14">
        <v>2.20617999148486E-4</v>
      </c>
      <c r="AJ12" s="14">
        <v>0</v>
      </c>
      <c r="AK12" s="14">
        <v>1.08327553971419E-2</v>
      </c>
      <c r="AL12" s="14">
        <v>3.9475298551527004E-3</v>
      </c>
      <c r="AM12" s="14">
        <v>0</v>
      </c>
      <c r="AN12" s="14">
        <v>0</v>
      </c>
      <c r="AO12" s="14"/>
      <c r="AP12" s="14">
        <v>1.9866454824342202E-3</v>
      </c>
      <c r="AQ12" s="14">
        <v>1.2936510610526699E-3</v>
      </c>
      <c r="AR12" s="14"/>
      <c r="AS12" s="14">
        <v>4.5031519580080001E-4</v>
      </c>
      <c r="AT12" s="14">
        <v>5.14795030146235E-3</v>
      </c>
      <c r="AU12" s="14">
        <v>9.5112728975818605E-4</v>
      </c>
      <c r="AV12" s="14"/>
      <c r="AW12" s="14">
        <v>0</v>
      </c>
      <c r="AX12" s="14">
        <v>4.6977909354886698E-4</v>
      </c>
      <c r="AY12" s="14"/>
      <c r="AZ12" s="14">
        <v>2.1120619484583502E-3</v>
      </c>
      <c r="BA12" s="14">
        <v>0</v>
      </c>
    </row>
    <row r="13" spans="2:53" x14ac:dyDescent="0.35">
      <c r="B13" s="15" t="s">
        <v>80</v>
      </c>
      <c r="C13" s="18">
        <v>1.72900569117845E-3</v>
      </c>
      <c r="D13" s="18">
        <v>0</v>
      </c>
      <c r="E13" s="18">
        <v>3.4610701839153401E-3</v>
      </c>
      <c r="F13" s="18"/>
      <c r="G13" s="18">
        <v>0</v>
      </c>
      <c r="H13" s="18">
        <v>4.3526701500940599E-3</v>
      </c>
      <c r="I13" s="18">
        <v>1.2037965771009599E-3</v>
      </c>
      <c r="J13" s="18">
        <v>1.83599903046359E-3</v>
      </c>
      <c r="K13" s="18">
        <v>0</v>
      </c>
      <c r="L13" s="18">
        <v>0</v>
      </c>
      <c r="M13" s="18"/>
      <c r="N13" s="18">
        <v>0</v>
      </c>
      <c r="O13" s="18">
        <v>0</v>
      </c>
      <c r="P13" s="18">
        <v>2.9648984312212199E-3</v>
      </c>
      <c r="Q13" s="18">
        <v>4.3248500728181698E-3</v>
      </c>
      <c r="R13" s="18"/>
      <c r="S13" s="18">
        <v>0</v>
      </c>
      <c r="T13" s="18">
        <v>0</v>
      </c>
      <c r="U13" s="18">
        <v>0</v>
      </c>
      <c r="V13" s="18">
        <v>5.9160240069183103E-3</v>
      </c>
      <c r="W13" s="18">
        <v>0</v>
      </c>
      <c r="X13" s="18">
        <v>5.2446881107329297E-3</v>
      </c>
      <c r="Y13" s="18">
        <v>5.5143151829572402E-3</v>
      </c>
      <c r="Z13" s="18">
        <v>0</v>
      </c>
      <c r="AA13" s="18">
        <v>0</v>
      </c>
      <c r="AB13" s="18"/>
      <c r="AC13" s="18">
        <v>2.7666155418677898E-3</v>
      </c>
      <c r="AD13" s="18">
        <v>3.04723514512905E-3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3.59026649560469E-3</v>
      </c>
      <c r="AM13" s="18">
        <v>0</v>
      </c>
      <c r="AN13" s="18">
        <v>0</v>
      </c>
      <c r="AO13" s="18"/>
      <c r="AP13" s="18">
        <v>0</v>
      </c>
      <c r="AQ13" s="18">
        <v>3.6799516593579102E-3</v>
      </c>
      <c r="AR13" s="18"/>
      <c r="AS13" s="18">
        <v>3.78168356951394E-3</v>
      </c>
      <c r="AT13" s="18">
        <v>0</v>
      </c>
      <c r="AU13" s="18">
        <v>1.6878172070473E-3</v>
      </c>
      <c r="AV13" s="18"/>
      <c r="AW13" s="18">
        <v>1.6011571923533201E-3</v>
      </c>
      <c r="AX13" s="18">
        <v>0</v>
      </c>
      <c r="AY13" s="18"/>
      <c r="AZ13" s="18">
        <v>7.0418214083151195E-4</v>
      </c>
      <c r="BA13" s="18">
        <v>0</v>
      </c>
    </row>
    <row r="14" spans="2:53" x14ac:dyDescent="0.35">
      <c r="B14" s="26" t="s">
        <v>81</v>
      </c>
      <c r="C14" s="27">
        <v>0.97204544513145996</v>
      </c>
      <c r="D14" s="27">
        <v>0.96324970716818603</v>
      </c>
      <c r="E14" s="27">
        <v>0.98082111378439296</v>
      </c>
      <c r="F14" s="27"/>
      <c r="G14" s="27">
        <v>1</v>
      </c>
      <c r="H14" s="27">
        <v>0.95657360895751997</v>
      </c>
      <c r="I14" s="27">
        <v>0.97244456377581401</v>
      </c>
      <c r="J14" s="27">
        <v>0.98145250328956501</v>
      </c>
      <c r="K14" s="27">
        <v>0.97223009778007397</v>
      </c>
      <c r="L14" s="27">
        <v>0.91523107574749196</v>
      </c>
      <c r="M14" s="27"/>
      <c r="N14" s="27">
        <v>0.98147603158072205</v>
      </c>
      <c r="O14" s="27">
        <v>0.988181544018785</v>
      </c>
      <c r="P14" s="27">
        <v>0.96027905961626103</v>
      </c>
      <c r="Q14" s="27">
        <v>0.95512549596362994</v>
      </c>
      <c r="R14" s="27"/>
      <c r="S14" s="27">
        <v>0.97623817811770697</v>
      </c>
      <c r="T14" s="27">
        <v>0.96040734312405496</v>
      </c>
      <c r="U14" s="27">
        <v>0.98277125311922198</v>
      </c>
      <c r="V14" s="27">
        <v>0.94548679642419198</v>
      </c>
      <c r="W14" s="27">
        <v>0.95032599583663202</v>
      </c>
      <c r="X14" s="27">
        <v>0.98137153699951496</v>
      </c>
      <c r="Y14" s="27">
        <v>0.99182850367038899</v>
      </c>
      <c r="Z14" s="27">
        <v>0.98423095114955494</v>
      </c>
      <c r="AA14" s="27">
        <v>0.98333359721306801</v>
      </c>
      <c r="AB14" s="27"/>
      <c r="AC14" s="27">
        <v>0.94647462563459095</v>
      </c>
      <c r="AD14" s="27">
        <v>0.97969167981070904</v>
      </c>
      <c r="AE14" s="27">
        <v>0.98478425625663901</v>
      </c>
      <c r="AF14" s="27">
        <v>0.98142996663213999</v>
      </c>
      <c r="AG14" s="27">
        <v>0.98161503342276402</v>
      </c>
      <c r="AH14" s="27"/>
      <c r="AI14" s="27">
        <v>0.96986659870191705</v>
      </c>
      <c r="AJ14" s="27">
        <v>0.98034392753155997</v>
      </c>
      <c r="AK14" s="27">
        <v>0.96880170344934302</v>
      </c>
      <c r="AL14" s="27">
        <v>0.969970812492711</v>
      </c>
      <c r="AM14" s="27">
        <v>0.99056680337754599</v>
      </c>
      <c r="AN14" s="27">
        <v>0.96266472056700003</v>
      </c>
      <c r="AO14" s="27"/>
      <c r="AP14" s="27">
        <v>0.969666405125302</v>
      </c>
      <c r="AQ14" s="27">
        <v>0.97582794321230504</v>
      </c>
      <c r="AR14" s="27"/>
      <c r="AS14" s="27">
        <v>0.97249547984852203</v>
      </c>
      <c r="AT14" s="27">
        <v>0.95514910055569402</v>
      </c>
      <c r="AU14" s="27">
        <v>0.97692049325405805</v>
      </c>
      <c r="AV14" s="27"/>
      <c r="AW14" s="27">
        <v>0.97756287110478302</v>
      </c>
      <c r="AX14" s="27">
        <v>0.96522845815012304</v>
      </c>
      <c r="AY14" s="27"/>
      <c r="AZ14" s="27">
        <v>0.97308902773583095</v>
      </c>
      <c r="BA14" s="27">
        <v>0.978335336407401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BA19"/>
  <sheetViews>
    <sheetView showGridLines="0" workbookViewId="0">
      <pane xSplit="2" topLeftCell="C1" activePane="topRight" state="frozen"/>
      <selection activeCell="BE12" sqref="BE12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137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0.69589052844417698</v>
      </c>
      <c r="D9" s="14">
        <v>0.63779779262171099</v>
      </c>
      <c r="E9" s="14">
        <v>0.75373487644356796</v>
      </c>
      <c r="F9" s="14"/>
      <c r="G9" s="14">
        <v>0.54120143348295402</v>
      </c>
      <c r="H9" s="14">
        <v>0.68020775965256897</v>
      </c>
      <c r="I9" s="14">
        <v>0.69676577828915498</v>
      </c>
      <c r="J9" s="14">
        <v>0.73975728696785203</v>
      </c>
      <c r="K9" s="14">
        <v>0.62190973765705004</v>
      </c>
      <c r="L9" s="14">
        <v>0.45869717884017502</v>
      </c>
      <c r="M9" s="14"/>
      <c r="N9" s="14">
        <v>0.703070817833925</v>
      </c>
      <c r="O9" s="14">
        <v>0.70885333803016404</v>
      </c>
      <c r="P9" s="14">
        <v>0.67634266722499703</v>
      </c>
      <c r="Q9" s="14">
        <v>0.69420157131516103</v>
      </c>
      <c r="R9" s="14"/>
      <c r="S9" s="14">
        <v>0.65069417228580095</v>
      </c>
      <c r="T9" s="14">
        <v>0.75036031071090203</v>
      </c>
      <c r="U9" s="14">
        <v>0.780772376281058</v>
      </c>
      <c r="V9" s="14">
        <v>0.70475462588854298</v>
      </c>
      <c r="W9" s="14">
        <v>0.65670738552115204</v>
      </c>
      <c r="X9" s="14">
        <v>0.71096886222290101</v>
      </c>
      <c r="Y9" s="14">
        <v>0.66238292428178103</v>
      </c>
      <c r="Z9" s="14">
        <v>0.70336311223235104</v>
      </c>
      <c r="AA9" s="14">
        <v>0.64993624461967803</v>
      </c>
      <c r="AB9" s="14"/>
      <c r="AC9" s="14">
        <v>0.70072186210041998</v>
      </c>
      <c r="AD9" s="14">
        <v>0.71296575282206598</v>
      </c>
      <c r="AE9" s="14">
        <v>0.68529719232932496</v>
      </c>
      <c r="AF9" s="14">
        <v>0.71244338080532099</v>
      </c>
      <c r="AG9" s="14">
        <v>0.61492375637093999</v>
      </c>
      <c r="AH9" s="14"/>
      <c r="AI9" s="14">
        <v>0.65267884891667405</v>
      </c>
      <c r="AJ9" s="14">
        <v>0.70247235267831198</v>
      </c>
      <c r="AK9" s="14">
        <v>0.73496597620963</v>
      </c>
      <c r="AL9" s="14">
        <v>0.71263455194658698</v>
      </c>
      <c r="AM9" s="14">
        <v>0.66930160133844196</v>
      </c>
      <c r="AN9" s="14">
        <v>0.76681181131976495</v>
      </c>
      <c r="AO9" s="14"/>
      <c r="AP9" s="14">
        <v>0.68663440347078797</v>
      </c>
      <c r="AQ9" s="14">
        <v>0.70735182147412201</v>
      </c>
      <c r="AR9" s="14"/>
      <c r="AS9" s="14">
        <v>0.68250108303095003</v>
      </c>
      <c r="AT9" s="14">
        <v>0.68914456398798196</v>
      </c>
      <c r="AU9" s="14">
        <v>0.70148884441155201</v>
      </c>
      <c r="AV9" s="14"/>
      <c r="AW9" s="14">
        <v>0.69697992496750005</v>
      </c>
      <c r="AX9" s="14">
        <v>0.68587108656177898</v>
      </c>
      <c r="AY9" s="14"/>
      <c r="AZ9" s="14">
        <v>0.69085410064231501</v>
      </c>
      <c r="BA9" s="14">
        <v>0.72394890136981904</v>
      </c>
    </row>
    <row r="10" spans="2:53" x14ac:dyDescent="0.35">
      <c r="B10" s="15" t="s">
        <v>77</v>
      </c>
      <c r="C10" s="14">
        <v>0.271870512553886</v>
      </c>
      <c r="D10" s="14">
        <v>0.31675410687338301</v>
      </c>
      <c r="E10" s="14">
        <v>0.22721461189402301</v>
      </c>
      <c r="F10" s="14"/>
      <c r="G10" s="14">
        <v>0.37771030811869</v>
      </c>
      <c r="H10" s="14">
        <v>0.28032367425298599</v>
      </c>
      <c r="I10" s="14">
        <v>0.26964858307055201</v>
      </c>
      <c r="J10" s="14">
        <v>0.23054862609820101</v>
      </c>
      <c r="K10" s="14">
        <v>0.37809026234295001</v>
      </c>
      <c r="L10" s="14">
        <v>0.38993818837208999</v>
      </c>
      <c r="M10" s="14"/>
      <c r="N10" s="14">
        <v>0.266367536641751</v>
      </c>
      <c r="O10" s="14">
        <v>0.27142489607111298</v>
      </c>
      <c r="P10" s="14">
        <v>0.28462750322826802</v>
      </c>
      <c r="Q10" s="14">
        <v>0.26434305400491498</v>
      </c>
      <c r="R10" s="14"/>
      <c r="S10" s="14">
        <v>0.29603879219325402</v>
      </c>
      <c r="T10" s="14">
        <v>0.22407559012161099</v>
      </c>
      <c r="U10" s="14">
        <v>0.20332619411901801</v>
      </c>
      <c r="V10" s="14">
        <v>0.28109432990939398</v>
      </c>
      <c r="W10" s="14">
        <v>0.29281630954214</v>
      </c>
      <c r="X10" s="14">
        <v>0.26411346322385598</v>
      </c>
      <c r="Y10" s="14">
        <v>0.29653006727765702</v>
      </c>
      <c r="Z10" s="14">
        <v>0.27736350620056899</v>
      </c>
      <c r="AA10" s="14">
        <v>0.31640195094738799</v>
      </c>
      <c r="AB10" s="14"/>
      <c r="AC10" s="14">
        <v>0.27749662610299097</v>
      </c>
      <c r="AD10" s="14">
        <v>0.24224162203024899</v>
      </c>
      <c r="AE10" s="14">
        <v>0.28547452776415899</v>
      </c>
      <c r="AF10" s="14">
        <v>0.27397165483485902</v>
      </c>
      <c r="AG10" s="14">
        <v>0.37849334558890302</v>
      </c>
      <c r="AH10" s="14"/>
      <c r="AI10" s="14">
        <v>0.29848932272601603</v>
      </c>
      <c r="AJ10" s="14">
        <v>0.28258214059810499</v>
      </c>
      <c r="AK10" s="14">
        <v>0.221450176347087</v>
      </c>
      <c r="AL10" s="14">
        <v>0.28377066624240299</v>
      </c>
      <c r="AM10" s="14">
        <v>0.30359853236864198</v>
      </c>
      <c r="AN10" s="14">
        <v>0.20495999032352699</v>
      </c>
      <c r="AO10" s="14"/>
      <c r="AP10" s="14">
        <v>0.27550244745302699</v>
      </c>
      <c r="AQ10" s="14">
        <v>0.26663332328918998</v>
      </c>
      <c r="AR10" s="14"/>
      <c r="AS10" s="14">
        <v>0.29267959138424798</v>
      </c>
      <c r="AT10" s="14">
        <v>0.27881931984257302</v>
      </c>
      <c r="AU10" s="14">
        <v>0.26421533489014398</v>
      </c>
      <c r="AV10" s="14"/>
      <c r="AW10" s="14">
        <v>0.27323044942317998</v>
      </c>
      <c r="AX10" s="14">
        <v>0.27824530360562699</v>
      </c>
      <c r="AY10" s="14"/>
      <c r="AZ10" s="14">
        <v>0.27999104936462299</v>
      </c>
      <c r="BA10" s="14">
        <v>0.247308034113942</v>
      </c>
    </row>
    <row r="11" spans="2:53" x14ac:dyDescent="0.35">
      <c r="B11" s="15" t="s">
        <v>78</v>
      </c>
      <c r="C11" s="14">
        <v>2.6489005781368501E-2</v>
      </c>
      <c r="D11" s="14">
        <v>3.8455507476697903E-2</v>
      </c>
      <c r="E11" s="14">
        <v>1.45386171962386E-2</v>
      </c>
      <c r="F11" s="14"/>
      <c r="G11" s="14">
        <v>8.1088258398355997E-2</v>
      </c>
      <c r="H11" s="14">
        <v>3.1215400211803902E-2</v>
      </c>
      <c r="I11" s="14">
        <v>2.6614122085257201E-2</v>
      </c>
      <c r="J11" s="14">
        <v>2.4806182933738902E-2</v>
      </c>
      <c r="K11" s="14">
        <v>0</v>
      </c>
      <c r="L11" s="14">
        <v>0.15136463278773499</v>
      </c>
      <c r="M11" s="14"/>
      <c r="N11" s="14">
        <v>3.0561645524323899E-2</v>
      </c>
      <c r="O11" s="14">
        <v>1.7225393499248402E-2</v>
      </c>
      <c r="P11" s="14">
        <v>3.6064931115513899E-2</v>
      </c>
      <c r="Q11" s="14">
        <v>2.36010149494894E-2</v>
      </c>
      <c r="R11" s="14"/>
      <c r="S11" s="14">
        <v>4.9618887324843999E-2</v>
      </c>
      <c r="T11" s="14">
        <v>1.9477090322321401E-2</v>
      </c>
      <c r="U11" s="14">
        <v>1.59014295999233E-2</v>
      </c>
      <c r="V11" s="14">
        <v>8.2350201951448404E-3</v>
      </c>
      <c r="W11" s="14">
        <v>3.9631709533722699E-2</v>
      </c>
      <c r="X11" s="14">
        <v>1.96729864425104E-2</v>
      </c>
      <c r="Y11" s="14">
        <v>3.6150211602076501E-2</v>
      </c>
      <c r="Z11" s="14">
        <v>1.9273381567080101E-2</v>
      </c>
      <c r="AA11" s="14">
        <v>2.1745748918485401E-2</v>
      </c>
      <c r="AB11" s="14"/>
      <c r="AC11" s="14">
        <v>1.3975987823924001E-2</v>
      </c>
      <c r="AD11" s="14">
        <v>4.1745390002556101E-2</v>
      </c>
      <c r="AE11" s="14">
        <v>2.6999840884197102E-2</v>
      </c>
      <c r="AF11" s="14">
        <v>1.3584964359820101E-2</v>
      </c>
      <c r="AG11" s="14">
        <v>6.5828980401571001E-3</v>
      </c>
      <c r="AH11" s="14"/>
      <c r="AI11" s="14">
        <v>4.1644328314254998E-2</v>
      </c>
      <c r="AJ11" s="14">
        <v>1.4945506723583E-2</v>
      </c>
      <c r="AK11" s="14">
        <v>3.2751092046140698E-2</v>
      </c>
      <c r="AL11" s="14">
        <v>3.5947818110103899E-3</v>
      </c>
      <c r="AM11" s="14">
        <v>2.7099866292915799E-2</v>
      </c>
      <c r="AN11" s="14">
        <v>1.3698896338858501E-2</v>
      </c>
      <c r="AO11" s="14"/>
      <c r="AP11" s="14">
        <v>3.1249967553033001E-2</v>
      </c>
      <c r="AQ11" s="14">
        <v>2.1217624136089699E-2</v>
      </c>
      <c r="AR11" s="14"/>
      <c r="AS11" s="14">
        <v>2.1037642015287999E-2</v>
      </c>
      <c r="AT11" s="14">
        <v>2.0381058304536698E-2</v>
      </c>
      <c r="AU11" s="14">
        <v>2.9762248646980301E-2</v>
      </c>
      <c r="AV11" s="14"/>
      <c r="AW11" s="14">
        <v>2.5987973512918799E-2</v>
      </c>
      <c r="AX11" s="14">
        <v>2.7424665629982602E-2</v>
      </c>
      <c r="AY11" s="14"/>
      <c r="AZ11" s="14">
        <v>2.4071099700280998E-2</v>
      </c>
      <c r="BA11" s="14">
        <v>2.59747462994309E-2</v>
      </c>
    </row>
    <row r="12" spans="2:53" x14ac:dyDescent="0.35">
      <c r="B12" s="15" t="s">
        <v>79</v>
      </c>
      <c r="C12" s="14">
        <v>3.3441499956749698E-3</v>
      </c>
      <c r="D12" s="14">
        <v>5.6989633750924402E-3</v>
      </c>
      <c r="E12" s="14">
        <v>9.906959192799551E-4</v>
      </c>
      <c r="F12" s="14"/>
      <c r="G12" s="14">
        <v>0</v>
      </c>
      <c r="H12" s="14">
        <v>0</v>
      </c>
      <c r="I12" s="14">
        <v>4.2869587203073403E-3</v>
      </c>
      <c r="J12" s="14">
        <v>4.8879040002081401E-3</v>
      </c>
      <c r="K12" s="14">
        <v>0</v>
      </c>
      <c r="L12" s="14">
        <v>0</v>
      </c>
      <c r="M12" s="14"/>
      <c r="N12" s="14">
        <v>0</v>
      </c>
      <c r="O12" s="14">
        <v>0</v>
      </c>
      <c r="P12" s="14">
        <v>0</v>
      </c>
      <c r="Q12" s="14">
        <v>1.34090675829391E-2</v>
      </c>
      <c r="R12" s="14"/>
      <c r="S12" s="14">
        <v>0</v>
      </c>
      <c r="T12" s="14">
        <v>6.0870088451657096E-3</v>
      </c>
      <c r="U12" s="14">
        <v>0</v>
      </c>
      <c r="V12" s="14">
        <v>0</v>
      </c>
      <c r="W12" s="14">
        <v>1.08445954029851E-2</v>
      </c>
      <c r="X12" s="14">
        <v>0</v>
      </c>
      <c r="Y12" s="14">
        <v>4.9367968384857403E-3</v>
      </c>
      <c r="Z12" s="14">
        <v>0</v>
      </c>
      <c r="AA12" s="14">
        <v>6.9324133952523102E-3</v>
      </c>
      <c r="AB12" s="14"/>
      <c r="AC12" s="14">
        <v>4.8885798740180902E-3</v>
      </c>
      <c r="AD12" s="14">
        <v>0</v>
      </c>
      <c r="AE12" s="14">
        <v>0</v>
      </c>
      <c r="AF12" s="14">
        <v>0</v>
      </c>
      <c r="AG12" s="14">
        <v>0</v>
      </c>
      <c r="AH12" s="14"/>
      <c r="AI12" s="14">
        <v>5.3451817651918899E-3</v>
      </c>
      <c r="AJ12" s="14">
        <v>0</v>
      </c>
      <c r="AK12" s="14">
        <v>1.08327553971419E-2</v>
      </c>
      <c r="AL12" s="14">
        <v>0</v>
      </c>
      <c r="AM12" s="14">
        <v>0</v>
      </c>
      <c r="AN12" s="14">
        <v>6.6719317493672001E-3</v>
      </c>
      <c r="AO12" s="14"/>
      <c r="AP12" s="14">
        <v>5.3897429953727099E-3</v>
      </c>
      <c r="AQ12" s="14">
        <v>1.0533485015750701E-3</v>
      </c>
      <c r="AR12" s="14"/>
      <c r="AS12" s="14">
        <v>0</v>
      </c>
      <c r="AT12" s="14">
        <v>5.14795030146235E-3</v>
      </c>
      <c r="AU12" s="14">
        <v>3.71080224525274E-3</v>
      </c>
      <c r="AV12" s="14"/>
      <c r="AW12" s="14">
        <v>1.2998600627565299E-3</v>
      </c>
      <c r="AX12" s="14">
        <v>8.4589442026110195E-3</v>
      </c>
      <c r="AY12" s="14"/>
      <c r="AZ12" s="14">
        <v>4.2598865596251197E-3</v>
      </c>
      <c r="BA12" s="14">
        <v>0</v>
      </c>
    </row>
    <row r="13" spans="2:53" x14ac:dyDescent="0.35">
      <c r="B13" s="15" t="s">
        <v>80</v>
      </c>
      <c r="C13" s="18">
        <v>2.4058032248934699E-3</v>
      </c>
      <c r="D13" s="18">
        <v>1.2936296531159701E-3</v>
      </c>
      <c r="E13" s="18">
        <v>3.5211985468902199E-3</v>
      </c>
      <c r="F13" s="18"/>
      <c r="G13" s="18">
        <v>0</v>
      </c>
      <c r="H13" s="18">
        <v>8.2531658826417009E-3</v>
      </c>
      <c r="I13" s="18">
        <v>2.6845578347284901E-3</v>
      </c>
      <c r="J13" s="18">
        <v>0</v>
      </c>
      <c r="K13" s="18">
        <v>0</v>
      </c>
      <c r="L13" s="18">
        <v>0</v>
      </c>
      <c r="M13" s="18"/>
      <c r="N13" s="18">
        <v>0</v>
      </c>
      <c r="O13" s="18">
        <v>2.4963723994747698E-3</v>
      </c>
      <c r="P13" s="18">
        <v>2.9648984312212199E-3</v>
      </c>
      <c r="Q13" s="18">
        <v>4.4452921474949997E-3</v>
      </c>
      <c r="R13" s="18"/>
      <c r="S13" s="18">
        <v>3.6481481961010802E-3</v>
      </c>
      <c r="T13" s="18">
        <v>0</v>
      </c>
      <c r="U13" s="18">
        <v>0</v>
      </c>
      <c r="V13" s="18">
        <v>5.9160240069183103E-3</v>
      </c>
      <c r="W13" s="18">
        <v>0</v>
      </c>
      <c r="X13" s="18">
        <v>5.2446881107329297E-3</v>
      </c>
      <c r="Y13" s="18">
        <v>0</v>
      </c>
      <c r="Z13" s="18">
        <v>0</v>
      </c>
      <c r="AA13" s="18">
        <v>4.9836421191954503E-3</v>
      </c>
      <c r="AB13" s="18"/>
      <c r="AC13" s="18">
        <v>2.9169440986468302E-3</v>
      </c>
      <c r="AD13" s="18">
        <v>3.04723514512905E-3</v>
      </c>
      <c r="AE13" s="18">
        <v>2.22843902231882E-3</v>
      </c>
      <c r="AF13" s="18">
        <v>0</v>
      </c>
      <c r="AG13" s="18">
        <v>0</v>
      </c>
      <c r="AH13" s="18"/>
      <c r="AI13" s="18">
        <v>1.84231827786296E-3</v>
      </c>
      <c r="AJ13" s="18">
        <v>0</v>
      </c>
      <c r="AK13" s="18">
        <v>0</v>
      </c>
      <c r="AL13" s="18">
        <v>0</v>
      </c>
      <c r="AM13" s="18">
        <v>0</v>
      </c>
      <c r="AN13" s="18">
        <v>7.8573702684819197E-3</v>
      </c>
      <c r="AO13" s="18"/>
      <c r="AP13" s="18">
        <v>1.22343852777877E-3</v>
      </c>
      <c r="AQ13" s="18">
        <v>3.7438825990228001E-3</v>
      </c>
      <c r="AR13" s="18"/>
      <c r="AS13" s="18">
        <v>3.78168356951394E-3</v>
      </c>
      <c r="AT13" s="18">
        <v>6.5071075634459598E-3</v>
      </c>
      <c r="AU13" s="18">
        <v>8.2276980607152701E-4</v>
      </c>
      <c r="AV13" s="18"/>
      <c r="AW13" s="18">
        <v>2.5017920336449099E-3</v>
      </c>
      <c r="AX13" s="18">
        <v>0</v>
      </c>
      <c r="AY13" s="18"/>
      <c r="AZ13" s="18">
        <v>8.2386373315577403E-4</v>
      </c>
      <c r="BA13" s="18">
        <v>2.7683182168082598E-3</v>
      </c>
    </row>
    <row r="14" spans="2:53" x14ac:dyDescent="0.35">
      <c r="B14" s="26" t="s">
        <v>81</v>
      </c>
      <c r="C14" s="27">
        <v>0.96776104099806304</v>
      </c>
      <c r="D14" s="27">
        <v>0.954551899495094</v>
      </c>
      <c r="E14" s="27">
        <v>0.98094948833759099</v>
      </c>
      <c r="F14" s="27"/>
      <c r="G14" s="27">
        <v>0.91891174160164402</v>
      </c>
      <c r="H14" s="27">
        <v>0.96053143390555495</v>
      </c>
      <c r="I14" s="27">
        <v>0.96641436135970704</v>
      </c>
      <c r="J14" s="27">
        <v>0.97030591306605296</v>
      </c>
      <c r="K14" s="27">
        <v>1</v>
      </c>
      <c r="L14" s="27">
        <v>0.84863536721226496</v>
      </c>
      <c r="M14" s="27"/>
      <c r="N14" s="27">
        <v>0.96943835447567595</v>
      </c>
      <c r="O14" s="27">
        <v>0.98027823410127701</v>
      </c>
      <c r="P14" s="27">
        <v>0.96097017045326505</v>
      </c>
      <c r="Q14" s="27">
        <v>0.958544625320076</v>
      </c>
      <c r="R14" s="27"/>
      <c r="S14" s="27">
        <v>0.94673296447905497</v>
      </c>
      <c r="T14" s="27">
        <v>0.97443590083251297</v>
      </c>
      <c r="U14" s="27">
        <v>0.98409857040007698</v>
      </c>
      <c r="V14" s="27">
        <v>0.98584895579793697</v>
      </c>
      <c r="W14" s="27">
        <v>0.94952369506329204</v>
      </c>
      <c r="X14" s="27">
        <v>0.97508232544675699</v>
      </c>
      <c r="Y14" s="27">
        <v>0.95891299155943799</v>
      </c>
      <c r="Z14" s="27">
        <v>0.98072661843291997</v>
      </c>
      <c r="AA14" s="27">
        <v>0.96633819556706702</v>
      </c>
      <c r="AB14" s="27"/>
      <c r="AC14" s="27">
        <v>0.97821848820341095</v>
      </c>
      <c r="AD14" s="27">
        <v>0.95520737485231499</v>
      </c>
      <c r="AE14" s="27">
        <v>0.970771720093484</v>
      </c>
      <c r="AF14" s="27">
        <v>0.98641503564017996</v>
      </c>
      <c r="AG14" s="27">
        <v>0.99341710195984301</v>
      </c>
      <c r="AH14" s="27"/>
      <c r="AI14" s="27">
        <v>0.95116817164268996</v>
      </c>
      <c r="AJ14" s="27">
        <v>0.98505449327641703</v>
      </c>
      <c r="AK14" s="27">
        <v>0.95641615255671697</v>
      </c>
      <c r="AL14" s="27">
        <v>0.99640521818898997</v>
      </c>
      <c r="AM14" s="27">
        <v>0.97290013370708395</v>
      </c>
      <c r="AN14" s="27">
        <v>0.97177180164329202</v>
      </c>
      <c r="AO14" s="27"/>
      <c r="AP14" s="27">
        <v>0.96213685092381596</v>
      </c>
      <c r="AQ14" s="27">
        <v>0.97398514476331199</v>
      </c>
      <c r="AR14" s="27"/>
      <c r="AS14" s="27">
        <v>0.97518067441519796</v>
      </c>
      <c r="AT14" s="27">
        <v>0.96796388383055498</v>
      </c>
      <c r="AU14" s="27">
        <v>0.96570417930169505</v>
      </c>
      <c r="AV14" s="27"/>
      <c r="AW14" s="27">
        <v>0.97021037439068003</v>
      </c>
      <c r="AX14" s="27">
        <v>0.96411639016740602</v>
      </c>
      <c r="AY14" s="27"/>
      <c r="AZ14" s="27">
        <v>0.97084515000693805</v>
      </c>
      <c r="BA14" s="27">
        <v>0.97125693548376102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BA19"/>
  <sheetViews>
    <sheetView showGridLines="0" topLeftCell="A5" workbookViewId="0">
      <pane xSplit="2" topLeftCell="C1" activePane="topRight" state="frozen"/>
      <selection activeCell="BE12" sqref="BE12"/>
      <selection pane="topRight" activeCell="BE12" sqref="BE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138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0.72999759276680998</v>
      </c>
      <c r="D9" s="14">
        <v>0.73452270855727497</v>
      </c>
      <c r="E9" s="14">
        <v>0.72520708747838303</v>
      </c>
      <c r="F9" s="14"/>
      <c r="G9" s="14">
        <v>0.70545197503024704</v>
      </c>
      <c r="H9" s="14">
        <v>0.63890687195342499</v>
      </c>
      <c r="I9" s="14">
        <v>0.70567603444556704</v>
      </c>
      <c r="J9" s="14">
        <v>0.77876425069270205</v>
      </c>
      <c r="K9" s="14">
        <v>0.82140442776534595</v>
      </c>
      <c r="L9" s="14">
        <v>0.81293927491995199</v>
      </c>
      <c r="M9" s="14"/>
      <c r="N9" s="14">
        <v>0.791440934760264</v>
      </c>
      <c r="O9" s="14">
        <v>0.77066794705575803</v>
      </c>
      <c r="P9" s="14">
        <v>0.65343731610575195</v>
      </c>
      <c r="Q9" s="14">
        <v>0.68750420733596196</v>
      </c>
      <c r="R9" s="14"/>
      <c r="S9" s="14">
        <v>0.67175022532894102</v>
      </c>
      <c r="T9" s="14">
        <v>0.77436061764366704</v>
      </c>
      <c r="U9" s="14">
        <v>0.77158792411471899</v>
      </c>
      <c r="V9" s="14">
        <v>0.73978875459534099</v>
      </c>
      <c r="W9" s="14">
        <v>0.76029216138743605</v>
      </c>
      <c r="X9" s="14">
        <v>0.73166380816027499</v>
      </c>
      <c r="Y9" s="14">
        <v>0.70203466208814902</v>
      </c>
      <c r="Z9" s="14">
        <v>0.75449924927575496</v>
      </c>
      <c r="AA9" s="14">
        <v>0.69652141237221099</v>
      </c>
      <c r="AB9" s="14"/>
      <c r="AC9" s="14">
        <v>0.72166301130035604</v>
      </c>
      <c r="AD9" s="14">
        <v>0.71862599594317</v>
      </c>
      <c r="AE9" s="14">
        <v>0.75851480217951495</v>
      </c>
      <c r="AF9" s="14">
        <v>0.75671645883288596</v>
      </c>
      <c r="AG9" s="14">
        <v>0.75644706086540203</v>
      </c>
      <c r="AH9" s="14"/>
      <c r="AI9" s="14">
        <v>0.73943701573161102</v>
      </c>
      <c r="AJ9" s="14">
        <v>0.72912072904352698</v>
      </c>
      <c r="AK9" s="14">
        <v>0.73418385108377104</v>
      </c>
      <c r="AL9" s="14">
        <v>0.71077744360926998</v>
      </c>
      <c r="AM9" s="14">
        <v>0.73431987362970297</v>
      </c>
      <c r="AN9" s="14">
        <v>0.7719018812781</v>
      </c>
      <c r="AO9" s="14"/>
      <c r="AP9" s="14">
        <v>0.72084801179167401</v>
      </c>
      <c r="AQ9" s="14">
        <v>0.74128464303526798</v>
      </c>
      <c r="AR9" s="14"/>
      <c r="AS9" s="14">
        <v>0.70127592394362004</v>
      </c>
      <c r="AT9" s="14">
        <v>0.73494922307613397</v>
      </c>
      <c r="AU9" s="14">
        <v>0.73626342188142002</v>
      </c>
      <c r="AV9" s="14"/>
      <c r="AW9" s="14">
        <v>0.744463842019498</v>
      </c>
      <c r="AX9" s="14">
        <v>0.720706266763666</v>
      </c>
      <c r="AY9" s="14"/>
      <c r="AZ9" s="14">
        <v>0.74085270030408801</v>
      </c>
      <c r="BA9" s="14">
        <v>0.69433685992824001</v>
      </c>
    </row>
    <row r="10" spans="2:53" x14ac:dyDescent="0.35">
      <c r="B10" s="15" t="s">
        <v>77</v>
      </c>
      <c r="C10" s="14">
        <v>0.22758171998678001</v>
      </c>
      <c r="D10" s="14">
        <v>0.227689436071708</v>
      </c>
      <c r="E10" s="14">
        <v>0.22769456153808301</v>
      </c>
      <c r="F10" s="14"/>
      <c r="G10" s="14">
        <v>0.18127959358201301</v>
      </c>
      <c r="H10" s="14">
        <v>0.27800261101368501</v>
      </c>
      <c r="I10" s="14">
        <v>0.25018312713894097</v>
      </c>
      <c r="J10" s="14">
        <v>0.191636297067872</v>
      </c>
      <c r="K10" s="14">
        <v>0.165521618950211</v>
      </c>
      <c r="L10" s="14">
        <v>0.18706072508004801</v>
      </c>
      <c r="M10" s="14"/>
      <c r="N10" s="14">
        <v>0.18187120079900099</v>
      </c>
      <c r="O10" s="14">
        <v>0.201788753723847</v>
      </c>
      <c r="P10" s="14">
        <v>0.28815267655979498</v>
      </c>
      <c r="Q10" s="14">
        <v>0.25120478621308601</v>
      </c>
      <c r="R10" s="14"/>
      <c r="S10" s="14">
        <v>0.27784808310787501</v>
      </c>
      <c r="T10" s="14">
        <v>0.18897845322439899</v>
      </c>
      <c r="U10" s="14">
        <v>0.194332870869414</v>
      </c>
      <c r="V10" s="14">
        <v>0.213495618575755</v>
      </c>
      <c r="W10" s="14">
        <v>0.19568730506130699</v>
      </c>
      <c r="X10" s="14">
        <v>0.216541954414573</v>
      </c>
      <c r="Y10" s="14">
        <v>0.24238238646738799</v>
      </c>
      <c r="Z10" s="14">
        <v>0.22622736915716499</v>
      </c>
      <c r="AA10" s="14">
        <v>0.27060637983524999</v>
      </c>
      <c r="AB10" s="14"/>
      <c r="AC10" s="14">
        <v>0.235195340873942</v>
      </c>
      <c r="AD10" s="14">
        <v>0.229343810971155</v>
      </c>
      <c r="AE10" s="14">
        <v>0.21611478483316801</v>
      </c>
      <c r="AF10" s="14">
        <v>0.20293879224612599</v>
      </c>
      <c r="AG10" s="14">
        <v>0.215948236468614</v>
      </c>
      <c r="AH10" s="14"/>
      <c r="AI10" s="14">
        <v>0.210801198741218</v>
      </c>
      <c r="AJ10" s="14">
        <v>0.234467209402835</v>
      </c>
      <c r="AK10" s="14">
        <v>0.22769675006318399</v>
      </c>
      <c r="AL10" s="14">
        <v>0.24256475480967199</v>
      </c>
      <c r="AM10" s="14">
        <v>0.224985883309367</v>
      </c>
      <c r="AN10" s="14">
        <v>0.203945977779181</v>
      </c>
      <c r="AO10" s="14"/>
      <c r="AP10" s="14">
        <v>0.24292316264432401</v>
      </c>
      <c r="AQ10" s="14">
        <v>0.20919124546307499</v>
      </c>
      <c r="AR10" s="14"/>
      <c r="AS10" s="14">
        <v>0.25561936124427098</v>
      </c>
      <c r="AT10" s="14">
        <v>0.21109842701745901</v>
      </c>
      <c r="AU10" s="14">
        <v>0.22490984394973801</v>
      </c>
      <c r="AV10" s="14"/>
      <c r="AW10" s="14">
        <v>0.21831475980701601</v>
      </c>
      <c r="AX10" s="14">
        <v>0.23366413851845</v>
      </c>
      <c r="AY10" s="14"/>
      <c r="AZ10" s="14">
        <v>0.22233816512023699</v>
      </c>
      <c r="BA10" s="14">
        <v>0.25191808592054998</v>
      </c>
    </row>
    <row r="11" spans="2:53" x14ac:dyDescent="0.35">
      <c r="B11" s="15" t="s">
        <v>78</v>
      </c>
      <c r="C11" s="14">
        <v>2.83977251694616E-2</v>
      </c>
      <c r="D11" s="14">
        <v>2.8064791443256701E-2</v>
      </c>
      <c r="E11" s="14">
        <v>2.8758457112883499E-2</v>
      </c>
      <c r="F11" s="14"/>
      <c r="G11" s="14">
        <v>0</v>
      </c>
      <c r="H11" s="14">
        <v>5.9362908870941103E-2</v>
      </c>
      <c r="I11" s="14">
        <v>2.7916048553929599E-2</v>
      </c>
      <c r="J11" s="14">
        <v>2.0356489296177799E-2</v>
      </c>
      <c r="K11" s="14">
        <v>1.30739532844434E-2</v>
      </c>
      <c r="L11" s="14">
        <v>0</v>
      </c>
      <c r="M11" s="14"/>
      <c r="N11" s="14">
        <v>2.1359877441252201E-2</v>
      </c>
      <c r="O11" s="14">
        <v>2.4898017016953398E-2</v>
      </c>
      <c r="P11" s="14">
        <v>3.02243263284824E-2</v>
      </c>
      <c r="Q11" s="14">
        <v>3.8355634489363799E-2</v>
      </c>
      <c r="R11" s="14"/>
      <c r="S11" s="14">
        <v>2.9214327743626499E-2</v>
      </c>
      <c r="T11" s="14">
        <v>1.92492760141919E-2</v>
      </c>
      <c r="U11" s="14">
        <v>3.4079205015867302E-2</v>
      </c>
      <c r="V11" s="14">
        <v>1.2901752387661201E-2</v>
      </c>
      <c r="W11" s="14">
        <v>3.0524437421842899E-2</v>
      </c>
      <c r="X11" s="14">
        <v>4.6549549314419097E-2</v>
      </c>
      <c r="Y11" s="14">
        <v>3.16778910824582E-2</v>
      </c>
      <c r="Z11" s="14">
        <v>1.9273381567080101E-2</v>
      </c>
      <c r="AA11" s="14">
        <v>3.28722077925395E-2</v>
      </c>
      <c r="AB11" s="14"/>
      <c r="AC11" s="14">
        <v>2.5574106929874298E-2</v>
      </c>
      <c r="AD11" s="14">
        <v>3.3996228612479099E-2</v>
      </c>
      <c r="AE11" s="14">
        <v>2.1391712586908501E-2</v>
      </c>
      <c r="AF11" s="14">
        <v>2.9698538884670299E-2</v>
      </c>
      <c r="AG11" s="14">
        <v>2.7604702665984499E-2</v>
      </c>
      <c r="AH11" s="14"/>
      <c r="AI11" s="14">
        <v>3.8372844485699803E-2</v>
      </c>
      <c r="AJ11" s="14">
        <v>2.3211982119433001E-2</v>
      </c>
      <c r="AK11" s="14">
        <v>3.2296469803484301E-2</v>
      </c>
      <c r="AL11" s="14">
        <v>3.1267145953615398E-2</v>
      </c>
      <c r="AM11" s="14">
        <v>2.2098272089004601E-2</v>
      </c>
      <c r="AN11" s="14">
        <v>0</v>
      </c>
      <c r="AO11" s="14"/>
      <c r="AP11" s="14">
        <v>2.4775798486446399E-2</v>
      </c>
      <c r="AQ11" s="14">
        <v>3.2564419586301102E-2</v>
      </c>
      <c r="AR11" s="14"/>
      <c r="AS11" s="14">
        <v>2.1626508472614599E-2</v>
      </c>
      <c r="AT11" s="14">
        <v>4.6078232842520099E-2</v>
      </c>
      <c r="AU11" s="14">
        <v>2.4992054237715101E-2</v>
      </c>
      <c r="AV11" s="14"/>
      <c r="AW11" s="14">
        <v>2.6086091074864402E-2</v>
      </c>
      <c r="AX11" s="14">
        <v>3.2673395199673903E-2</v>
      </c>
      <c r="AY11" s="14"/>
      <c r="AZ11" s="14">
        <v>2.7452159923509301E-2</v>
      </c>
      <c r="BA11" s="14">
        <v>2.76159847333039E-2</v>
      </c>
    </row>
    <row r="12" spans="2:53" x14ac:dyDescent="0.35">
      <c r="B12" s="15" t="s">
        <v>79</v>
      </c>
      <c r="C12" s="14">
        <v>5.2137264329389799E-3</v>
      </c>
      <c r="D12" s="14">
        <v>4.3760856992460699E-3</v>
      </c>
      <c r="E12" s="14">
        <v>6.0570917236852798E-3</v>
      </c>
      <c r="F12" s="14"/>
      <c r="G12" s="14">
        <v>0.11326843138774099</v>
      </c>
      <c r="H12" s="14">
        <v>1.12121735968196E-2</v>
      </c>
      <c r="I12" s="14">
        <v>5.5762946728768999E-3</v>
      </c>
      <c r="J12" s="14">
        <v>1.6437134817880799E-3</v>
      </c>
      <c r="K12" s="14">
        <v>0</v>
      </c>
      <c r="L12" s="14">
        <v>0</v>
      </c>
      <c r="M12" s="14"/>
      <c r="N12" s="14">
        <v>1.90323018039794E-3</v>
      </c>
      <c r="O12" s="14">
        <v>2.64528220344161E-3</v>
      </c>
      <c r="P12" s="14">
        <v>1.00546999580835E-2</v>
      </c>
      <c r="Q12" s="14">
        <v>7.2585321895499797E-3</v>
      </c>
      <c r="R12" s="14"/>
      <c r="S12" s="14">
        <v>1.1572108513249401E-2</v>
      </c>
      <c r="T12" s="14">
        <v>1.03520657242694E-2</v>
      </c>
      <c r="U12" s="14">
        <v>0</v>
      </c>
      <c r="V12" s="14">
        <v>0</v>
      </c>
      <c r="W12" s="14">
        <v>1.34960961294149E-2</v>
      </c>
      <c r="X12" s="14">
        <v>0</v>
      </c>
      <c r="Y12" s="14">
        <v>4.9367968384857403E-3</v>
      </c>
      <c r="Z12" s="14">
        <v>0</v>
      </c>
      <c r="AA12" s="14">
        <v>0</v>
      </c>
      <c r="AB12" s="14"/>
      <c r="AC12" s="14">
        <v>3.0419183262921298E-3</v>
      </c>
      <c r="AD12" s="14">
        <v>2.8476684336649701E-3</v>
      </c>
      <c r="AE12" s="14">
        <v>2.2431377548021501E-3</v>
      </c>
      <c r="AF12" s="14">
        <v>7.9848661696594204E-3</v>
      </c>
      <c r="AG12" s="14">
        <v>0</v>
      </c>
      <c r="AH12" s="14"/>
      <c r="AI12" s="14">
        <v>3.31418363663518E-3</v>
      </c>
      <c r="AJ12" s="14">
        <v>1.3200079434204299E-2</v>
      </c>
      <c r="AK12" s="14">
        <v>0</v>
      </c>
      <c r="AL12" s="14">
        <v>7.8950593418523392E-3</v>
      </c>
      <c r="AM12" s="14">
        <v>0</v>
      </c>
      <c r="AN12" s="14">
        <v>6.6719317493672001E-3</v>
      </c>
      <c r="AO12" s="14"/>
      <c r="AP12" s="14">
        <v>2.84222619567221E-3</v>
      </c>
      <c r="AQ12" s="14">
        <v>7.8987992662421895E-3</v>
      </c>
      <c r="AR12" s="14"/>
      <c r="AS12" s="14">
        <v>5.7565848853449904E-3</v>
      </c>
      <c r="AT12" s="14">
        <v>0</v>
      </c>
      <c r="AU12" s="14">
        <v>6.60929822820758E-3</v>
      </c>
      <c r="AV12" s="14"/>
      <c r="AW12" s="14">
        <v>2.40276364239573E-3</v>
      </c>
      <c r="AX12" s="14">
        <v>1.29561995182093E-2</v>
      </c>
      <c r="AY12" s="14"/>
      <c r="AZ12" s="14">
        <v>4.50721754429951E-3</v>
      </c>
      <c r="BA12" s="14">
        <v>7.9576716772406103E-3</v>
      </c>
    </row>
    <row r="13" spans="2:53" x14ac:dyDescent="0.35">
      <c r="B13" s="15" t="s">
        <v>80</v>
      </c>
      <c r="C13" s="18">
        <v>8.8092356440090495E-3</v>
      </c>
      <c r="D13" s="18">
        <v>5.34697822851413E-3</v>
      </c>
      <c r="E13" s="18">
        <v>1.22828021469651E-2</v>
      </c>
      <c r="F13" s="18"/>
      <c r="G13" s="18">
        <v>0</v>
      </c>
      <c r="H13" s="18">
        <v>1.2515434565128899E-2</v>
      </c>
      <c r="I13" s="18">
        <v>1.0648495188685599E-2</v>
      </c>
      <c r="J13" s="18">
        <v>7.59924946146023E-3</v>
      </c>
      <c r="K13" s="18">
        <v>0</v>
      </c>
      <c r="L13" s="18">
        <v>0</v>
      </c>
      <c r="M13" s="18"/>
      <c r="N13" s="18">
        <v>3.42475681908503E-3</v>
      </c>
      <c r="O13" s="18">
        <v>0</v>
      </c>
      <c r="P13" s="18">
        <v>1.8130981047886699E-2</v>
      </c>
      <c r="Q13" s="18">
        <v>1.5676839772038102E-2</v>
      </c>
      <c r="R13" s="18"/>
      <c r="S13" s="18">
        <v>9.6152553063079196E-3</v>
      </c>
      <c r="T13" s="18">
        <v>7.0595873934723597E-3</v>
      </c>
      <c r="U13" s="18">
        <v>0</v>
      </c>
      <c r="V13" s="18">
        <v>3.3813874441243098E-2</v>
      </c>
      <c r="W13" s="18">
        <v>0</v>
      </c>
      <c r="X13" s="18">
        <v>5.2446881107329297E-3</v>
      </c>
      <c r="Y13" s="18">
        <v>1.8968263523519002E-2</v>
      </c>
      <c r="Z13" s="18">
        <v>0</v>
      </c>
      <c r="AA13" s="18">
        <v>0</v>
      </c>
      <c r="AB13" s="18"/>
      <c r="AC13" s="18">
        <v>1.4525622569535501E-2</v>
      </c>
      <c r="AD13" s="18">
        <v>1.51862960395313E-2</v>
      </c>
      <c r="AE13" s="18">
        <v>1.73556264560704E-3</v>
      </c>
      <c r="AF13" s="18">
        <v>2.6613438666584599E-3</v>
      </c>
      <c r="AG13" s="18">
        <v>0</v>
      </c>
      <c r="AH13" s="18"/>
      <c r="AI13" s="18">
        <v>8.0747574048358403E-3</v>
      </c>
      <c r="AJ13" s="18">
        <v>0</v>
      </c>
      <c r="AK13" s="18">
        <v>5.8229290495604002E-3</v>
      </c>
      <c r="AL13" s="18">
        <v>7.49559628559026E-3</v>
      </c>
      <c r="AM13" s="18">
        <v>1.8595970971925301E-2</v>
      </c>
      <c r="AN13" s="18">
        <v>1.74802091933513E-2</v>
      </c>
      <c r="AO13" s="18"/>
      <c r="AP13" s="18">
        <v>8.6108008818835593E-3</v>
      </c>
      <c r="AQ13" s="18">
        <v>9.0608926491137394E-3</v>
      </c>
      <c r="AR13" s="18"/>
      <c r="AS13" s="18">
        <v>1.57216214541488E-2</v>
      </c>
      <c r="AT13" s="18">
        <v>7.8741170638871507E-3</v>
      </c>
      <c r="AU13" s="18">
        <v>7.2253817029186498E-3</v>
      </c>
      <c r="AV13" s="18"/>
      <c r="AW13" s="18">
        <v>8.7325434562255805E-3</v>
      </c>
      <c r="AX13" s="18">
        <v>0</v>
      </c>
      <c r="AY13" s="18"/>
      <c r="AZ13" s="18">
        <v>4.8497571078662503E-3</v>
      </c>
      <c r="BA13" s="18">
        <v>1.8171397740665299E-2</v>
      </c>
    </row>
    <row r="14" spans="2:53" x14ac:dyDescent="0.35">
      <c r="B14" s="26" t="s">
        <v>81</v>
      </c>
      <c r="C14" s="27">
        <v>0.95757931275358998</v>
      </c>
      <c r="D14" s="27">
        <v>0.96221214462898297</v>
      </c>
      <c r="E14" s="27">
        <v>0.95290164901646601</v>
      </c>
      <c r="F14" s="27"/>
      <c r="G14" s="27">
        <v>0.88673156861225899</v>
      </c>
      <c r="H14" s="27">
        <v>0.91690948296711094</v>
      </c>
      <c r="I14" s="27">
        <v>0.95585916158450801</v>
      </c>
      <c r="J14" s="27">
        <v>0.97040054776057405</v>
      </c>
      <c r="K14" s="27">
        <v>0.98692604671555695</v>
      </c>
      <c r="L14" s="27">
        <v>1</v>
      </c>
      <c r="M14" s="27"/>
      <c r="N14" s="27">
        <v>0.97331213555926499</v>
      </c>
      <c r="O14" s="27">
        <v>0.972456700779605</v>
      </c>
      <c r="P14" s="27">
        <v>0.94158999266554699</v>
      </c>
      <c r="Q14" s="27">
        <v>0.93870899354904802</v>
      </c>
      <c r="R14" s="27"/>
      <c r="S14" s="27">
        <v>0.94959830843681603</v>
      </c>
      <c r="T14" s="27">
        <v>0.96333907086806603</v>
      </c>
      <c r="U14" s="27">
        <v>0.96592079498413297</v>
      </c>
      <c r="V14" s="27">
        <v>0.95328437317109604</v>
      </c>
      <c r="W14" s="27">
        <v>0.95597946644874199</v>
      </c>
      <c r="X14" s="27">
        <v>0.94820576257484801</v>
      </c>
      <c r="Y14" s="27">
        <v>0.94441704855553699</v>
      </c>
      <c r="Z14" s="27">
        <v>0.98072661843291997</v>
      </c>
      <c r="AA14" s="27">
        <v>0.96712779220746004</v>
      </c>
      <c r="AB14" s="27"/>
      <c r="AC14" s="27">
        <v>0.95685835217429804</v>
      </c>
      <c r="AD14" s="27">
        <v>0.94796980691432498</v>
      </c>
      <c r="AE14" s="27">
        <v>0.97462958701268199</v>
      </c>
      <c r="AF14" s="27">
        <v>0.95965525107901195</v>
      </c>
      <c r="AG14" s="27">
        <v>0.97239529733401597</v>
      </c>
      <c r="AH14" s="27"/>
      <c r="AI14" s="27">
        <v>0.95023821447282897</v>
      </c>
      <c r="AJ14" s="27">
        <v>0.96358793844636303</v>
      </c>
      <c r="AK14" s="27">
        <v>0.96188060114695495</v>
      </c>
      <c r="AL14" s="27">
        <v>0.95334219841894197</v>
      </c>
      <c r="AM14" s="27">
        <v>0.95930575693907005</v>
      </c>
      <c r="AN14" s="27">
        <v>0.975847859057281</v>
      </c>
      <c r="AO14" s="27"/>
      <c r="AP14" s="27">
        <v>0.96377117443599802</v>
      </c>
      <c r="AQ14" s="27">
        <v>0.95047588849834297</v>
      </c>
      <c r="AR14" s="27"/>
      <c r="AS14" s="27">
        <v>0.95689528518789202</v>
      </c>
      <c r="AT14" s="27">
        <v>0.94604765009359304</v>
      </c>
      <c r="AU14" s="27">
        <v>0.96117326583115903</v>
      </c>
      <c r="AV14" s="27"/>
      <c r="AW14" s="27">
        <v>0.96277860182651398</v>
      </c>
      <c r="AX14" s="27">
        <v>0.95437040528211703</v>
      </c>
      <c r="AY14" s="27"/>
      <c r="AZ14" s="27">
        <v>0.96319086542432497</v>
      </c>
      <c r="BA14" s="27">
        <v>0.94625494584879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K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1" width="20.7265625" customWidth="1"/>
  </cols>
  <sheetData>
    <row r="2" spans="2:11" ht="40" customHeight="1" x14ac:dyDescent="0.35">
      <c r="D2" s="35" t="s">
        <v>145</v>
      </c>
      <c r="E2" s="32"/>
      <c r="F2" s="32"/>
      <c r="G2" s="32"/>
      <c r="H2" s="32"/>
      <c r="I2" s="32"/>
      <c r="J2" s="32"/>
      <c r="K2" s="32"/>
    </row>
    <row r="6" spans="2:11" ht="50" customHeight="1" x14ac:dyDescent="0.35">
      <c r="B6" s="17" t="s">
        <v>14</v>
      </c>
      <c r="C6" s="17" t="s">
        <v>121</v>
      </c>
      <c r="D6" s="17" t="s">
        <v>124</v>
      </c>
      <c r="E6" s="17" t="s">
        <v>126</v>
      </c>
      <c r="F6" s="17" t="s">
        <v>119</v>
      </c>
      <c r="G6" s="17" t="s">
        <v>125</v>
      </c>
      <c r="H6" s="17" t="s">
        <v>123</v>
      </c>
      <c r="I6" s="17" t="s">
        <v>122</v>
      </c>
      <c r="J6" s="17" t="s">
        <v>120</v>
      </c>
    </row>
    <row r="7" spans="2:11" ht="29" x14ac:dyDescent="0.35">
      <c r="B7" s="15" t="s">
        <v>139</v>
      </c>
      <c r="C7" s="14">
        <v>0.12745005473577101</v>
      </c>
      <c r="D7" s="14">
        <v>0.25721849867122698</v>
      </c>
      <c r="E7" s="14">
        <v>0.17409339099614901</v>
      </c>
      <c r="F7" s="14">
        <v>0.227132516325388</v>
      </c>
      <c r="G7" s="14">
        <v>0.169359116215855</v>
      </c>
      <c r="H7" s="14">
        <v>0.13431942450430101</v>
      </c>
      <c r="I7" s="14">
        <v>0.12187951459256301</v>
      </c>
      <c r="J7" s="14">
        <v>0.32712010169226002</v>
      </c>
    </row>
    <row r="8" spans="2:11" ht="29" x14ac:dyDescent="0.35">
      <c r="B8" s="15" t="s">
        <v>140</v>
      </c>
      <c r="C8" s="14">
        <v>0.15681141434531601</v>
      </c>
      <c r="D8" s="14">
        <v>0.34261557760935601</v>
      </c>
      <c r="E8" s="14">
        <v>0.20034376236124499</v>
      </c>
      <c r="F8" s="14">
        <v>0.372068471105443</v>
      </c>
      <c r="G8" s="14">
        <v>0.25471187767950199</v>
      </c>
      <c r="H8" s="14">
        <v>0.19446361470183801</v>
      </c>
      <c r="I8" s="14">
        <v>0.18749794543709</v>
      </c>
      <c r="J8" s="14">
        <v>0.33319543976384403</v>
      </c>
    </row>
    <row r="9" spans="2:11" ht="58" x14ac:dyDescent="0.35">
      <c r="B9" s="15" t="s">
        <v>141</v>
      </c>
      <c r="C9" s="14">
        <v>0.57316617147623905</v>
      </c>
      <c r="D9" s="14">
        <v>0.35703872219301103</v>
      </c>
      <c r="E9" s="14">
        <v>0.549867661282612</v>
      </c>
      <c r="F9" s="14">
        <v>0.30328530523033698</v>
      </c>
      <c r="G9" s="14">
        <v>0.50024105298528299</v>
      </c>
      <c r="H9" s="14">
        <v>0.568407450983201</v>
      </c>
      <c r="I9" s="14">
        <v>0.49705463638715403</v>
      </c>
      <c r="J9" s="14">
        <v>0.29359559373611999</v>
      </c>
    </row>
    <row r="10" spans="2:11" ht="29" x14ac:dyDescent="0.35">
      <c r="B10" s="15" t="s">
        <v>142</v>
      </c>
      <c r="C10" s="14">
        <v>0.103506280256931</v>
      </c>
      <c r="D10" s="14">
        <v>2.10572768553807E-2</v>
      </c>
      <c r="E10" s="14">
        <v>5.2533169340470698E-2</v>
      </c>
      <c r="F10" s="14">
        <v>6.0002112103749401E-2</v>
      </c>
      <c r="G10" s="14">
        <v>4.8283623509418498E-2</v>
      </c>
      <c r="H10" s="14">
        <v>7.3086484396384002E-2</v>
      </c>
      <c r="I10" s="14">
        <v>0.14961085103322899</v>
      </c>
      <c r="J10" s="14">
        <v>1.6611984632594001E-2</v>
      </c>
    </row>
    <row r="11" spans="2:11" ht="29" x14ac:dyDescent="0.35">
      <c r="B11" s="15" t="s">
        <v>143</v>
      </c>
      <c r="C11" s="14">
        <v>2.1543310747492401E-2</v>
      </c>
      <c r="D11" s="14">
        <v>5.7796464003059796E-3</v>
      </c>
      <c r="E11" s="14">
        <v>8.5158268597068498E-3</v>
      </c>
      <c r="F11" s="14">
        <v>1.17401338396177E-2</v>
      </c>
      <c r="G11" s="14">
        <v>1.05734433995954E-2</v>
      </c>
      <c r="H11" s="14">
        <v>1.3492454593897901E-2</v>
      </c>
      <c r="I11" s="14">
        <v>2.8252553343791401E-2</v>
      </c>
      <c r="J11" s="14">
        <v>6.6898098361516996E-3</v>
      </c>
    </row>
    <row r="12" spans="2:11" ht="29" x14ac:dyDescent="0.35">
      <c r="B12" s="15" t="s">
        <v>144</v>
      </c>
      <c r="C12" s="14">
        <v>1.3592397047682201E-3</v>
      </c>
      <c r="D12" s="14">
        <v>9.4478891488579701E-4</v>
      </c>
      <c r="E12" s="14">
        <v>8.1441398634737601E-4</v>
      </c>
      <c r="F12" s="14">
        <v>9.1501034336422694E-3</v>
      </c>
      <c r="G12" s="14">
        <v>1.0796170306227499E-3</v>
      </c>
      <c r="H12" s="14">
        <v>1.31328177928396E-3</v>
      </c>
      <c r="I12" s="14">
        <v>1.55724949138213E-3</v>
      </c>
      <c r="J12" s="14">
        <v>4.0521878544616096E-3</v>
      </c>
    </row>
    <row r="13" spans="2:11" x14ac:dyDescent="0.35">
      <c r="B13" s="15" t="s">
        <v>80</v>
      </c>
      <c r="C13" s="14">
        <v>1.6163528733482299E-2</v>
      </c>
      <c r="D13" s="14">
        <v>1.5345489355834199E-2</v>
      </c>
      <c r="E13" s="14">
        <v>1.3831775173469301E-2</v>
      </c>
      <c r="F13" s="14">
        <v>1.6621357961822701E-2</v>
      </c>
      <c r="G13" s="14">
        <v>1.5751269179723599E-2</v>
      </c>
      <c r="H13" s="14">
        <v>1.49172890410946E-2</v>
      </c>
      <c r="I13" s="14">
        <v>1.4147249714791E-2</v>
      </c>
      <c r="J13" s="14">
        <v>1.8734882484568099E-2</v>
      </c>
    </row>
    <row r="14" spans="2:11" x14ac:dyDescent="0.35">
      <c r="B14" s="16"/>
      <c r="C14" s="16"/>
      <c r="D14" s="16"/>
      <c r="E14" s="16"/>
      <c r="F14" s="16"/>
      <c r="G14" s="16"/>
      <c r="H14" s="16"/>
      <c r="I14" s="16"/>
      <c r="J14" s="16"/>
    </row>
    <row r="15" spans="2:11" x14ac:dyDescent="0.35">
      <c r="B15" t="s">
        <v>84</v>
      </c>
    </row>
    <row r="16" spans="2:11" x14ac:dyDescent="0.35">
      <c r="B16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BA20"/>
  <sheetViews>
    <sheetView showGridLines="0" topLeftCell="A10" workbookViewId="0">
      <pane xSplit="2" topLeftCell="C1" activePane="topRight" state="frozen"/>
      <selection pane="topRight" activeCell="B20" sqref="B2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146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139</v>
      </c>
      <c r="C9" s="14">
        <v>0.12745005473577101</v>
      </c>
      <c r="D9" s="14">
        <v>0.14448458273530901</v>
      </c>
      <c r="E9" s="14">
        <v>0.110525470669873</v>
      </c>
      <c r="F9" s="14"/>
      <c r="G9" s="14">
        <v>0</v>
      </c>
      <c r="H9" s="14">
        <v>0.11986969596508</v>
      </c>
      <c r="I9" s="14">
        <v>0.14267603556303299</v>
      </c>
      <c r="J9" s="14">
        <v>0.10805109469221499</v>
      </c>
      <c r="K9" s="14">
        <v>0.14535765126087</v>
      </c>
      <c r="L9" s="14">
        <v>8.5039403679576894E-2</v>
      </c>
      <c r="M9" s="14"/>
      <c r="N9" s="14">
        <v>0.10481214199328</v>
      </c>
      <c r="O9" s="14">
        <v>0.114705861347285</v>
      </c>
      <c r="P9" s="14">
        <v>0.12975846812150299</v>
      </c>
      <c r="Q9" s="14">
        <v>0.163144665083297</v>
      </c>
      <c r="R9" s="14"/>
      <c r="S9" s="14">
        <v>0.15406622838783801</v>
      </c>
      <c r="T9" s="14">
        <v>0.120147453739337</v>
      </c>
      <c r="U9" s="14">
        <v>0.134972043703214</v>
      </c>
      <c r="V9" s="14">
        <v>6.6798995644864106E-2</v>
      </c>
      <c r="W9" s="14">
        <v>0.118104555151914</v>
      </c>
      <c r="X9" s="14">
        <v>0.20700634150785799</v>
      </c>
      <c r="Y9" s="14">
        <v>9.2379142951372395E-2</v>
      </c>
      <c r="Z9" s="14">
        <v>0.14993106176719301</v>
      </c>
      <c r="AA9" s="14">
        <v>0.112725834864813</v>
      </c>
      <c r="AB9" s="14"/>
      <c r="AC9" s="14">
        <v>0.12321173755529601</v>
      </c>
      <c r="AD9" s="14">
        <v>0.161254028620926</v>
      </c>
      <c r="AE9" s="14">
        <v>9.0122614192158598E-2</v>
      </c>
      <c r="AF9" s="14">
        <v>0.16712474590066201</v>
      </c>
      <c r="AG9" s="14">
        <v>0.15672517818300499</v>
      </c>
      <c r="AH9" s="14"/>
      <c r="AI9" s="14">
        <v>0.13967283422606</v>
      </c>
      <c r="AJ9" s="14">
        <v>0.13412787189790101</v>
      </c>
      <c r="AK9" s="14">
        <v>0.10403167482483</v>
      </c>
      <c r="AL9" s="14">
        <v>0.11574919364782101</v>
      </c>
      <c r="AM9" s="14">
        <v>0.13363652802863299</v>
      </c>
      <c r="AN9" s="14">
        <v>0.14910544747955901</v>
      </c>
      <c r="AO9" s="14"/>
      <c r="AP9" s="14">
        <v>0.12873523067261</v>
      </c>
      <c r="AQ9" s="14">
        <v>0.126414792963738</v>
      </c>
      <c r="AR9" s="14"/>
      <c r="AS9" s="14">
        <v>0.14866024717214599</v>
      </c>
      <c r="AT9" s="14">
        <v>0.12270457852727699</v>
      </c>
      <c r="AU9" s="14">
        <v>0.12314486702878601</v>
      </c>
      <c r="AV9" s="14"/>
      <c r="AW9" s="14">
        <v>0.12745505202298901</v>
      </c>
      <c r="AX9" s="14">
        <v>0.16135190397369301</v>
      </c>
      <c r="AY9" s="14"/>
      <c r="AZ9" s="14">
        <v>0.131956621316213</v>
      </c>
      <c r="BA9" s="14">
        <v>0.11332632130555099</v>
      </c>
    </row>
    <row r="10" spans="2:53" ht="29" x14ac:dyDescent="0.35">
      <c r="B10" s="15" t="s">
        <v>140</v>
      </c>
      <c r="C10" s="14">
        <v>0.15681141434531601</v>
      </c>
      <c r="D10" s="14">
        <v>0.179855559954787</v>
      </c>
      <c r="E10" s="14">
        <v>0.13390087366727499</v>
      </c>
      <c r="F10" s="14"/>
      <c r="G10" s="14">
        <v>0.11326843138774099</v>
      </c>
      <c r="H10" s="14">
        <v>0.16149845010129399</v>
      </c>
      <c r="I10" s="14">
        <v>0.14637966012567699</v>
      </c>
      <c r="J10" s="14">
        <v>0.14608334341333201</v>
      </c>
      <c r="K10" s="14">
        <v>0.21107856543585499</v>
      </c>
      <c r="L10" s="14">
        <v>0.30962402199044597</v>
      </c>
      <c r="M10" s="14"/>
      <c r="N10" s="14">
        <v>0.15696378370240999</v>
      </c>
      <c r="O10" s="14">
        <v>0.134930628755668</v>
      </c>
      <c r="P10" s="14">
        <v>0.20955826118673501</v>
      </c>
      <c r="Q10" s="14">
        <v>0.13480762742202701</v>
      </c>
      <c r="R10" s="14"/>
      <c r="S10" s="14">
        <v>0.20607002870552901</v>
      </c>
      <c r="T10" s="14">
        <v>0.121344663130715</v>
      </c>
      <c r="U10" s="14">
        <v>0.14023110833403499</v>
      </c>
      <c r="V10" s="14">
        <v>0.170714586864262</v>
      </c>
      <c r="W10" s="14">
        <v>0.177019033658358</v>
      </c>
      <c r="X10" s="14">
        <v>0.157066506056075</v>
      </c>
      <c r="Y10" s="14">
        <v>0.13339101524764199</v>
      </c>
      <c r="Z10" s="14">
        <v>0.110722578829203</v>
      </c>
      <c r="AA10" s="14">
        <v>0.16246102853872199</v>
      </c>
      <c r="AB10" s="14"/>
      <c r="AC10" s="14">
        <v>0.163095323710608</v>
      </c>
      <c r="AD10" s="14">
        <v>0.15718626054670701</v>
      </c>
      <c r="AE10" s="14">
        <v>0.15263513310957</v>
      </c>
      <c r="AF10" s="14">
        <v>0.15804083674582001</v>
      </c>
      <c r="AG10" s="14">
        <v>0.177392664998612</v>
      </c>
      <c r="AH10" s="14"/>
      <c r="AI10" s="14">
        <v>0.17763660528342901</v>
      </c>
      <c r="AJ10" s="14">
        <v>0.16865803823396799</v>
      </c>
      <c r="AK10" s="14">
        <v>0.10603989226769001</v>
      </c>
      <c r="AL10" s="14">
        <v>0.14180687575303999</v>
      </c>
      <c r="AM10" s="14">
        <v>0.168006800521776</v>
      </c>
      <c r="AN10" s="14">
        <v>0.112500941193627</v>
      </c>
      <c r="AO10" s="14"/>
      <c r="AP10" s="14">
        <v>0.16999592346204201</v>
      </c>
      <c r="AQ10" s="14">
        <v>0.141815551972516</v>
      </c>
      <c r="AR10" s="14"/>
      <c r="AS10" s="14">
        <v>0.138125716691649</v>
      </c>
      <c r="AT10" s="14">
        <v>0.18751525119840101</v>
      </c>
      <c r="AU10" s="14">
        <v>0.152761409589106</v>
      </c>
      <c r="AV10" s="14"/>
      <c r="AW10" s="14">
        <v>0.157772536090172</v>
      </c>
      <c r="AX10" s="14">
        <v>0.174951576087292</v>
      </c>
      <c r="AY10" s="14"/>
      <c r="AZ10" s="14">
        <v>0.164051149227706</v>
      </c>
      <c r="BA10" s="14">
        <v>0.13311398308882599</v>
      </c>
    </row>
    <row r="11" spans="2:53" ht="58" x14ac:dyDescent="0.35">
      <c r="B11" s="15" t="s">
        <v>141</v>
      </c>
      <c r="C11" s="14">
        <v>0.57316617147623905</v>
      </c>
      <c r="D11" s="14">
        <v>0.52305895930026902</v>
      </c>
      <c r="E11" s="14">
        <v>0.62289962760139805</v>
      </c>
      <c r="F11" s="14"/>
      <c r="G11" s="14">
        <v>0.79123592895323303</v>
      </c>
      <c r="H11" s="14">
        <v>0.59594351692060399</v>
      </c>
      <c r="I11" s="14">
        <v>0.57530423073284698</v>
      </c>
      <c r="J11" s="14">
        <v>0.60126091611862598</v>
      </c>
      <c r="K11" s="14">
        <v>0.44820241810335298</v>
      </c>
      <c r="L11" s="14">
        <v>0.41171935819543698</v>
      </c>
      <c r="M11" s="14"/>
      <c r="N11" s="14">
        <v>0.59475252155813296</v>
      </c>
      <c r="O11" s="14">
        <v>0.62584443906465903</v>
      </c>
      <c r="P11" s="14">
        <v>0.54294008333243904</v>
      </c>
      <c r="Q11" s="14">
        <v>0.51819067392367602</v>
      </c>
      <c r="R11" s="14"/>
      <c r="S11" s="14">
        <v>0.48402761745553002</v>
      </c>
      <c r="T11" s="14">
        <v>0.63215488722222801</v>
      </c>
      <c r="U11" s="14">
        <v>0.62215149902183597</v>
      </c>
      <c r="V11" s="14">
        <v>0.55313337642087701</v>
      </c>
      <c r="W11" s="14">
        <v>0.52062713001865002</v>
      </c>
      <c r="X11" s="14">
        <v>0.52964255621794598</v>
      </c>
      <c r="Y11" s="14">
        <v>0.61176244509450695</v>
      </c>
      <c r="Z11" s="14">
        <v>0.65730863681569796</v>
      </c>
      <c r="AA11" s="14">
        <v>0.59732071226416095</v>
      </c>
      <c r="AB11" s="14"/>
      <c r="AC11" s="14">
        <v>0.56069398442624496</v>
      </c>
      <c r="AD11" s="14">
        <v>0.56503679964146403</v>
      </c>
      <c r="AE11" s="14">
        <v>0.61500540470908405</v>
      </c>
      <c r="AF11" s="14">
        <v>0.54013093623994002</v>
      </c>
      <c r="AG11" s="14">
        <v>0.59785182012499904</v>
      </c>
      <c r="AH11" s="14"/>
      <c r="AI11" s="14">
        <v>0.55285429444638101</v>
      </c>
      <c r="AJ11" s="14">
        <v>0.56237145224332996</v>
      </c>
      <c r="AK11" s="14">
        <v>0.64097844121712</v>
      </c>
      <c r="AL11" s="14">
        <v>0.56303983501876997</v>
      </c>
      <c r="AM11" s="14">
        <v>0.61907791435280402</v>
      </c>
      <c r="AN11" s="14">
        <v>0.63018475357027803</v>
      </c>
      <c r="AO11" s="14"/>
      <c r="AP11" s="14">
        <v>0.56479392791153504</v>
      </c>
      <c r="AQ11" s="14">
        <v>0.58187734221253595</v>
      </c>
      <c r="AR11" s="14"/>
      <c r="AS11" s="14">
        <v>0.568896266612269</v>
      </c>
      <c r="AT11" s="14">
        <v>0.56342377847647795</v>
      </c>
      <c r="AU11" s="14">
        <v>0.57719613069076503</v>
      </c>
      <c r="AV11" s="14"/>
      <c r="AW11" s="14">
        <v>0.58059515280568397</v>
      </c>
      <c r="AX11" s="14">
        <v>0.54488903934534205</v>
      </c>
      <c r="AY11" s="14"/>
      <c r="AZ11" s="14">
        <v>0.57099180841958097</v>
      </c>
      <c r="BA11" s="14">
        <v>0.58826172794909004</v>
      </c>
    </row>
    <row r="12" spans="2:53" ht="29" x14ac:dyDescent="0.35">
      <c r="B12" s="15" t="s">
        <v>142</v>
      </c>
      <c r="C12" s="14">
        <v>0.103506280256931</v>
      </c>
      <c r="D12" s="14">
        <v>0.119871244704264</v>
      </c>
      <c r="E12" s="14">
        <v>8.7228581288102902E-2</v>
      </c>
      <c r="F12" s="14"/>
      <c r="G12" s="14">
        <v>9.5495639659026202E-2</v>
      </c>
      <c r="H12" s="14">
        <v>7.9881623932458498E-2</v>
      </c>
      <c r="I12" s="14">
        <v>9.4525739080357205E-2</v>
      </c>
      <c r="J12" s="14">
        <v>0.112698816693903</v>
      </c>
      <c r="K12" s="14">
        <v>0.164476554254611</v>
      </c>
      <c r="L12" s="14">
        <v>4.4722118997196497E-2</v>
      </c>
      <c r="M12" s="14"/>
      <c r="N12" s="14">
        <v>0.12175728382956801</v>
      </c>
      <c r="O12" s="14">
        <v>0.100696970193017</v>
      </c>
      <c r="P12" s="14">
        <v>9.2928161607511495E-2</v>
      </c>
      <c r="Q12" s="14">
        <v>9.7231228147172805E-2</v>
      </c>
      <c r="R12" s="14"/>
      <c r="S12" s="14">
        <v>0.120313327577057</v>
      </c>
      <c r="T12" s="14">
        <v>0.108963753427003</v>
      </c>
      <c r="U12" s="14">
        <v>8.3350140371876699E-2</v>
      </c>
      <c r="V12" s="14">
        <v>0.13074327794034599</v>
      </c>
      <c r="W12" s="14">
        <v>0.114761448896064</v>
      </c>
      <c r="X12" s="14">
        <v>7.0222826274412703E-2</v>
      </c>
      <c r="Y12" s="14">
        <v>0.123473897487268</v>
      </c>
      <c r="Z12" s="14">
        <v>8.2037722587906606E-2</v>
      </c>
      <c r="AA12" s="14">
        <v>7.9318585038386097E-2</v>
      </c>
      <c r="AB12" s="14"/>
      <c r="AC12" s="14">
        <v>0.11769890560744201</v>
      </c>
      <c r="AD12" s="14">
        <v>8.8614155603578298E-2</v>
      </c>
      <c r="AE12" s="14">
        <v>0.111816909087549</v>
      </c>
      <c r="AF12" s="14">
        <v>0.10555644342192699</v>
      </c>
      <c r="AG12" s="14">
        <v>5.1750991792536102E-2</v>
      </c>
      <c r="AH12" s="14"/>
      <c r="AI12" s="14">
        <v>9.3593657926722904E-2</v>
      </c>
      <c r="AJ12" s="14">
        <v>0.103184998326178</v>
      </c>
      <c r="AK12" s="14">
        <v>0.126805122431567</v>
      </c>
      <c r="AL12" s="14">
        <v>0.14086242502740601</v>
      </c>
      <c r="AM12" s="14">
        <v>6.16737358626658E-2</v>
      </c>
      <c r="AN12" s="14">
        <v>4.1664121268669599E-2</v>
      </c>
      <c r="AO12" s="14"/>
      <c r="AP12" s="14">
        <v>0.102396399544481</v>
      </c>
      <c r="AQ12" s="14">
        <v>0.105088627867747</v>
      </c>
      <c r="AR12" s="14"/>
      <c r="AS12" s="14">
        <v>0.119635103670317</v>
      </c>
      <c r="AT12" s="14">
        <v>9.1923708310447202E-2</v>
      </c>
      <c r="AU12" s="14">
        <v>0.10259036257823</v>
      </c>
      <c r="AV12" s="14"/>
      <c r="AW12" s="14">
        <v>0.10236664002845899</v>
      </c>
      <c r="AX12" s="14">
        <v>8.5502231111455398E-2</v>
      </c>
      <c r="AY12" s="14"/>
      <c r="AZ12" s="14">
        <v>0.102032771220984</v>
      </c>
      <c r="BA12" s="14">
        <v>0.111176734672851</v>
      </c>
    </row>
    <row r="13" spans="2:53" ht="29" x14ac:dyDescent="0.35">
      <c r="B13" s="15" t="s">
        <v>143</v>
      </c>
      <c r="C13" s="14">
        <v>2.1543310747492401E-2</v>
      </c>
      <c r="D13" s="14">
        <v>2.0207677509170401E-2</v>
      </c>
      <c r="E13" s="14">
        <v>2.2900898503463399E-2</v>
      </c>
      <c r="F13" s="14"/>
      <c r="G13" s="14">
        <v>0</v>
      </c>
      <c r="H13" s="14">
        <v>2.2522234625381801E-2</v>
      </c>
      <c r="I13" s="14">
        <v>2.0770622485626701E-2</v>
      </c>
      <c r="J13" s="14">
        <v>2.0788114887908399E-2</v>
      </c>
      <c r="K13" s="14">
        <v>3.0884810945311199E-2</v>
      </c>
      <c r="L13" s="14">
        <v>0</v>
      </c>
      <c r="M13" s="14"/>
      <c r="N13" s="14">
        <v>2.0726229366656201E-2</v>
      </c>
      <c r="O13" s="14">
        <v>1.4762735276289201E-2</v>
      </c>
      <c r="P13" s="14">
        <v>8.2259683969526601E-3</v>
      </c>
      <c r="Q13" s="14">
        <v>4.1434419797136898E-2</v>
      </c>
      <c r="R13" s="14"/>
      <c r="S13" s="14">
        <v>2.77997333245526E-2</v>
      </c>
      <c r="T13" s="14">
        <v>9.4448072084551693E-3</v>
      </c>
      <c r="U13" s="14">
        <v>3.8812116460471601E-3</v>
      </c>
      <c r="V13" s="14">
        <v>2.7613868197066498E-2</v>
      </c>
      <c r="W13" s="14">
        <v>4.3996435110698E-2</v>
      </c>
      <c r="X13" s="14">
        <v>1.5272356161642801E-2</v>
      </c>
      <c r="Y13" s="14">
        <v>3.6339822999804899E-2</v>
      </c>
      <c r="Z13" s="14">
        <v>0</v>
      </c>
      <c r="AA13" s="14">
        <v>2.3352120133841001E-2</v>
      </c>
      <c r="AB13" s="14"/>
      <c r="AC13" s="14">
        <v>1.74579301159405E-2</v>
      </c>
      <c r="AD13" s="14">
        <v>1.06404703629233E-2</v>
      </c>
      <c r="AE13" s="14">
        <v>2.5031747624987E-2</v>
      </c>
      <c r="AF13" s="14">
        <v>2.2475859177412301E-2</v>
      </c>
      <c r="AG13" s="14">
        <v>1.6279344900847901E-2</v>
      </c>
      <c r="AH13" s="14"/>
      <c r="AI13" s="14">
        <v>2.0334022050316598E-2</v>
      </c>
      <c r="AJ13" s="14">
        <v>2.80523116669847E-2</v>
      </c>
      <c r="AK13" s="14">
        <v>9.1432676186468803E-3</v>
      </c>
      <c r="AL13" s="14">
        <v>1.5180233442868601E-2</v>
      </c>
      <c r="AM13" s="14">
        <v>1.7605021234121401E-2</v>
      </c>
      <c r="AN13" s="14">
        <v>1.8861964747818101E-2</v>
      </c>
      <c r="AO13" s="14"/>
      <c r="AP13" s="14">
        <v>1.9983777131118399E-2</v>
      </c>
      <c r="AQ13" s="14">
        <v>2.3367433683217802E-2</v>
      </c>
      <c r="AR13" s="14"/>
      <c r="AS13" s="14">
        <v>6.90387437533842E-3</v>
      </c>
      <c r="AT13" s="14">
        <v>1.5221009061975601E-2</v>
      </c>
      <c r="AU13" s="14">
        <v>2.7352767811688401E-2</v>
      </c>
      <c r="AV13" s="14"/>
      <c r="AW13" s="14">
        <v>1.7022687008199699E-2</v>
      </c>
      <c r="AX13" s="14">
        <v>2.5821081745057099E-2</v>
      </c>
      <c r="AY13" s="14"/>
      <c r="AZ13" s="14">
        <v>2.0458776847288099E-2</v>
      </c>
      <c r="BA13" s="14">
        <v>2.6040114161220401E-2</v>
      </c>
    </row>
    <row r="14" spans="2:53" ht="29" x14ac:dyDescent="0.35">
      <c r="B14" s="15" t="s">
        <v>144</v>
      </c>
      <c r="C14" s="14">
        <v>1.3592397047682201E-3</v>
      </c>
      <c r="D14" s="14">
        <v>1.5029768641125799E-3</v>
      </c>
      <c r="E14" s="14">
        <v>1.2167054163372E-3</v>
      </c>
      <c r="F14" s="14"/>
      <c r="G14" s="14">
        <v>0</v>
      </c>
      <c r="H14" s="14">
        <v>0</v>
      </c>
      <c r="I14" s="14">
        <v>3.1119885845122498E-3</v>
      </c>
      <c r="J14" s="14">
        <v>0</v>
      </c>
      <c r="K14" s="14">
        <v>0</v>
      </c>
      <c r="L14" s="14">
        <v>0</v>
      </c>
      <c r="M14" s="14"/>
      <c r="N14" s="14">
        <v>0</v>
      </c>
      <c r="O14" s="14">
        <v>2.9003586548764998E-3</v>
      </c>
      <c r="P14" s="14">
        <v>2.7707242984387299E-3</v>
      </c>
      <c r="Q14" s="14">
        <v>0</v>
      </c>
      <c r="R14" s="14"/>
      <c r="S14" s="14">
        <v>0</v>
      </c>
      <c r="T14" s="14">
        <v>0</v>
      </c>
      <c r="U14" s="14">
        <v>0</v>
      </c>
      <c r="V14" s="14">
        <v>6.8348249479670102E-3</v>
      </c>
      <c r="W14" s="14">
        <v>6.7480483796308497E-3</v>
      </c>
      <c r="X14" s="14">
        <v>0</v>
      </c>
      <c r="Y14" s="14">
        <v>0</v>
      </c>
      <c r="Z14" s="14">
        <v>0</v>
      </c>
      <c r="AA14" s="14">
        <v>0</v>
      </c>
      <c r="AB14" s="14"/>
      <c r="AC14" s="14">
        <v>3.0419183262921298E-3</v>
      </c>
      <c r="AD14" s="14">
        <v>0</v>
      </c>
      <c r="AE14" s="14">
        <v>0</v>
      </c>
      <c r="AF14" s="14">
        <v>0</v>
      </c>
      <c r="AG14" s="14">
        <v>0</v>
      </c>
      <c r="AH14" s="14"/>
      <c r="AI14" s="14">
        <v>0</v>
      </c>
      <c r="AJ14" s="14">
        <v>0</v>
      </c>
      <c r="AK14" s="14">
        <v>0</v>
      </c>
      <c r="AL14" s="14">
        <v>8.8277498338068892E-3</v>
      </c>
      <c r="AM14" s="14">
        <v>0</v>
      </c>
      <c r="AN14" s="14">
        <v>0</v>
      </c>
      <c r="AO14" s="14"/>
      <c r="AP14" s="14">
        <v>1.4214267564803601E-3</v>
      </c>
      <c r="AQ14" s="14">
        <v>1.2936510610526699E-3</v>
      </c>
      <c r="AR14" s="14"/>
      <c r="AS14" s="14">
        <v>4.36900613925919E-3</v>
      </c>
      <c r="AT14" s="14">
        <v>0</v>
      </c>
      <c r="AU14" s="14">
        <v>9.5112728975818605E-4</v>
      </c>
      <c r="AV14" s="14"/>
      <c r="AW14" s="14">
        <v>9.9994338030468606E-4</v>
      </c>
      <c r="AX14" s="14">
        <v>0</v>
      </c>
      <c r="AY14" s="14"/>
      <c r="AZ14" s="14">
        <v>1.7314435528129699E-3</v>
      </c>
      <c r="BA14" s="14">
        <v>0</v>
      </c>
    </row>
    <row r="15" spans="2:53" x14ac:dyDescent="0.35">
      <c r="B15" s="15" t="s">
        <v>80</v>
      </c>
      <c r="C15" s="23">
        <v>1.6163528733482299E-2</v>
      </c>
      <c r="D15" s="23">
        <v>1.10189989320884E-2</v>
      </c>
      <c r="E15" s="23">
        <v>2.1327842853549599E-2</v>
      </c>
      <c r="F15" s="23"/>
      <c r="G15" s="23">
        <v>0</v>
      </c>
      <c r="H15" s="23">
        <v>2.0284478455182501E-2</v>
      </c>
      <c r="I15" s="23">
        <v>1.72317234279468E-2</v>
      </c>
      <c r="J15" s="23">
        <v>1.11177141940146E-2</v>
      </c>
      <c r="K15" s="23">
        <v>0</v>
      </c>
      <c r="L15" s="23">
        <v>0.148895097137344</v>
      </c>
      <c r="M15" s="23"/>
      <c r="N15" s="23">
        <v>9.880395499525681E-4</v>
      </c>
      <c r="O15" s="23">
        <v>6.1590067082048601E-3</v>
      </c>
      <c r="P15" s="23">
        <v>1.38183330564209E-2</v>
      </c>
      <c r="Q15" s="23">
        <v>4.5191385626689798E-2</v>
      </c>
      <c r="R15" s="23"/>
      <c r="S15" s="23">
        <v>7.7230645494941299E-3</v>
      </c>
      <c r="T15" s="23">
        <v>7.9444352722605905E-3</v>
      </c>
      <c r="U15" s="23">
        <v>1.54139969229918E-2</v>
      </c>
      <c r="V15" s="23">
        <v>4.4161069984616899E-2</v>
      </c>
      <c r="W15" s="23">
        <v>1.8743348784685001E-2</v>
      </c>
      <c r="X15" s="23">
        <v>2.0789413782065499E-2</v>
      </c>
      <c r="Y15" s="23">
        <v>2.6536762194060001E-3</v>
      </c>
      <c r="Z15" s="23">
        <v>0</v>
      </c>
      <c r="AA15" s="23">
        <v>2.4821719160076201E-2</v>
      </c>
      <c r="AB15" s="23"/>
      <c r="AC15" s="23">
        <v>1.48002002581756E-2</v>
      </c>
      <c r="AD15" s="23">
        <v>1.7268285224401599E-2</v>
      </c>
      <c r="AE15" s="23">
        <v>5.3881912766511096E-3</v>
      </c>
      <c r="AF15" s="23">
        <v>6.6711785142391997E-3</v>
      </c>
      <c r="AG15" s="23">
        <v>0</v>
      </c>
      <c r="AH15" s="23"/>
      <c r="AI15" s="23">
        <v>1.5908586067090301E-2</v>
      </c>
      <c r="AJ15" s="23">
        <v>3.6053276316378698E-3</v>
      </c>
      <c r="AK15" s="23">
        <v>1.3001601640146101E-2</v>
      </c>
      <c r="AL15" s="23">
        <v>1.4533687276287399E-2</v>
      </c>
      <c r="AM15" s="23">
        <v>0</v>
      </c>
      <c r="AN15" s="23">
        <v>4.7682771740048202E-2</v>
      </c>
      <c r="AO15" s="23"/>
      <c r="AP15" s="23">
        <v>1.26733145217346E-2</v>
      </c>
      <c r="AQ15" s="23">
        <v>2.0142600239192E-2</v>
      </c>
      <c r="AR15" s="23"/>
      <c r="AS15" s="23">
        <v>1.3409785339021801E-2</v>
      </c>
      <c r="AT15" s="23">
        <v>1.92116744254206E-2</v>
      </c>
      <c r="AU15" s="23">
        <v>1.60033350116673E-2</v>
      </c>
      <c r="AV15" s="23"/>
      <c r="AW15" s="23">
        <v>1.3787988664192201E-2</v>
      </c>
      <c r="AX15" s="23">
        <v>7.4841677371606996E-3</v>
      </c>
      <c r="AY15" s="23"/>
      <c r="AZ15" s="23">
        <v>8.7774294154161301E-3</v>
      </c>
      <c r="BA15" s="23">
        <v>2.8081118822461101E-2</v>
      </c>
    </row>
    <row r="16" spans="2:53" x14ac:dyDescent="0.35">
      <c r="B16" s="16"/>
    </row>
    <row r="17" spans="2:2" x14ac:dyDescent="0.35">
      <c r="B17" t="s">
        <v>84</v>
      </c>
    </row>
    <row r="18" spans="2:2" x14ac:dyDescent="0.35">
      <c r="B18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BA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147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139</v>
      </c>
      <c r="C9" s="14">
        <v>0.25721849867122698</v>
      </c>
      <c r="D9" s="14">
        <v>0.30342301233564201</v>
      </c>
      <c r="E9" s="14">
        <v>0.21025690267817301</v>
      </c>
      <c r="F9" s="14"/>
      <c r="G9" s="14">
        <v>0.14264816943094299</v>
      </c>
      <c r="H9" s="14">
        <v>0.24047627830905499</v>
      </c>
      <c r="I9" s="14">
        <v>0.24895267887587999</v>
      </c>
      <c r="J9" s="14">
        <v>0.24721485290539</v>
      </c>
      <c r="K9" s="14">
        <v>0.36878618696451199</v>
      </c>
      <c r="L9" s="14">
        <v>0.22134593137911801</v>
      </c>
      <c r="M9" s="14"/>
      <c r="N9" s="14">
        <v>0.24490380940200701</v>
      </c>
      <c r="O9" s="14">
        <v>0.209911861622669</v>
      </c>
      <c r="P9" s="14">
        <v>0.27824244258502501</v>
      </c>
      <c r="Q9" s="14">
        <v>0.29694937634650898</v>
      </c>
      <c r="R9" s="14"/>
      <c r="S9" s="14">
        <v>0.29083827470408402</v>
      </c>
      <c r="T9" s="14">
        <v>0.269731028482185</v>
      </c>
      <c r="U9" s="14">
        <v>0.24256064932973101</v>
      </c>
      <c r="V9" s="14">
        <v>0.230272983344921</v>
      </c>
      <c r="W9" s="14">
        <v>0.28115501773393398</v>
      </c>
      <c r="X9" s="14">
        <v>0.28227816859941302</v>
      </c>
      <c r="Y9" s="14">
        <v>0.214223304374066</v>
      </c>
      <c r="Z9" s="14">
        <v>0.24651935188834001</v>
      </c>
      <c r="AA9" s="14">
        <v>0.23592506675554101</v>
      </c>
      <c r="AB9" s="14"/>
      <c r="AC9" s="14">
        <v>0.29845223334272702</v>
      </c>
      <c r="AD9" s="14">
        <v>0.240895597252588</v>
      </c>
      <c r="AE9" s="14">
        <v>0.24091503932539099</v>
      </c>
      <c r="AF9" s="14">
        <v>0.268953004460317</v>
      </c>
      <c r="AG9" s="14">
        <v>0.28016997650876302</v>
      </c>
      <c r="AH9" s="14"/>
      <c r="AI9" s="14">
        <v>0.26935167466062798</v>
      </c>
      <c r="AJ9" s="14">
        <v>0.26679538508286499</v>
      </c>
      <c r="AK9" s="14">
        <v>0.249257138142496</v>
      </c>
      <c r="AL9" s="14">
        <v>0.248795615945826</v>
      </c>
      <c r="AM9" s="14">
        <v>0.22993664829738999</v>
      </c>
      <c r="AN9" s="14">
        <v>0.25798423658961001</v>
      </c>
      <c r="AO9" s="14"/>
      <c r="AP9" s="14">
        <v>0.25457834044012301</v>
      </c>
      <c r="AQ9" s="14">
        <v>0.26101800107745099</v>
      </c>
      <c r="AR9" s="14"/>
      <c r="AS9" s="14">
        <v>0.23966289412233799</v>
      </c>
      <c r="AT9" s="14">
        <v>0.23292291872642601</v>
      </c>
      <c r="AU9" s="14">
        <v>0.26912741055297101</v>
      </c>
      <c r="AV9" s="14"/>
      <c r="AW9" s="14">
        <v>0.25218269867377302</v>
      </c>
      <c r="AX9" s="14">
        <v>0.32821303672994601</v>
      </c>
      <c r="AY9" s="14"/>
      <c r="AZ9" s="14">
        <v>0.26537165523720602</v>
      </c>
      <c r="BA9" s="14">
        <v>0.232226329114708</v>
      </c>
    </row>
    <row r="10" spans="2:53" ht="29" x14ac:dyDescent="0.35">
      <c r="B10" s="15" t="s">
        <v>140</v>
      </c>
      <c r="C10" s="14">
        <v>0.34261557760935601</v>
      </c>
      <c r="D10" s="14">
        <v>0.34964619858571999</v>
      </c>
      <c r="E10" s="14">
        <v>0.33591150573099399</v>
      </c>
      <c r="F10" s="14"/>
      <c r="G10" s="14">
        <v>0.18127959358201301</v>
      </c>
      <c r="H10" s="14">
        <v>0.327959809703459</v>
      </c>
      <c r="I10" s="14">
        <v>0.34945705340197297</v>
      </c>
      <c r="J10" s="14">
        <v>0.33862311981257098</v>
      </c>
      <c r="K10" s="14">
        <v>0.36215197068976201</v>
      </c>
      <c r="L10" s="14">
        <v>0.307610533329985</v>
      </c>
      <c r="M10" s="14"/>
      <c r="N10" s="14">
        <v>0.38160890053281499</v>
      </c>
      <c r="O10" s="14">
        <v>0.37283993907864998</v>
      </c>
      <c r="P10" s="14">
        <v>0.31335351347358198</v>
      </c>
      <c r="Q10" s="14">
        <v>0.29885069789591001</v>
      </c>
      <c r="R10" s="14"/>
      <c r="S10" s="14">
        <v>0.34163046282198001</v>
      </c>
      <c r="T10" s="14">
        <v>0.34841582044352598</v>
      </c>
      <c r="U10" s="14">
        <v>0.32694564992102798</v>
      </c>
      <c r="V10" s="14">
        <v>0.365454227598701</v>
      </c>
      <c r="W10" s="14">
        <v>0.32950766592404901</v>
      </c>
      <c r="X10" s="14">
        <v>0.29984307323067699</v>
      </c>
      <c r="Y10" s="14">
        <v>0.32287023700675899</v>
      </c>
      <c r="Z10" s="14">
        <v>0.32072402354360702</v>
      </c>
      <c r="AA10" s="14">
        <v>0.39524943498901399</v>
      </c>
      <c r="AB10" s="14"/>
      <c r="AC10" s="14">
        <v>0.29228295420394701</v>
      </c>
      <c r="AD10" s="14">
        <v>0.36000467276499298</v>
      </c>
      <c r="AE10" s="14">
        <v>0.35671013591318401</v>
      </c>
      <c r="AF10" s="14">
        <v>0.34304166227402499</v>
      </c>
      <c r="AG10" s="14">
        <v>0.30597083551494098</v>
      </c>
      <c r="AH10" s="14"/>
      <c r="AI10" s="14">
        <v>0.35565895027477601</v>
      </c>
      <c r="AJ10" s="14">
        <v>0.36393319848091699</v>
      </c>
      <c r="AK10" s="14">
        <v>0.38393214255264702</v>
      </c>
      <c r="AL10" s="14">
        <v>0.34287193301086799</v>
      </c>
      <c r="AM10" s="14">
        <v>0.360119935039248</v>
      </c>
      <c r="AN10" s="14">
        <v>0.21316443607653399</v>
      </c>
      <c r="AO10" s="14"/>
      <c r="AP10" s="14">
        <v>0.36428233119824499</v>
      </c>
      <c r="AQ10" s="14">
        <v>0.31731468359176801</v>
      </c>
      <c r="AR10" s="14"/>
      <c r="AS10" s="14">
        <v>0.31945310616660899</v>
      </c>
      <c r="AT10" s="14">
        <v>0.36154338035654698</v>
      </c>
      <c r="AU10" s="14">
        <v>0.34325254564174101</v>
      </c>
      <c r="AV10" s="14"/>
      <c r="AW10" s="14">
        <v>0.35605748902332701</v>
      </c>
      <c r="AX10" s="14">
        <v>0.30152448838050699</v>
      </c>
      <c r="AY10" s="14"/>
      <c r="AZ10" s="14">
        <v>0.34030679690032201</v>
      </c>
      <c r="BA10" s="14">
        <v>0.35842782050789002</v>
      </c>
    </row>
    <row r="11" spans="2:53" ht="58" x14ac:dyDescent="0.35">
      <c r="B11" s="15" t="s">
        <v>141</v>
      </c>
      <c r="C11" s="14">
        <v>0.35703872219301103</v>
      </c>
      <c r="D11" s="14">
        <v>0.30555578328977301</v>
      </c>
      <c r="E11" s="14">
        <v>0.40890898083369498</v>
      </c>
      <c r="F11" s="14"/>
      <c r="G11" s="14">
        <v>0.53660020964677602</v>
      </c>
      <c r="H11" s="14">
        <v>0.35706140018898702</v>
      </c>
      <c r="I11" s="14">
        <v>0.36175483739719899</v>
      </c>
      <c r="J11" s="14">
        <v>0.385287807309176</v>
      </c>
      <c r="K11" s="14">
        <v>0.24397185257162399</v>
      </c>
      <c r="L11" s="14">
        <v>0.28378472847854802</v>
      </c>
      <c r="M11" s="14"/>
      <c r="N11" s="14">
        <v>0.34200257195671602</v>
      </c>
      <c r="O11" s="14">
        <v>0.40404846742995199</v>
      </c>
      <c r="P11" s="14">
        <v>0.34514117300222502</v>
      </c>
      <c r="Q11" s="14">
        <v>0.33462277809101998</v>
      </c>
      <c r="R11" s="14"/>
      <c r="S11" s="14">
        <v>0.30916973621864902</v>
      </c>
      <c r="T11" s="14">
        <v>0.36029357096902098</v>
      </c>
      <c r="U11" s="14">
        <v>0.38986773866191798</v>
      </c>
      <c r="V11" s="14">
        <v>0.34435003075995702</v>
      </c>
      <c r="W11" s="14">
        <v>0.33460962543730299</v>
      </c>
      <c r="X11" s="14">
        <v>0.36255357926570803</v>
      </c>
      <c r="Y11" s="14">
        <v>0.39519413938527098</v>
      </c>
      <c r="Z11" s="14">
        <v>0.431069153064148</v>
      </c>
      <c r="AA11" s="14">
        <v>0.35072620319439302</v>
      </c>
      <c r="AB11" s="14"/>
      <c r="AC11" s="14">
        <v>0.35357115839001202</v>
      </c>
      <c r="AD11" s="14">
        <v>0.35566945941664402</v>
      </c>
      <c r="AE11" s="14">
        <v>0.38132978418984598</v>
      </c>
      <c r="AF11" s="14">
        <v>0.34571016765399498</v>
      </c>
      <c r="AG11" s="14">
        <v>0.38202973385213601</v>
      </c>
      <c r="AH11" s="14"/>
      <c r="AI11" s="14">
        <v>0.33696971680891402</v>
      </c>
      <c r="AJ11" s="14">
        <v>0.31858968583659603</v>
      </c>
      <c r="AK11" s="14">
        <v>0.33823343122288302</v>
      </c>
      <c r="AL11" s="14">
        <v>0.36330549088922498</v>
      </c>
      <c r="AM11" s="14">
        <v>0.38720514419143098</v>
      </c>
      <c r="AN11" s="14">
        <v>0.47368317869020399</v>
      </c>
      <c r="AO11" s="14"/>
      <c r="AP11" s="14">
        <v>0.34348167242998101</v>
      </c>
      <c r="AQ11" s="14">
        <v>0.372247119481388</v>
      </c>
      <c r="AR11" s="14"/>
      <c r="AS11" s="14">
        <v>0.39642241985857501</v>
      </c>
      <c r="AT11" s="14">
        <v>0.377063337370667</v>
      </c>
      <c r="AU11" s="14">
        <v>0.34051801322749697</v>
      </c>
      <c r="AV11" s="14"/>
      <c r="AW11" s="14">
        <v>0.355853575614198</v>
      </c>
      <c r="AX11" s="14">
        <v>0.31793466508208601</v>
      </c>
      <c r="AY11" s="14"/>
      <c r="AZ11" s="14">
        <v>0.35662395723954499</v>
      </c>
      <c r="BA11" s="14">
        <v>0.361029200677078</v>
      </c>
    </row>
    <row r="12" spans="2:53" ht="29" x14ac:dyDescent="0.35">
      <c r="B12" s="15" t="s">
        <v>142</v>
      </c>
      <c r="C12" s="14">
        <v>2.10572768553807E-2</v>
      </c>
      <c r="D12" s="14">
        <v>2.6781944091684402E-2</v>
      </c>
      <c r="E12" s="14">
        <v>1.53484475337624E-2</v>
      </c>
      <c r="F12" s="14"/>
      <c r="G12" s="14">
        <v>8.1088258398355997E-2</v>
      </c>
      <c r="H12" s="14">
        <v>4.5131286890640901E-2</v>
      </c>
      <c r="I12" s="14">
        <v>1.6339556427714601E-2</v>
      </c>
      <c r="J12" s="14">
        <v>1.2777113227517E-2</v>
      </c>
      <c r="K12" s="14">
        <v>2.5089989774101699E-2</v>
      </c>
      <c r="L12" s="14">
        <v>3.83637096750045E-2</v>
      </c>
      <c r="M12" s="14"/>
      <c r="N12" s="14">
        <v>1.9457644615561102E-2</v>
      </c>
      <c r="O12" s="14">
        <v>7.9198346479473995E-3</v>
      </c>
      <c r="P12" s="14">
        <v>3.2807423090059899E-2</v>
      </c>
      <c r="Q12" s="14">
        <v>2.6341654700283702E-2</v>
      </c>
      <c r="R12" s="14"/>
      <c r="S12" s="14">
        <v>3.0874685664442101E-2</v>
      </c>
      <c r="T12" s="14">
        <v>1.3002841078549E-2</v>
      </c>
      <c r="U12" s="14">
        <v>2.5211965164331301E-2</v>
      </c>
      <c r="V12" s="14">
        <v>5.9160240069183103E-3</v>
      </c>
      <c r="W12" s="14">
        <v>2.3406998495227E-2</v>
      </c>
      <c r="X12" s="14">
        <v>2.7883578694292602E-2</v>
      </c>
      <c r="Y12" s="14">
        <v>4.8254342373449402E-2</v>
      </c>
      <c r="Z12" s="14">
        <v>1.6874715039051501E-3</v>
      </c>
      <c r="AA12" s="14">
        <v>8.0400748484844593E-3</v>
      </c>
      <c r="AB12" s="14"/>
      <c r="AC12" s="14">
        <v>2.9610379276921402E-2</v>
      </c>
      <c r="AD12" s="14">
        <v>2.3714947744600302E-2</v>
      </c>
      <c r="AE12" s="14">
        <v>1.39249503711695E-2</v>
      </c>
      <c r="AF12" s="14">
        <v>2.2529418787025E-2</v>
      </c>
      <c r="AG12" s="14">
        <v>2.5246555924539501E-2</v>
      </c>
      <c r="AH12" s="14"/>
      <c r="AI12" s="14">
        <v>2.4322877163512099E-2</v>
      </c>
      <c r="AJ12" s="14">
        <v>2.6216038819429702E-2</v>
      </c>
      <c r="AK12" s="14">
        <v>5.8705370114222697E-3</v>
      </c>
      <c r="AL12" s="14">
        <v>2.80281305493945E-2</v>
      </c>
      <c r="AM12" s="14">
        <v>1.1369135517788599E-2</v>
      </c>
      <c r="AN12" s="14">
        <v>6.9083011142054597E-3</v>
      </c>
      <c r="AO12" s="14"/>
      <c r="AP12" s="14">
        <v>1.8903344374736099E-2</v>
      </c>
      <c r="AQ12" s="14">
        <v>2.3548615470346899E-2</v>
      </c>
      <c r="AR12" s="14"/>
      <c r="AS12" s="14">
        <v>2.6725002853953499E-2</v>
      </c>
      <c r="AT12" s="14">
        <v>5.3563885224527704E-3</v>
      </c>
      <c r="AU12" s="14">
        <v>2.4174571651606001E-2</v>
      </c>
      <c r="AV12" s="14"/>
      <c r="AW12" s="14">
        <v>1.8026334494865501E-2</v>
      </c>
      <c r="AX12" s="14">
        <v>2.87002464220469E-2</v>
      </c>
      <c r="AY12" s="14"/>
      <c r="AZ12" s="14">
        <v>2.10967223645659E-2</v>
      </c>
      <c r="BA12" s="14">
        <v>2.13529345410166E-2</v>
      </c>
    </row>
    <row r="13" spans="2:53" ht="29" x14ac:dyDescent="0.35">
      <c r="B13" s="15" t="s">
        <v>143</v>
      </c>
      <c r="C13" s="14">
        <v>5.7796464003059796E-3</v>
      </c>
      <c r="D13" s="14">
        <v>6.8404980014806398E-3</v>
      </c>
      <c r="E13" s="14">
        <v>4.7235499974126799E-3</v>
      </c>
      <c r="F13" s="14"/>
      <c r="G13" s="14">
        <v>5.8383768941911898E-2</v>
      </c>
      <c r="H13" s="14">
        <v>1.19112905273401E-2</v>
      </c>
      <c r="I13" s="14">
        <v>5.6687007646674904E-3</v>
      </c>
      <c r="J13" s="14">
        <v>4.0204254942958102E-3</v>
      </c>
      <c r="K13" s="14">
        <v>0</v>
      </c>
      <c r="L13" s="14">
        <v>0</v>
      </c>
      <c r="M13" s="14"/>
      <c r="N13" s="14">
        <v>9.8754440365521699E-3</v>
      </c>
      <c r="O13" s="14">
        <v>0</v>
      </c>
      <c r="P13" s="14">
        <v>1.1568765822565901E-2</v>
      </c>
      <c r="Q13" s="14">
        <v>2.3370330061356702E-3</v>
      </c>
      <c r="R13" s="14"/>
      <c r="S13" s="14">
        <v>1.56069395560935E-2</v>
      </c>
      <c r="T13" s="14">
        <v>6.1230375445847597E-4</v>
      </c>
      <c r="U13" s="14">
        <v>0</v>
      </c>
      <c r="V13" s="14">
        <v>9.67656722213215E-3</v>
      </c>
      <c r="W13" s="14">
        <v>5.8292952451706398E-3</v>
      </c>
      <c r="X13" s="14">
        <v>6.6521864278444301E-3</v>
      </c>
      <c r="Y13" s="14">
        <v>6.3531902206833499E-3</v>
      </c>
      <c r="Z13" s="14">
        <v>0</v>
      </c>
      <c r="AA13" s="14">
        <v>2.2782204522131199E-3</v>
      </c>
      <c r="AB13" s="14"/>
      <c r="AC13" s="14">
        <v>0</v>
      </c>
      <c r="AD13" s="14">
        <v>7.3441598008555896E-3</v>
      </c>
      <c r="AE13" s="14">
        <v>4.7597921449616699E-3</v>
      </c>
      <c r="AF13" s="14">
        <v>1.30945683103991E-2</v>
      </c>
      <c r="AG13" s="14">
        <v>6.5828981996199198E-3</v>
      </c>
      <c r="AH13" s="14"/>
      <c r="AI13" s="14">
        <v>1.5469607969618999E-3</v>
      </c>
      <c r="AJ13" s="14">
        <v>2.0860364148553499E-2</v>
      </c>
      <c r="AK13" s="14">
        <v>5.0391805102424202E-3</v>
      </c>
      <c r="AL13" s="14">
        <v>3.27142191222194E-3</v>
      </c>
      <c r="AM13" s="14">
        <v>1.1369136954142199E-2</v>
      </c>
      <c r="AN13" s="14">
        <v>0</v>
      </c>
      <c r="AO13" s="14"/>
      <c r="AP13" s="14">
        <v>6.7467927258301899E-3</v>
      </c>
      <c r="AQ13" s="14">
        <v>4.7100976303019598E-3</v>
      </c>
      <c r="AR13" s="14"/>
      <c r="AS13" s="14">
        <v>1.07407162248891E-2</v>
      </c>
      <c r="AT13" s="14">
        <v>7.3249782203995799E-3</v>
      </c>
      <c r="AU13" s="14">
        <v>3.9875023229993299E-3</v>
      </c>
      <c r="AV13" s="14"/>
      <c r="AW13" s="14">
        <v>2.4957986386610698E-3</v>
      </c>
      <c r="AX13" s="14">
        <v>1.7090332522262702E-2</v>
      </c>
      <c r="AY13" s="14"/>
      <c r="AZ13" s="14">
        <v>6.7206556548955404E-3</v>
      </c>
      <c r="BA13" s="14">
        <v>2.3924704847774602E-3</v>
      </c>
    </row>
    <row r="14" spans="2:53" ht="29" x14ac:dyDescent="0.35">
      <c r="B14" s="15" t="s">
        <v>144</v>
      </c>
      <c r="C14" s="14">
        <v>9.4478891488579701E-4</v>
      </c>
      <c r="D14" s="14">
        <v>0</v>
      </c>
      <c r="E14" s="14">
        <v>1.8912492654527999E-3</v>
      </c>
      <c r="F14" s="14"/>
      <c r="G14" s="14">
        <v>0</v>
      </c>
      <c r="H14" s="14">
        <v>0</v>
      </c>
      <c r="I14" s="14">
        <v>9.5930409424066401E-4</v>
      </c>
      <c r="J14" s="14">
        <v>1.7462679669785501E-3</v>
      </c>
      <c r="K14" s="14">
        <v>0</v>
      </c>
      <c r="L14" s="14">
        <v>0</v>
      </c>
      <c r="M14" s="14"/>
      <c r="N14" s="14">
        <v>0</v>
      </c>
      <c r="O14" s="14">
        <v>1.61726291205271E-3</v>
      </c>
      <c r="P14" s="14">
        <v>0</v>
      </c>
      <c r="Q14" s="14">
        <v>2.10825914135932E-3</v>
      </c>
      <c r="R14" s="14"/>
      <c r="S14" s="14">
        <v>2.6226166377568802E-3</v>
      </c>
      <c r="T14" s="14">
        <v>0</v>
      </c>
      <c r="U14" s="14">
        <v>0</v>
      </c>
      <c r="V14" s="14">
        <v>0</v>
      </c>
      <c r="W14" s="14">
        <v>0</v>
      </c>
      <c r="X14" s="14">
        <v>5.2446881107329297E-3</v>
      </c>
      <c r="Y14" s="14">
        <v>0</v>
      </c>
      <c r="Z14" s="14">
        <v>0</v>
      </c>
      <c r="AA14" s="14">
        <v>0</v>
      </c>
      <c r="AB14" s="14"/>
      <c r="AC14" s="14">
        <v>0</v>
      </c>
      <c r="AD14" s="14">
        <v>0</v>
      </c>
      <c r="AE14" s="14">
        <v>1.44368355591717E-3</v>
      </c>
      <c r="AF14" s="14">
        <v>0</v>
      </c>
      <c r="AG14" s="14">
        <v>0</v>
      </c>
      <c r="AH14" s="14"/>
      <c r="AI14" s="14">
        <v>0</v>
      </c>
      <c r="AJ14" s="14">
        <v>0</v>
      </c>
      <c r="AK14" s="14">
        <v>4.6659689201633296E-3</v>
      </c>
      <c r="AL14" s="14">
        <v>0</v>
      </c>
      <c r="AM14" s="14">
        <v>0</v>
      </c>
      <c r="AN14" s="14">
        <v>0</v>
      </c>
      <c r="AO14" s="14"/>
      <c r="AP14" s="14">
        <v>1.7872028236500001E-3</v>
      </c>
      <c r="AQ14" s="14">
        <v>0</v>
      </c>
      <c r="AR14" s="14"/>
      <c r="AS14" s="14">
        <v>0</v>
      </c>
      <c r="AT14" s="14">
        <v>0</v>
      </c>
      <c r="AU14" s="14">
        <v>1.47843410899122E-3</v>
      </c>
      <c r="AV14" s="14"/>
      <c r="AW14" s="14">
        <v>5.57576332982255E-4</v>
      </c>
      <c r="AX14" s="14">
        <v>0</v>
      </c>
      <c r="AY14" s="14"/>
      <c r="AZ14" s="14">
        <v>1.20350271531181E-3</v>
      </c>
      <c r="BA14" s="14">
        <v>0</v>
      </c>
    </row>
    <row r="15" spans="2:53" x14ac:dyDescent="0.35">
      <c r="B15" s="15" t="s">
        <v>80</v>
      </c>
      <c r="C15" s="23">
        <v>1.5345489355834199E-2</v>
      </c>
      <c r="D15" s="23">
        <v>7.7525636957002904E-3</v>
      </c>
      <c r="E15" s="23">
        <v>2.2959363960510099E-2</v>
      </c>
      <c r="F15" s="23"/>
      <c r="G15" s="23">
        <v>0</v>
      </c>
      <c r="H15" s="23">
        <v>1.7459934380518599E-2</v>
      </c>
      <c r="I15" s="23">
        <v>1.6867869038324702E-2</v>
      </c>
      <c r="J15" s="23">
        <v>1.03304132840708E-2</v>
      </c>
      <c r="K15" s="23">
        <v>0</v>
      </c>
      <c r="L15" s="23">
        <v>0.148895097137344</v>
      </c>
      <c r="M15" s="23"/>
      <c r="N15" s="23">
        <v>2.15162945634943E-3</v>
      </c>
      <c r="O15" s="23">
        <v>3.6626343087300898E-3</v>
      </c>
      <c r="P15" s="23">
        <v>1.8886682026542201E-2</v>
      </c>
      <c r="Q15" s="23">
        <v>3.8790200818782497E-2</v>
      </c>
      <c r="R15" s="23"/>
      <c r="S15" s="23">
        <v>9.2572843969953803E-3</v>
      </c>
      <c r="T15" s="23">
        <v>7.9444352722605905E-3</v>
      </c>
      <c r="U15" s="23">
        <v>1.54139969229918E-2</v>
      </c>
      <c r="V15" s="23">
        <v>4.4330167067371098E-2</v>
      </c>
      <c r="W15" s="23">
        <v>2.54913971643158E-2</v>
      </c>
      <c r="X15" s="23">
        <v>1.5544725671332599E-2</v>
      </c>
      <c r="Y15" s="23">
        <v>1.3104786639771399E-2</v>
      </c>
      <c r="Z15" s="23">
        <v>0</v>
      </c>
      <c r="AA15" s="23">
        <v>7.7809997603544203E-3</v>
      </c>
      <c r="AB15" s="23"/>
      <c r="AC15" s="23">
        <v>2.6083274786392399E-2</v>
      </c>
      <c r="AD15" s="23">
        <v>1.23711630203202E-2</v>
      </c>
      <c r="AE15" s="23">
        <v>9.1661449953013801E-4</v>
      </c>
      <c r="AF15" s="23">
        <v>6.6711785142391997E-3</v>
      </c>
      <c r="AG15" s="23">
        <v>0</v>
      </c>
      <c r="AH15" s="23"/>
      <c r="AI15" s="23">
        <v>1.2149820295208899E-2</v>
      </c>
      <c r="AJ15" s="23">
        <v>3.6053276316378698E-3</v>
      </c>
      <c r="AK15" s="23">
        <v>1.3001601640146101E-2</v>
      </c>
      <c r="AL15" s="23">
        <v>1.3727407692464499E-2</v>
      </c>
      <c r="AM15" s="23">
        <v>0</v>
      </c>
      <c r="AN15" s="23">
        <v>4.8259847529447501E-2</v>
      </c>
      <c r="AO15" s="23"/>
      <c r="AP15" s="23">
        <v>1.0220316007433901E-2</v>
      </c>
      <c r="AQ15" s="23">
        <v>2.1161482748743601E-2</v>
      </c>
      <c r="AR15" s="23"/>
      <c r="AS15" s="23">
        <v>6.9958607736345796E-3</v>
      </c>
      <c r="AT15" s="23">
        <v>1.5788996803507E-2</v>
      </c>
      <c r="AU15" s="23">
        <v>1.74615224941948E-2</v>
      </c>
      <c r="AV15" s="23"/>
      <c r="AW15" s="23">
        <v>1.48265272221925E-2</v>
      </c>
      <c r="AX15" s="23">
        <v>6.5372308631509004E-3</v>
      </c>
      <c r="AY15" s="23"/>
      <c r="AZ15" s="23">
        <v>8.6767098881536091E-3</v>
      </c>
      <c r="BA15" s="23">
        <v>2.4571244674529698E-2</v>
      </c>
    </row>
    <row r="16" spans="2:53" x14ac:dyDescent="0.35">
      <c r="B16" s="16"/>
    </row>
    <row r="17" spans="2:2" x14ac:dyDescent="0.35">
      <c r="B17" t="s">
        <v>84</v>
      </c>
    </row>
    <row r="18" spans="2:2" x14ac:dyDescent="0.35">
      <c r="B18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BA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148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139</v>
      </c>
      <c r="C9" s="14">
        <v>0.17409339099614901</v>
      </c>
      <c r="D9" s="14">
        <v>0.20058230492405299</v>
      </c>
      <c r="E9" s="14">
        <v>0.147752082703698</v>
      </c>
      <c r="F9" s="14"/>
      <c r="G9" s="14">
        <v>0</v>
      </c>
      <c r="H9" s="14">
        <v>0.14418067029526099</v>
      </c>
      <c r="I9" s="14">
        <v>0.162281447921477</v>
      </c>
      <c r="J9" s="14">
        <v>0.19328159509065401</v>
      </c>
      <c r="K9" s="14">
        <v>0.23048985056892701</v>
      </c>
      <c r="L9" s="14">
        <v>0.14691714711943901</v>
      </c>
      <c r="M9" s="14"/>
      <c r="N9" s="14">
        <v>0.14575619999893399</v>
      </c>
      <c r="O9" s="14">
        <v>0.15473025092803899</v>
      </c>
      <c r="P9" s="14">
        <v>0.20431290144870401</v>
      </c>
      <c r="Q9" s="14">
        <v>0.198809493055286</v>
      </c>
      <c r="R9" s="14"/>
      <c r="S9" s="14">
        <v>0.20341718449416901</v>
      </c>
      <c r="T9" s="14">
        <v>0.144040809789372</v>
      </c>
      <c r="U9" s="14">
        <v>0.16485915891627601</v>
      </c>
      <c r="V9" s="14">
        <v>0.15553414886198699</v>
      </c>
      <c r="W9" s="14">
        <v>0.16730453466235601</v>
      </c>
      <c r="X9" s="14">
        <v>0.23853752138121201</v>
      </c>
      <c r="Y9" s="14">
        <v>0.14195341793639299</v>
      </c>
      <c r="Z9" s="14">
        <v>0.195953693716032</v>
      </c>
      <c r="AA9" s="14">
        <v>0.16921043288402299</v>
      </c>
      <c r="AB9" s="14"/>
      <c r="AC9" s="14">
        <v>0.18453018473237701</v>
      </c>
      <c r="AD9" s="14">
        <v>0.200571945607735</v>
      </c>
      <c r="AE9" s="14">
        <v>0.15023963223175199</v>
      </c>
      <c r="AF9" s="14">
        <v>0.17331086043722699</v>
      </c>
      <c r="AG9" s="14">
        <v>0.19083294840634299</v>
      </c>
      <c r="AH9" s="14"/>
      <c r="AI9" s="14">
        <v>0.188883445719839</v>
      </c>
      <c r="AJ9" s="14">
        <v>0.17814299104981299</v>
      </c>
      <c r="AK9" s="14">
        <v>0.17869172771129599</v>
      </c>
      <c r="AL9" s="14">
        <v>0.17244352715092601</v>
      </c>
      <c r="AM9" s="14">
        <v>0.154003698836156</v>
      </c>
      <c r="AN9" s="14">
        <v>0.156564485334443</v>
      </c>
      <c r="AO9" s="14"/>
      <c r="AP9" s="14">
        <v>0.16815959003026601</v>
      </c>
      <c r="AQ9" s="14">
        <v>0.180664003385057</v>
      </c>
      <c r="AR9" s="14"/>
      <c r="AS9" s="14">
        <v>0.167068490841038</v>
      </c>
      <c r="AT9" s="14">
        <v>0.14953140680277299</v>
      </c>
      <c r="AU9" s="14">
        <v>0.183246897626516</v>
      </c>
      <c r="AV9" s="14"/>
      <c r="AW9" s="14">
        <v>0.165370939222656</v>
      </c>
      <c r="AX9" s="14">
        <v>0.232890946346167</v>
      </c>
      <c r="AY9" s="14"/>
      <c r="AZ9" s="14">
        <v>0.18584113512651201</v>
      </c>
      <c r="BA9" s="14">
        <v>0.133950526806531</v>
      </c>
    </row>
    <row r="10" spans="2:53" ht="29" x14ac:dyDescent="0.35">
      <c r="B10" s="15" t="s">
        <v>140</v>
      </c>
      <c r="C10" s="14">
        <v>0.20034376236124499</v>
      </c>
      <c r="D10" s="14">
        <v>0.223271393136736</v>
      </c>
      <c r="E10" s="14">
        <v>0.17759203492228801</v>
      </c>
      <c r="F10" s="14"/>
      <c r="G10" s="14">
        <v>0.49865857014432102</v>
      </c>
      <c r="H10" s="14">
        <v>0.22221205749671899</v>
      </c>
      <c r="I10" s="14">
        <v>0.19094228592063001</v>
      </c>
      <c r="J10" s="14">
        <v>0.20321773106740801</v>
      </c>
      <c r="K10" s="14">
        <v>0.18096370593619099</v>
      </c>
      <c r="L10" s="14">
        <v>0.210805625350906</v>
      </c>
      <c r="M10" s="14"/>
      <c r="N10" s="14">
        <v>0.20227193456995499</v>
      </c>
      <c r="O10" s="14">
        <v>0.18987688032580799</v>
      </c>
      <c r="P10" s="14">
        <v>0.19170772692289301</v>
      </c>
      <c r="Q10" s="14">
        <v>0.219065907546002</v>
      </c>
      <c r="R10" s="14"/>
      <c r="S10" s="14">
        <v>0.227737895907622</v>
      </c>
      <c r="T10" s="14">
        <v>0.201926983840302</v>
      </c>
      <c r="U10" s="14">
        <v>0.17760281259962299</v>
      </c>
      <c r="V10" s="14">
        <v>0.16878208625659999</v>
      </c>
      <c r="W10" s="14">
        <v>0.21248474120678901</v>
      </c>
      <c r="X10" s="14">
        <v>0.20008190636086201</v>
      </c>
      <c r="Y10" s="14">
        <v>0.199142683977481</v>
      </c>
      <c r="Z10" s="14">
        <v>0.20065882264837101</v>
      </c>
      <c r="AA10" s="14">
        <v>0.20155645207187001</v>
      </c>
      <c r="AB10" s="14"/>
      <c r="AC10" s="14">
        <v>0.20733941232945499</v>
      </c>
      <c r="AD10" s="14">
        <v>0.17637768820520699</v>
      </c>
      <c r="AE10" s="14">
        <v>0.21254011788166999</v>
      </c>
      <c r="AF10" s="14">
        <v>0.235072655730034</v>
      </c>
      <c r="AG10" s="14">
        <v>0.210766333900377</v>
      </c>
      <c r="AH10" s="14"/>
      <c r="AI10" s="14">
        <v>0.21246487713595699</v>
      </c>
      <c r="AJ10" s="14">
        <v>0.24001468578774299</v>
      </c>
      <c r="AK10" s="14">
        <v>0.20056540015801</v>
      </c>
      <c r="AL10" s="14">
        <v>0.19351503006538301</v>
      </c>
      <c r="AM10" s="14">
        <v>0.175304961672583</v>
      </c>
      <c r="AN10" s="14">
        <v>0.100172898269497</v>
      </c>
      <c r="AO10" s="14"/>
      <c r="AP10" s="14">
        <v>0.20236160093372499</v>
      </c>
      <c r="AQ10" s="14">
        <v>0.19735895128373601</v>
      </c>
      <c r="AR10" s="14"/>
      <c r="AS10" s="14">
        <v>0.231559453367398</v>
      </c>
      <c r="AT10" s="14">
        <v>0.23351180253638301</v>
      </c>
      <c r="AU10" s="14">
        <v>0.182134900956852</v>
      </c>
      <c r="AV10" s="14"/>
      <c r="AW10" s="14">
        <v>0.20274734341528799</v>
      </c>
      <c r="AX10" s="14">
        <v>0.21338807678628699</v>
      </c>
      <c r="AY10" s="14"/>
      <c r="AZ10" s="14">
        <v>0.19907083258763</v>
      </c>
      <c r="BA10" s="14">
        <v>0.20930236686118101</v>
      </c>
    </row>
    <row r="11" spans="2:53" ht="58" x14ac:dyDescent="0.35">
      <c r="B11" s="15" t="s">
        <v>141</v>
      </c>
      <c r="C11" s="14">
        <v>0.549867661282612</v>
      </c>
      <c r="D11" s="14">
        <v>0.50561191335714695</v>
      </c>
      <c r="E11" s="14">
        <v>0.59469190055688104</v>
      </c>
      <c r="F11" s="14"/>
      <c r="G11" s="14">
        <v>0.42025317145732299</v>
      </c>
      <c r="H11" s="14">
        <v>0.550450564537458</v>
      </c>
      <c r="I11" s="14">
        <v>0.55755401059242404</v>
      </c>
      <c r="J11" s="14">
        <v>0.55551616128187897</v>
      </c>
      <c r="K11" s="14">
        <v>0.51300188078434605</v>
      </c>
      <c r="L11" s="14">
        <v>0.480540405072721</v>
      </c>
      <c r="M11" s="14"/>
      <c r="N11" s="14">
        <v>0.58373675021760396</v>
      </c>
      <c r="O11" s="14">
        <v>0.60255619178959197</v>
      </c>
      <c r="P11" s="14">
        <v>0.51248997170881805</v>
      </c>
      <c r="Q11" s="14">
        <v>0.48764010710133898</v>
      </c>
      <c r="R11" s="14"/>
      <c r="S11" s="14">
        <v>0.49445085671058697</v>
      </c>
      <c r="T11" s="14">
        <v>0.56648251267905603</v>
      </c>
      <c r="U11" s="14">
        <v>0.58678627855032195</v>
      </c>
      <c r="V11" s="14">
        <v>0.56913053800203595</v>
      </c>
      <c r="W11" s="14">
        <v>0.50481800180472003</v>
      </c>
      <c r="X11" s="14">
        <v>0.51013393350938196</v>
      </c>
      <c r="Y11" s="14">
        <v>0.59434539398964203</v>
      </c>
      <c r="Z11" s="14">
        <v>0.57616256377686403</v>
      </c>
      <c r="AA11" s="14">
        <v>0.57028827900550505</v>
      </c>
      <c r="AB11" s="14"/>
      <c r="AC11" s="14">
        <v>0.53155378861581304</v>
      </c>
      <c r="AD11" s="14">
        <v>0.54988971568726297</v>
      </c>
      <c r="AE11" s="14">
        <v>0.59040957964762497</v>
      </c>
      <c r="AF11" s="14">
        <v>0.50618257430242097</v>
      </c>
      <c r="AG11" s="14">
        <v>0.542332416852779</v>
      </c>
      <c r="AH11" s="14"/>
      <c r="AI11" s="14">
        <v>0.52324738204740595</v>
      </c>
      <c r="AJ11" s="14">
        <v>0.49087888797486201</v>
      </c>
      <c r="AK11" s="14">
        <v>0.51459974256261498</v>
      </c>
      <c r="AL11" s="14">
        <v>0.57076589089261098</v>
      </c>
      <c r="AM11" s="14">
        <v>0.63524004206405604</v>
      </c>
      <c r="AN11" s="14">
        <v>0.67201180814739803</v>
      </c>
      <c r="AO11" s="14"/>
      <c r="AP11" s="14">
        <v>0.55579576483392401</v>
      </c>
      <c r="AQ11" s="14">
        <v>0.54377397143983597</v>
      </c>
      <c r="AR11" s="14"/>
      <c r="AS11" s="14">
        <v>0.516197064199031</v>
      </c>
      <c r="AT11" s="14">
        <v>0.55533429378650501</v>
      </c>
      <c r="AU11" s="14">
        <v>0.55731313585737496</v>
      </c>
      <c r="AV11" s="14"/>
      <c r="AW11" s="14">
        <v>0.56177618671422302</v>
      </c>
      <c r="AX11" s="14">
        <v>0.48318745767096399</v>
      </c>
      <c r="AY11" s="14"/>
      <c r="AZ11" s="14">
        <v>0.54556280167216098</v>
      </c>
      <c r="BA11" s="14">
        <v>0.57241723651154597</v>
      </c>
    </row>
    <row r="12" spans="2:53" ht="29" x14ac:dyDescent="0.35">
      <c r="B12" s="15" t="s">
        <v>142</v>
      </c>
      <c r="C12" s="14">
        <v>5.2533169340470698E-2</v>
      </c>
      <c r="D12" s="14">
        <v>5.4230159062237097E-2</v>
      </c>
      <c r="E12" s="14">
        <v>4.9916239931970703E-2</v>
      </c>
      <c r="F12" s="14"/>
      <c r="G12" s="14">
        <v>8.1088258398355997E-2</v>
      </c>
      <c r="H12" s="14">
        <v>6.5546440124151006E-2</v>
      </c>
      <c r="I12" s="14">
        <v>5.9038960827524099E-2</v>
      </c>
      <c r="J12" s="14">
        <v>3.7800374188639498E-2</v>
      </c>
      <c r="K12" s="14">
        <v>5.3603741216482099E-2</v>
      </c>
      <c r="L12" s="14">
        <v>1.28417253195894E-2</v>
      </c>
      <c r="M12" s="14"/>
      <c r="N12" s="14">
        <v>5.4448710680372298E-2</v>
      </c>
      <c r="O12" s="14">
        <v>4.1354101236499102E-2</v>
      </c>
      <c r="P12" s="14">
        <v>6.5330172696884195E-2</v>
      </c>
      <c r="Q12" s="14">
        <v>5.1433978952286803E-2</v>
      </c>
      <c r="R12" s="14"/>
      <c r="S12" s="14">
        <v>5.6672347034822497E-2</v>
      </c>
      <c r="T12" s="14">
        <v>6.0912704824502902E-2</v>
      </c>
      <c r="U12" s="14">
        <v>5.5337753010786903E-2</v>
      </c>
      <c r="V12" s="14">
        <v>5.3988037725952197E-2</v>
      </c>
      <c r="W12" s="14">
        <v>7.9056729758834501E-2</v>
      </c>
      <c r="X12" s="14">
        <v>3.8699109950003197E-2</v>
      </c>
      <c r="Y12" s="14">
        <v>6.1904827877077302E-2</v>
      </c>
      <c r="Z12" s="14">
        <v>1.5769048380543702E-2</v>
      </c>
      <c r="AA12" s="14">
        <v>3.2890398351405101E-2</v>
      </c>
      <c r="AB12" s="14"/>
      <c r="AC12" s="14">
        <v>4.4733608665684002E-2</v>
      </c>
      <c r="AD12" s="14">
        <v>5.7953566938989301E-2</v>
      </c>
      <c r="AE12" s="14">
        <v>4.1770451374687101E-2</v>
      </c>
      <c r="AF12" s="14">
        <v>5.0213481380122799E-2</v>
      </c>
      <c r="AG12" s="14">
        <v>4.53786954756598E-2</v>
      </c>
      <c r="AH12" s="14"/>
      <c r="AI12" s="14">
        <v>5.4776349657084798E-2</v>
      </c>
      <c r="AJ12" s="14">
        <v>7.7590420024689605E-2</v>
      </c>
      <c r="AK12" s="14">
        <v>6.2730045610375096E-2</v>
      </c>
      <c r="AL12" s="14">
        <v>5.3142926589792E-2</v>
      </c>
      <c r="AM12" s="14">
        <v>3.54512974272055E-2</v>
      </c>
      <c r="AN12" s="14">
        <v>2.34491223922953E-2</v>
      </c>
      <c r="AO12" s="14"/>
      <c r="AP12" s="14">
        <v>5.6473051335420098E-2</v>
      </c>
      <c r="AQ12" s="14">
        <v>4.8269551719280601E-2</v>
      </c>
      <c r="AR12" s="14"/>
      <c r="AS12" s="14">
        <v>7.1781901710998297E-2</v>
      </c>
      <c r="AT12" s="14">
        <v>3.0259984215960101E-2</v>
      </c>
      <c r="AU12" s="14">
        <v>5.3938738491456598E-2</v>
      </c>
      <c r="AV12" s="14"/>
      <c r="AW12" s="14">
        <v>4.8489650568157898E-2</v>
      </c>
      <c r="AX12" s="14">
        <v>5.4809846395510502E-2</v>
      </c>
      <c r="AY12" s="14"/>
      <c r="AZ12" s="14">
        <v>5.3476334125129803E-2</v>
      </c>
      <c r="BA12" s="14">
        <v>5.0120964497950102E-2</v>
      </c>
    </row>
    <row r="13" spans="2:53" ht="29" x14ac:dyDescent="0.35">
      <c r="B13" s="15" t="s">
        <v>143</v>
      </c>
      <c r="C13" s="14">
        <v>8.5158268597068498E-3</v>
      </c>
      <c r="D13" s="14">
        <v>8.3651327340938005E-3</v>
      </c>
      <c r="E13" s="14">
        <v>8.6748976968729196E-3</v>
      </c>
      <c r="F13" s="14"/>
      <c r="G13" s="14">
        <v>0</v>
      </c>
      <c r="H13" s="14">
        <v>4.0508284056585296E-3</v>
      </c>
      <c r="I13" s="14">
        <v>1.1181708854236101E-2</v>
      </c>
      <c r="J13" s="14">
        <v>3.33574694903139E-3</v>
      </c>
      <c r="K13" s="14">
        <v>2.1940821494052399E-2</v>
      </c>
      <c r="L13" s="14">
        <v>0</v>
      </c>
      <c r="M13" s="14"/>
      <c r="N13" s="14">
        <v>1.1634775076785101E-2</v>
      </c>
      <c r="O13" s="14">
        <v>4.2254546067172702E-3</v>
      </c>
      <c r="P13" s="14">
        <v>7.2725451961592998E-3</v>
      </c>
      <c r="Q13" s="14">
        <v>1.0798381234011001E-2</v>
      </c>
      <c r="R13" s="14"/>
      <c r="S13" s="14">
        <v>6.8673457389849101E-3</v>
      </c>
      <c r="T13" s="14">
        <v>1.8692553594506299E-2</v>
      </c>
      <c r="U13" s="14">
        <v>0</v>
      </c>
      <c r="V13" s="14">
        <v>8.2350220860531401E-3</v>
      </c>
      <c r="W13" s="14">
        <v>1.08445954029851E-2</v>
      </c>
      <c r="X13" s="14">
        <v>2.5239226152892901E-3</v>
      </c>
      <c r="Y13" s="14">
        <v>0</v>
      </c>
      <c r="Z13" s="14">
        <v>1.1455871478189101E-2</v>
      </c>
      <c r="AA13" s="14">
        <v>1.32897958076465E-2</v>
      </c>
      <c r="AB13" s="14"/>
      <c r="AC13" s="14">
        <v>1.1446770036283299E-2</v>
      </c>
      <c r="AD13" s="14">
        <v>2.8359205404854802E-3</v>
      </c>
      <c r="AE13" s="14">
        <v>1.8951653424161699E-3</v>
      </c>
      <c r="AF13" s="14">
        <v>2.2962826235734299E-2</v>
      </c>
      <c r="AG13" s="14">
        <v>1.06896053648414E-2</v>
      </c>
      <c r="AH13" s="14"/>
      <c r="AI13" s="14">
        <v>5.4422697469902904E-3</v>
      </c>
      <c r="AJ13" s="14">
        <v>9.7676875312547005E-3</v>
      </c>
      <c r="AK13" s="14">
        <v>3.0411482317557002E-2</v>
      </c>
      <c r="AL13" s="14">
        <v>0</v>
      </c>
      <c r="AM13" s="14">
        <v>0</v>
      </c>
      <c r="AN13" s="14">
        <v>8.0176144838958394E-3</v>
      </c>
      <c r="AO13" s="14"/>
      <c r="AP13" s="14">
        <v>5.2835722045274603E-3</v>
      </c>
      <c r="AQ13" s="14">
        <v>1.2180010969868101E-2</v>
      </c>
      <c r="AR13" s="14"/>
      <c r="AS13" s="14">
        <v>9.6114063120211896E-3</v>
      </c>
      <c r="AT13" s="14">
        <v>7.7161074489874798E-3</v>
      </c>
      <c r="AU13" s="14">
        <v>8.4574414300710894E-3</v>
      </c>
      <c r="AV13" s="14"/>
      <c r="AW13" s="14">
        <v>7.6189171473892096E-3</v>
      </c>
      <c r="AX13" s="14">
        <v>9.6468812933524998E-3</v>
      </c>
      <c r="AY13" s="14"/>
      <c r="AZ13" s="14">
        <v>7.5587958994859502E-3</v>
      </c>
      <c r="BA13" s="14">
        <v>1.22633091765503E-2</v>
      </c>
    </row>
    <row r="14" spans="2:53" ht="29" x14ac:dyDescent="0.35">
      <c r="B14" s="15" t="s">
        <v>144</v>
      </c>
      <c r="C14" s="14">
        <v>8.1441398634737601E-4</v>
      </c>
      <c r="D14" s="14">
        <v>0</v>
      </c>
      <c r="E14" s="14">
        <v>1.6302687607635E-3</v>
      </c>
      <c r="F14" s="14"/>
      <c r="G14" s="14">
        <v>0</v>
      </c>
      <c r="H14" s="14">
        <v>0</v>
      </c>
      <c r="I14" s="14">
        <v>1.8646063822954099E-3</v>
      </c>
      <c r="J14" s="14">
        <v>0</v>
      </c>
      <c r="K14" s="14">
        <v>0</v>
      </c>
      <c r="L14" s="14">
        <v>0</v>
      </c>
      <c r="M14" s="14"/>
      <c r="N14" s="14">
        <v>0</v>
      </c>
      <c r="O14" s="14">
        <v>3.1434857473949499E-3</v>
      </c>
      <c r="P14" s="14">
        <v>0</v>
      </c>
      <c r="Q14" s="14">
        <v>0</v>
      </c>
      <c r="R14" s="14"/>
      <c r="S14" s="14">
        <v>2.62261672600995E-3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3.0468803996828702E-3</v>
      </c>
      <c r="AB14" s="14"/>
      <c r="AC14" s="14">
        <v>0</v>
      </c>
      <c r="AD14" s="14">
        <v>0</v>
      </c>
      <c r="AE14" s="14">
        <v>0</v>
      </c>
      <c r="AF14" s="14">
        <v>5.4291858224478698E-3</v>
      </c>
      <c r="AG14" s="14">
        <v>0</v>
      </c>
      <c r="AH14" s="14"/>
      <c r="AI14" s="14">
        <v>1.19353711965185E-3</v>
      </c>
      <c r="AJ14" s="14">
        <v>0</v>
      </c>
      <c r="AK14" s="14">
        <v>0</v>
      </c>
      <c r="AL14" s="14">
        <v>0</v>
      </c>
      <c r="AM14" s="14">
        <v>0</v>
      </c>
      <c r="AN14" s="14">
        <v>5.33060943543662E-3</v>
      </c>
      <c r="AO14" s="14"/>
      <c r="AP14" s="14">
        <v>1.5405800735882099E-3</v>
      </c>
      <c r="AQ14" s="14">
        <v>0</v>
      </c>
      <c r="AR14" s="14"/>
      <c r="AS14" s="14">
        <v>0</v>
      </c>
      <c r="AT14" s="14">
        <v>2.2173653919854599E-3</v>
      </c>
      <c r="AU14" s="14">
        <v>6.18755174742742E-4</v>
      </c>
      <c r="AV14" s="14"/>
      <c r="AW14" s="14">
        <v>5.2618884360570105E-4</v>
      </c>
      <c r="AX14" s="14">
        <v>2.5414915752617101E-3</v>
      </c>
      <c r="AY14" s="14"/>
      <c r="AZ14" s="14">
        <v>5.3373619470191696E-4</v>
      </c>
      <c r="BA14" s="14">
        <v>1.8780867774556701E-3</v>
      </c>
    </row>
    <row r="15" spans="2:53" x14ac:dyDescent="0.35">
      <c r="B15" s="15" t="s">
        <v>80</v>
      </c>
      <c r="C15" s="23">
        <v>1.3831775173469301E-2</v>
      </c>
      <c r="D15" s="23">
        <v>7.9390967857332507E-3</v>
      </c>
      <c r="E15" s="23">
        <v>1.9742575427525999E-2</v>
      </c>
      <c r="F15" s="23"/>
      <c r="G15" s="23">
        <v>0</v>
      </c>
      <c r="H15" s="23">
        <v>1.3559439140751601E-2</v>
      </c>
      <c r="I15" s="23">
        <v>1.71369795014139E-2</v>
      </c>
      <c r="J15" s="23">
        <v>6.84839142238753E-3</v>
      </c>
      <c r="K15" s="23">
        <v>0</v>
      </c>
      <c r="L15" s="23">
        <v>0.148895097137344</v>
      </c>
      <c r="M15" s="23"/>
      <c r="N15" s="23">
        <v>2.15162945634943E-3</v>
      </c>
      <c r="O15" s="23">
        <v>4.11363536594963E-3</v>
      </c>
      <c r="P15" s="23">
        <v>1.8886682026542201E-2</v>
      </c>
      <c r="Q15" s="23">
        <v>3.2252132111075103E-2</v>
      </c>
      <c r="R15" s="23"/>
      <c r="S15" s="23">
        <v>8.2317533878038893E-3</v>
      </c>
      <c r="T15" s="23">
        <v>7.9444352722605905E-3</v>
      </c>
      <c r="U15" s="23">
        <v>1.54139969229918E-2</v>
      </c>
      <c r="V15" s="23">
        <v>4.4330167067371098E-2</v>
      </c>
      <c r="W15" s="23">
        <v>2.54913971643158E-2</v>
      </c>
      <c r="X15" s="23">
        <v>1.00236061832515E-2</v>
      </c>
      <c r="Y15" s="23">
        <v>2.6536762194060001E-3</v>
      </c>
      <c r="Z15" s="23">
        <v>0</v>
      </c>
      <c r="AA15" s="23">
        <v>9.7177614798670004E-3</v>
      </c>
      <c r="AB15" s="23"/>
      <c r="AC15" s="23">
        <v>2.0396235620388201E-2</v>
      </c>
      <c r="AD15" s="23">
        <v>1.23711630203202E-2</v>
      </c>
      <c r="AE15" s="23">
        <v>3.14505352184896E-3</v>
      </c>
      <c r="AF15" s="23">
        <v>6.8284160920130399E-3</v>
      </c>
      <c r="AG15" s="23">
        <v>0</v>
      </c>
      <c r="AH15" s="23"/>
      <c r="AI15" s="23">
        <v>1.39921385730718E-2</v>
      </c>
      <c r="AJ15" s="23">
        <v>3.6053276316378698E-3</v>
      </c>
      <c r="AK15" s="23">
        <v>1.3001601640146101E-2</v>
      </c>
      <c r="AL15" s="23">
        <v>1.0132625301288299E-2</v>
      </c>
      <c r="AM15" s="23">
        <v>0</v>
      </c>
      <c r="AN15" s="23">
        <v>3.44534619370346E-2</v>
      </c>
      <c r="AO15" s="23"/>
      <c r="AP15" s="23">
        <v>1.0385840588549401E-2</v>
      </c>
      <c r="AQ15" s="23">
        <v>1.7753511202221999E-2</v>
      </c>
      <c r="AR15" s="23"/>
      <c r="AS15" s="23">
        <v>3.78168356951394E-3</v>
      </c>
      <c r="AT15" s="23">
        <v>2.1429039817406102E-2</v>
      </c>
      <c r="AU15" s="23">
        <v>1.42901304629862E-2</v>
      </c>
      <c r="AV15" s="23"/>
      <c r="AW15" s="23">
        <v>1.3470774088680399E-2</v>
      </c>
      <c r="AX15" s="23">
        <v>3.53529993245738E-3</v>
      </c>
      <c r="AY15" s="23"/>
      <c r="AZ15" s="23">
        <v>7.9563643943801506E-3</v>
      </c>
      <c r="BA15" s="23">
        <v>2.0067509368786401E-2</v>
      </c>
    </row>
    <row r="16" spans="2:53" x14ac:dyDescent="0.35">
      <c r="B16" s="16"/>
    </row>
    <row r="17" spans="2:2" x14ac:dyDescent="0.35">
      <c r="B17" t="s">
        <v>84</v>
      </c>
    </row>
    <row r="18" spans="2:2" x14ac:dyDescent="0.35">
      <c r="B18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BA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149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139</v>
      </c>
      <c r="C9" s="14">
        <v>0.227132516325388</v>
      </c>
      <c r="D9" s="14">
        <v>0.23522707745755</v>
      </c>
      <c r="E9" s="14">
        <v>0.219251691072853</v>
      </c>
      <c r="F9" s="14"/>
      <c r="G9" s="14">
        <v>0.106726992300354</v>
      </c>
      <c r="H9" s="14">
        <v>0.24250033010977801</v>
      </c>
      <c r="I9" s="14">
        <v>0.23322334092855701</v>
      </c>
      <c r="J9" s="14">
        <v>0.20091823257116301</v>
      </c>
      <c r="K9" s="14">
        <v>0.27089893883766503</v>
      </c>
      <c r="L9" s="14">
        <v>0.19736456210621001</v>
      </c>
      <c r="M9" s="14"/>
      <c r="N9" s="14">
        <v>0.21063362608382899</v>
      </c>
      <c r="O9" s="14">
        <v>0.216920852454008</v>
      </c>
      <c r="P9" s="14">
        <v>0.242055012092602</v>
      </c>
      <c r="Q9" s="14">
        <v>0.24207840000247099</v>
      </c>
      <c r="R9" s="14"/>
      <c r="S9" s="14">
        <v>0.26506147448885498</v>
      </c>
      <c r="T9" s="14">
        <v>0.19960698653089801</v>
      </c>
      <c r="U9" s="14">
        <v>0.20872145873157799</v>
      </c>
      <c r="V9" s="14">
        <v>0.173402363566208</v>
      </c>
      <c r="W9" s="14">
        <v>0.21780601970122701</v>
      </c>
      <c r="X9" s="14">
        <v>0.30737551104576299</v>
      </c>
      <c r="Y9" s="14">
        <v>0.20751917722356999</v>
      </c>
      <c r="Z9" s="14">
        <v>0.228708746882749</v>
      </c>
      <c r="AA9" s="14">
        <v>0.23310542962308101</v>
      </c>
      <c r="AB9" s="14"/>
      <c r="AC9" s="14">
        <v>0.203048561441979</v>
      </c>
      <c r="AD9" s="14">
        <v>0.21718782593466401</v>
      </c>
      <c r="AE9" s="14">
        <v>0.22452403985719099</v>
      </c>
      <c r="AF9" s="14">
        <v>0.28827721124748701</v>
      </c>
      <c r="AG9" s="14">
        <v>0.26360566267263702</v>
      </c>
      <c r="AH9" s="14"/>
      <c r="AI9" s="14">
        <v>0.245852061179957</v>
      </c>
      <c r="AJ9" s="14">
        <v>0.245207498303844</v>
      </c>
      <c r="AK9" s="14">
        <v>0.17207533814616099</v>
      </c>
      <c r="AL9" s="14">
        <v>0.18542024056707501</v>
      </c>
      <c r="AM9" s="14">
        <v>0.23620603804836501</v>
      </c>
      <c r="AN9" s="14">
        <v>0.28456575760656999</v>
      </c>
      <c r="AO9" s="14"/>
      <c r="AP9" s="14">
        <v>0.220501003387964</v>
      </c>
      <c r="AQ9" s="14">
        <v>0.23329896475260201</v>
      </c>
      <c r="AR9" s="14"/>
      <c r="AS9" s="14">
        <v>0.22844143326449201</v>
      </c>
      <c r="AT9" s="14">
        <v>0.236052093373324</v>
      </c>
      <c r="AU9" s="14">
        <v>0.22414276493360599</v>
      </c>
      <c r="AV9" s="14"/>
      <c r="AW9" s="14">
        <v>0.225358840749874</v>
      </c>
      <c r="AX9" s="14">
        <v>0.27463572143875398</v>
      </c>
      <c r="AY9" s="14"/>
      <c r="AZ9" s="14">
        <v>0.226955215503645</v>
      </c>
      <c r="BA9" s="14">
        <v>0.23256914549353</v>
      </c>
    </row>
    <row r="10" spans="2:53" ht="29" x14ac:dyDescent="0.35">
      <c r="B10" s="15" t="s">
        <v>140</v>
      </c>
      <c r="C10" s="14">
        <v>0.372068471105443</v>
      </c>
      <c r="D10" s="14">
        <v>0.34626595127179199</v>
      </c>
      <c r="E10" s="14">
        <v>0.39825234828192702</v>
      </c>
      <c r="F10" s="14"/>
      <c r="G10" s="14">
        <v>5.8383768941911898E-2</v>
      </c>
      <c r="H10" s="14">
        <v>0.35934284803648198</v>
      </c>
      <c r="I10" s="14">
        <v>0.380459728303642</v>
      </c>
      <c r="J10" s="14">
        <v>0.39522780934809998</v>
      </c>
      <c r="K10" s="14">
        <v>0.32267044757499402</v>
      </c>
      <c r="L10" s="14">
        <v>0.20723275045144501</v>
      </c>
      <c r="M10" s="14"/>
      <c r="N10" s="14">
        <v>0.39358866581454599</v>
      </c>
      <c r="O10" s="14">
        <v>0.38535421680844201</v>
      </c>
      <c r="P10" s="14">
        <v>0.35364320228042501</v>
      </c>
      <c r="Q10" s="14">
        <v>0.35200960402120302</v>
      </c>
      <c r="R10" s="14"/>
      <c r="S10" s="14">
        <v>0.35253986112532498</v>
      </c>
      <c r="T10" s="14">
        <v>0.40078458576957399</v>
      </c>
      <c r="U10" s="14">
        <v>0.32440064142764402</v>
      </c>
      <c r="V10" s="14">
        <v>0.39446595303968901</v>
      </c>
      <c r="W10" s="14">
        <v>0.34661632729875902</v>
      </c>
      <c r="X10" s="14">
        <v>0.35929968214622798</v>
      </c>
      <c r="Y10" s="14">
        <v>0.35085221093395202</v>
      </c>
      <c r="Z10" s="14">
        <v>0.42309153823115098</v>
      </c>
      <c r="AA10" s="14">
        <v>0.402899793989067</v>
      </c>
      <c r="AB10" s="14"/>
      <c r="AC10" s="14">
        <v>0.36265096228070698</v>
      </c>
      <c r="AD10" s="14">
        <v>0.42750071347333002</v>
      </c>
      <c r="AE10" s="14">
        <v>0.354631778207669</v>
      </c>
      <c r="AF10" s="14">
        <v>0.33405031666442198</v>
      </c>
      <c r="AG10" s="14">
        <v>0.30425844209188202</v>
      </c>
      <c r="AH10" s="14"/>
      <c r="AI10" s="14">
        <v>0.37018602622046398</v>
      </c>
      <c r="AJ10" s="14">
        <v>0.40553220040340299</v>
      </c>
      <c r="AK10" s="14">
        <v>0.38339839819978</v>
      </c>
      <c r="AL10" s="14">
        <v>0.35495295647089198</v>
      </c>
      <c r="AM10" s="14">
        <v>0.29313851756082099</v>
      </c>
      <c r="AN10" s="14">
        <v>0.368791819361597</v>
      </c>
      <c r="AO10" s="14"/>
      <c r="AP10" s="14">
        <v>0.37769075102774402</v>
      </c>
      <c r="AQ10" s="14">
        <v>0.36694170652139302</v>
      </c>
      <c r="AR10" s="14"/>
      <c r="AS10" s="14">
        <v>0.35856578367420799</v>
      </c>
      <c r="AT10" s="14">
        <v>0.39596829877775602</v>
      </c>
      <c r="AU10" s="14">
        <v>0.36863545051246699</v>
      </c>
      <c r="AV10" s="14"/>
      <c r="AW10" s="14">
        <v>0.39099361944955402</v>
      </c>
      <c r="AX10" s="14">
        <v>0.31732955024947102</v>
      </c>
      <c r="AY10" s="14"/>
      <c r="AZ10" s="14">
        <v>0.36895919162673502</v>
      </c>
      <c r="BA10" s="14">
        <v>0.39148475120070703</v>
      </c>
    </row>
    <row r="11" spans="2:53" ht="58" x14ac:dyDescent="0.35">
      <c r="B11" s="15" t="s">
        <v>141</v>
      </c>
      <c r="C11" s="14">
        <v>0.30328530523033698</v>
      </c>
      <c r="D11" s="14">
        <v>0.31621454969847002</v>
      </c>
      <c r="E11" s="14">
        <v>0.28967024763110999</v>
      </c>
      <c r="F11" s="14"/>
      <c r="G11" s="14">
        <v>0.53191764345609605</v>
      </c>
      <c r="H11" s="14">
        <v>0.29013078438360901</v>
      </c>
      <c r="I11" s="14">
        <v>0.30090459955582699</v>
      </c>
      <c r="J11" s="14">
        <v>0.30133084148552902</v>
      </c>
      <c r="K11" s="14">
        <v>0.309941969993484</v>
      </c>
      <c r="L11" s="14">
        <v>0.41888562258040701</v>
      </c>
      <c r="M11" s="14"/>
      <c r="N11" s="14">
        <v>0.30205009789051401</v>
      </c>
      <c r="O11" s="14">
        <v>0.34190799646623399</v>
      </c>
      <c r="P11" s="14">
        <v>0.28310427284779699</v>
      </c>
      <c r="Q11" s="14">
        <v>0.28069117756718198</v>
      </c>
      <c r="R11" s="14"/>
      <c r="S11" s="14">
        <v>0.30293658521969202</v>
      </c>
      <c r="T11" s="14">
        <v>0.30062365304005101</v>
      </c>
      <c r="U11" s="14">
        <v>0.41645116818427402</v>
      </c>
      <c r="V11" s="14">
        <v>0.27437325780629601</v>
      </c>
      <c r="W11" s="14">
        <v>0.309593700447375</v>
      </c>
      <c r="X11" s="14">
        <v>0.23968881506135301</v>
      </c>
      <c r="Y11" s="14">
        <v>0.30337535727232401</v>
      </c>
      <c r="Z11" s="14">
        <v>0.29766751702809702</v>
      </c>
      <c r="AA11" s="14">
        <v>0.290908450205762</v>
      </c>
      <c r="AB11" s="14"/>
      <c r="AC11" s="14">
        <v>0.30953265184635798</v>
      </c>
      <c r="AD11" s="14">
        <v>0.27081052192462102</v>
      </c>
      <c r="AE11" s="14">
        <v>0.346915752127743</v>
      </c>
      <c r="AF11" s="14">
        <v>0.29923646201355503</v>
      </c>
      <c r="AG11" s="14">
        <v>0.29443585820541002</v>
      </c>
      <c r="AH11" s="14"/>
      <c r="AI11" s="14">
        <v>0.279991094007988</v>
      </c>
      <c r="AJ11" s="14">
        <v>0.24640880869201401</v>
      </c>
      <c r="AK11" s="14">
        <v>0.35616274442047802</v>
      </c>
      <c r="AL11" s="14">
        <v>0.34936385044532497</v>
      </c>
      <c r="AM11" s="14">
        <v>0.44581756075210199</v>
      </c>
      <c r="AN11" s="14">
        <v>0.26000005432519602</v>
      </c>
      <c r="AO11" s="14"/>
      <c r="AP11" s="14">
        <v>0.31891985551838198</v>
      </c>
      <c r="AQ11" s="14">
        <v>0.28547582555419698</v>
      </c>
      <c r="AR11" s="14"/>
      <c r="AS11" s="14">
        <v>0.28477668641503801</v>
      </c>
      <c r="AT11" s="14">
        <v>0.28803880234658402</v>
      </c>
      <c r="AU11" s="14">
        <v>0.31277493773770998</v>
      </c>
      <c r="AV11" s="14"/>
      <c r="AW11" s="14">
        <v>0.30466293509658499</v>
      </c>
      <c r="AX11" s="14">
        <v>0.29518475799472899</v>
      </c>
      <c r="AY11" s="14"/>
      <c r="AZ11" s="14">
        <v>0.30777947601417999</v>
      </c>
      <c r="BA11" s="14">
        <v>0.28784189325460902</v>
      </c>
    </row>
    <row r="12" spans="2:53" ht="29" x14ac:dyDescent="0.35">
      <c r="B12" s="15" t="s">
        <v>142</v>
      </c>
      <c r="C12" s="14">
        <v>6.0002112103749401E-2</v>
      </c>
      <c r="D12" s="14">
        <v>7.1737779598042797E-2</v>
      </c>
      <c r="E12" s="14">
        <v>4.8315233734461602E-2</v>
      </c>
      <c r="F12" s="14"/>
      <c r="G12" s="14">
        <v>0.108614905515542</v>
      </c>
      <c r="H12" s="14">
        <v>7.9781932517137194E-2</v>
      </c>
      <c r="I12" s="14">
        <v>4.4054662705147102E-2</v>
      </c>
      <c r="J12" s="14">
        <v>6.8049507748351598E-2</v>
      </c>
      <c r="K12" s="14">
        <v>8.4262998791409194E-2</v>
      </c>
      <c r="L12" s="14">
        <v>0</v>
      </c>
      <c r="M12" s="14"/>
      <c r="N12" s="14">
        <v>6.9824672209733193E-2</v>
      </c>
      <c r="O12" s="14">
        <v>3.2100548883570001E-2</v>
      </c>
      <c r="P12" s="14">
        <v>7.2663852962000994E-2</v>
      </c>
      <c r="Q12" s="14">
        <v>6.7944319897765906E-2</v>
      </c>
      <c r="R12" s="14"/>
      <c r="S12" s="14">
        <v>5.3761580311099101E-2</v>
      </c>
      <c r="T12" s="14">
        <v>6.9427243793235505E-2</v>
      </c>
      <c r="U12" s="14">
        <v>3.5315433279130698E-2</v>
      </c>
      <c r="V12" s="14">
        <v>6.5976791995339096E-2</v>
      </c>
      <c r="W12" s="14">
        <v>6.2916830049409997E-2</v>
      </c>
      <c r="X12" s="14">
        <v>6.4692178329416705E-2</v>
      </c>
      <c r="Y12" s="14">
        <v>0.106876487036159</v>
      </c>
      <c r="Z12" s="14">
        <v>5.0532197858002698E-2</v>
      </c>
      <c r="AA12" s="14">
        <v>3.1871142041142497E-2</v>
      </c>
      <c r="AB12" s="14"/>
      <c r="AC12" s="14">
        <v>7.5070296701170505E-2</v>
      </c>
      <c r="AD12" s="14">
        <v>5.48441580391806E-2</v>
      </c>
      <c r="AE12" s="14">
        <v>5.4768032214196197E-2</v>
      </c>
      <c r="AF12" s="14">
        <v>5.6449763586123601E-2</v>
      </c>
      <c r="AG12" s="14">
        <v>0.108351054147401</v>
      </c>
      <c r="AH12" s="14"/>
      <c r="AI12" s="14">
        <v>6.2238994023547801E-2</v>
      </c>
      <c r="AJ12" s="14">
        <v>7.8300373465217704E-2</v>
      </c>
      <c r="AK12" s="14">
        <v>4.8567199067586199E-2</v>
      </c>
      <c r="AL12" s="14">
        <v>6.2919166501770499E-2</v>
      </c>
      <c r="AM12" s="14">
        <v>2.4837883638712002E-2</v>
      </c>
      <c r="AN12" s="14">
        <v>5.6947717968823697E-2</v>
      </c>
      <c r="AO12" s="14"/>
      <c r="AP12" s="14">
        <v>4.7543019793834101E-2</v>
      </c>
      <c r="AQ12" s="14">
        <v>7.4213710186644105E-2</v>
      </c>
      <c r="AR12" s="14"/>
      <c r="AS12" s="14">
        <v>8.9117759359096799E-2</v>
      </c>
      <c r="AT12" s="14">
        <v>4.6808225977236897E-2</v>
      </c>
      <c r="AU12" s="14">
        <v>5.60674452205761E-2</v>
      </c>
      <c r="AV12" s="14"/>
      <c r="AW12" s="14">
        <v>4.6678799293016597E-2</v>
      </c>
      <c r="AX12" s="14">
        <v>8.6710643077356001E-2</v>
      </c>
      <c r="AY12" s="14"/>
      <c r="AZ12" s="14">
        <v>6.4485049677919695E-2</v>
      </c>
      <c r="BA12" s="14">
        <v>4.4548367671978201E-2</v>
      </c>
    </row>
    <row r="13" spans="2:53" ht="29" x14ac:dyDescent="0.35">
      <c r="B13" s="15" t="s">
        <v>143</v>
      </c>
      <c r="C13" s="14">
        <v>1.17401338396177E-2</v>
      </c>
      <c r="D13" s="14">
        <v>1.35610599211058E-2</v>
      </c>
      <c r="E13" s="14">
        <v>9.92913398279263E-3</v>
      </c>
      <c r="F13" s="14"/>
      <c r="G13" s="14">
        <v>8.1088258398355997E-2</v>
      </c>
      <c r="H13" s="14">
        <v>8.6599967607067507E-3</v>
      </c>
      <c r="I13" s="14">
        <v>1.5782686502257701E-2</v>
      </c>
      <c r="J13" s="14">
        <v>6.6114082734008497E-3</v>
      </c>
      <c r="K13" s="14">
        <v>1.22256448024476E-2</v>
      </c>
      <c r="L13" s="14">
        <v>0</v>
      </c>
      <c r="M13" s="14"/>
      <c r="N13" s="14">
        <v>1.4647717440385601E-2</v>
      </c>
      <c r="O13" s="14">
        <v>8.8332468951287397E-3</v>
      </c>
      <c r="P13" s="14">
        <v>6.60699751932087E-3</v>
      </c>
      <c r="Q13" s="14">
        <v>1.6272793243192699E-2</v>
      </c>
      <c r="R13" s="14"/>
      <c r="S13" s="14">
        <v>1.7468745555477699E-2</v>
      </c>
      <c r="T13" s="14">
        <v>1.41843496800662E-2</v>
      </c>
      <c r="U13" s="14">
        <v>7.7624231997152904E-3</v>
      </c>
      <c r="V13" s="14">
        <v>0</v>
      </c>
      <c r="W13" s="14">
        <v>1.6673893107673501E-2</v>
      </c>
      <c r="X13" s="14">
        <v>4.7789180121083604E-3</v>
      </c>
      <c r="Y13" s="14">
        <v>7.8895096647002092E-3</v>
      </c>
      <c r="Z13" s="14">
        <v>0</v>
      </c>
      <c r="AA13" s="14">
        <v>2.4136848735690698E-2</v>
      </c>
      <c r="AB13" s="14"/>
      <c r="AC13" s="14">
        <v>1.33374887301933E-2</v>
      </c>
      <c r="AD13" s="14">
        <v>6.3984253591510996E-3</v>
      </c>
      <c r="AE13" s="14">
        <v>9.2287749155290193E-3</v>
      </c>
      <c r="AF13" s="14">
        <v>1.1829259173316601E-2</v>
      </c>
      <c r="AG13" s="14">
        <v>2.9348982882669301E-2</v>
      </c>
      <c r="AH13" s="14"/>
      <c r="AI13" s="14">
        <v>1.36564374450776E-2</v>
      </c>
      <c r="AJ13" s="14">
        <v>1.1884035924153401E-2</v>
      </c>
      <c r="AK13" s="14">
        <v>2.05379048275477E-2</v>
      </c>
      <c r="AL13" s="14">
        <v>1.2351017443606799E-2</v>
      </c>
      <c r="AM13" s="14">
        <v>0</v>
      </c>
      <c r="AN13" s="14">
        <v>6.4587173363788702E-3</v>
      </c>
      <c r="AO13" s="14"/>
      <c r="AP13" s="14">
        <v>1.5352835918622999E-2</v>
      </c>
      <c r="AQ13" s="14">
        <v>7.7131732041233097E-3</v>
      </c>
      <c r="AR13" s="14"/>
      <c r="AS13" s="14">
        <v>2.0271572805921699E-2</v>
      </c>
      <c r="AT13" s="14">
        <v>7.8598208222203907E-3</v>
      </c>
      <c r="AU13" s="14">
        <v>1.05914161322553E-2</v>
      </c>
      <c r="AV13" s="14"/>
      <c r="AW13" s="14">
        <v>9.2994761441102698E-3</v>
      </c>
      <c r="AX13" s="14">
        <v>1.9196022438936099E-2</v>
      </c>
      <c r="AY13" s="14"/>
      <c r="AZ13" s="14">
        <v>1.16748554893871E-2</v>
      </c>
      <c r="BA13" s="14">
        <v>1.2230374210427501E-2</v>
      </c>
    </row>
    <row r="14" spans="2:53" ht="29" x14ac:dyDescent="0.35">
      <c r="B14" s="15" t="s">
        <v>144</v>
      </c>
      <c r="C14" s="14">
        <v>9.1501034336422694E-3</v>
      </c>
      <c r="D14" s="14">
        <v>6.29945052178792E-3</v>
      </c>
      <c r="E14" s="14">
        <v>1.2011906872857501E-2</v>
      </c>
      <c r="F14" s="14"/>
      <c r="G14" s="14">
        <v>0.11326843138774099</v>
      </c>
      <c r="H14" s="14">
        <v>3.76005063781179E-3</v>
      </c>
      <c r="I14" s="14">
        <v>8.4279894421326901E-3</v>
      </c>
      <c r="J14" s="14">
        <v>1.4278968971047299E-2</v>
      </c>
      <c r="K14" s="14">
        <v>0</v>
      </c>
      <c r="L14" s="14">
        <v>0</v>
      </c>
      <c r="M14" s="14"/>
      <c r="N14" s="14">
        <v>6.1155515546907997E-3</v>
      </c>
      <c r="O14" s="14">
        <v>5.80071749001854E-3</v>
      </c>
      <c r="P14" s="14">
        <v>1.0996693069479899E-2</v>
      </c>
      <c r="Q14" s="14">
        <v>1.43880216549082E-2</v>
      </c>
      <c r="R14" s="14"/>
      <c r="S14" s="14">
        <v>0</v>
      </c>
      <c r="T14" s="14">
        <v>7.4287459139144897E-3</v>
      </c>
      <c r="U14" s="14">
        <v>0</v>
      </c>
      <c r="V14" s="14">
        <v>4.1535443780642702E-2</v>
      </c>
      <c r="W14" s="14">
        <v>2.0783912878282199E-2</v>
      </c>
      <c r="X14" s="14">
        <v>5.2446881107329297E-3</v>
      </c>
      <c r="Y14" s="14">
        <v>9.9613986309372796E-3</v>
      </c>
      <c r="Z14" s="14">
        <v>0</v>
      </c>
      <c r="AA14" s="14">
        <v>0</v>
      </c>
      <c r="AB14" s="14"/>
      <c r="AC14" s="14">
        <v>8.8040230261317298E-3</v>
      </c>
      <c r="AD14" s="14">
        <v>1.08871922487338E-2</v>
      </c>
      <c r="AE14" s="14">
        <v>4.1769222564244602E-3</v>
      </c>
      <c r="AF14" s="14">
        <v>3.4858088008566201E-3</v>
      </c>
      <c r="AG14" s="14">
        <v>0</v>
      </c>
      <c r="AH14" s="14"/>
      <c r="AI14" s="14">
        <v>9.1474941276112193E-3</v>
      </c>
      <c r="AJ14" s="14">
        <v>6.6978635797755896E-3</v>
      </c>
      <c r="AK14" s="14">
        <v>6.25681369830042E-3</v>
      </c>
      <c r="AL14" s="14">
        <v>1.53134280251414E-2</v>
      </c>
      <c r="AM14" s="14">
        <v>0</v>
      </c>
      <c r="AN14" s="14">
        <v>0</v>
      </c>
      <c r="AO14" s="14"/>
      <c r="AP14" s="14">
        <v>8.5495395864995799E-3</v>
      </c>
      <c r="AQ14" s="14">
        <v>9.8553105701346295E-3</v>
      </c>
      <c r="AR14" s="14"/>
      <c r="AS14" s="14">
        <v>1.50450809117295E-2</v>
      </c>
      <c r="AT14" s="14">
        <v>6.0610842774581602E-3</v>
      </c>
      <c r="AU14" s="14">
        <v>8.4769676301661608E-3</v>
      </c>
      <c r="AV14" s="14"/>
      <c r="AW14" s="14">
        <v>5.8233734300177304E-3</v>
      </c>
      <c r="AX14" s="14">
        <v>3.4080048682963199E-3</v>
      </c>
      <c r="AY14" s="14"/>
      <c r="AZ14" s="14">
        <v>1.0185538209805599E-2</v>
      </c>
      <c r="BA14" s="14">
        <v>5.4817126976878299E-3</v>
      </c>
    </row>
    <row r="15" spans="2:53" x14ac:dyDescent="0.35">
      <c r="B15" s="15" t="s">
        <v>80</v>
      </c>
      <c r="C15" s="23">
        <v>1.6621357961822701E-2</v>
      </c>
      <c r="D15" s="23">
        <v>1.0694131531251001E-2</v>
      </c>
      <c r="E15" s="23">
        <v>2.25694384239985E-2</v>
      </c>
      <c r="F15" s="23"/>
      <c r="G15" s="23">
        <v>0</v>
      </c>
      <c r="H15" s="23">
        <v>1.58240575544757E-2</v>
      </c>
      <c r="I15" s="23">
        <v>1.7146992562436101E-2</v>
      </c>
      <c r="J15" s="23">
        <v>1.35832316024081E-2</v>
      </c>
      <c r="K15" s="23">
        <v>0</v>
      </c>
      <c r="L15" s="23">
        <v>0.17651706486193799</v>
      </c>
      <c r="M15" s="23"/>
      <c r="N15" s="23">
        <v>3.1396690063019901E-3</v>
      </c>
      <c r="O15" s="23">
        <v>9.0824210025987392E-3</v>
      </c>
      <c r="P15" s="23">
        <v>3.0929969228373901E-2</v>
      </c>
      <c r="Q15" s="23">
        <v>2.6615683613277399E-2</v>
      </c>
      <c r="R15" s="23"/>
      <c r="S15" s="23">
        <v>8.2317532995508091E-3</v>
      </c>
      <c r="T15" s="23">
        <v>7.9444352722605905E-3</v>
      </c>
      <c r="U15" s="23">
        <v>7.3488751776576303E-3</v>
      </c>
      <c r="V15" s="23">
        <v>5.0246189811825902E-2</v>
      </c>
      <c r="W15" s="23">
        <v>2.5609316517273599E-2</v>
      </c>
      <c r="X15" s="23">
        <v>1.8920207294398E-2</v>
      </c>
      <c r="Y15" s="23">
        <v>1.3525859238357901E-2</v>
      </c>
      <c r="Z15" s="23">
        <v>0</v>
      </c>
      <c r="AA15" s="23">
        <v>1.7078335405256401E-2</v>
      </c>
      <c r="AB15" s="23"/>
      <c r="AC15" s="23">
        <v>2.75560159734606E-2</v>
      </c>
      <c r="AD15" s="23">
        <v>1.23711630203202E-2</v>
      </c>
      <c r="AE15" s="23">
        <v>5.7547004212469104E-3</v>
      </c>
      <c r="AF15" s="23">
        <v>6.6711785142391997E-3</v>
      </c>
      <c r="AG15" s="23">
        <v>0</v>
      </c>
      <c r="AH15" s="23"/>
      <c r="AI15" s="23">
        <v>1.89278929953548E-2</v>
      </c>
      <c r="AJ15" s="23">
        <v>5.9692196315934299E-3</v>
      </c>
      <c r="AK15" s="23">
        <v>1.3001601640146101E-2</v>
      </c>
      <c r="AL15" s="23">
        <v>1.9679340546189899E-2</v>
      </c>
      <c r="AM15" s="23">
        <v>0</v>
      </c>
      <c r="AN15" s="23">
        <v>2.32359334014339E-2</v>
      </c>
      <c r="AO15" s="23"/>
      <c r="AP15" s="23">
        <v>1.1442994766952701E-2</v>
      </c>
      <c r="AQ15" s="23">
        <v>2.2501309210906002E-2</v>
      </c>
      <c r="AR15" s="23"/>
      <c r="AS15" s="23">
        <v>3.78168356951394E-3</v>
      </c>
      <c r="AT15" s="23">
        <v>1.92116744254206E-2</v>
      </c>
      <c r="AU15" s="23">
        <v>1.9311017833219701E-2</v>
      </c>
      <c r="AV15" s="23"/>
      <c r="AW15" s="23">
        <v>1.7182955836843001E-2</v>
      </c>
      <c r="AX15" s="23">
        <v>3.53529993245738E-3</v>
      </c>
      <c r="AY15" s="23"/>
      <c r="AZ15" s="23">
        <v>9.9606734783273306E-3</v>
      </c>
      <c r="BA15" s="23">
        <v>2.5843755471061099E-2</v>
      </c>
    </row>
    <row r="16" spans="2:53" x14ac:dyDescent="0.35">
      <c r="B16" s="16"/>
    </row>
    <row r="17" spans="2:2" x14ac:dyDescent="0.35">
      <c r="B17" t="s">
        <v>84</v>
      </c>
    </row>
    <row r="18" spans="2:2" x14ac:dyDescent="0.35">
      <c r="B18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BA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150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139</v>
      </c>
      <c r="C9" s="14">
        <v>0.169359116215855</v>
      </c>
      <c r="D9" s="14">
        <v>0.21163179839148599</v>
      </c>
      <c r="E9" s="14">
        <v>0.127216829094247</v>
      </c>
      <c r="F9" s="14"/>
      <c r="G9" s="14">
        <v>0.37098275749590998</v>
      </c>
      <c r="H9" s="14">
        <v>0.17479691373593301</v>
      </c>
      <c r="I9" s="14">
        <v>0.17156415018480201</v>
      </c>
      <c r="J9" s="14">
        <v>0.16216592819324399</v>
      </c>
      <c r="K9" s="14">
        <v>0.159996847291693</v>
      </c>
      <c r="L9" s="14">
        <v>0.180639842426847</v>
      </c>
      <c r="M9" s="14"/>
      <c r="N9" s="14">
        <v>0.15076746943173899</v>
      </c>
      <c r="O9" s="14">
        <v>0.13783816592185599</v>
      </c>
      <c r="P9" s="14">
        <v>0.199936072758051</v>
      </c>
      <c r="Q9" s="14">
        <v>0.195814203045202</v>
      </c>
      <c r="R9" s="14"/>
      <c r="S9" s="14">
        <v>0.22964411535413301</v>
      </c>
      <c r="T9" s="14">
        <v>0.15013900645262501</v>
      </c>
      <c r="U9" s="14">
        <v>0.13148845227720499</v>
      </c>
      <c r="V9" s="14">
        <v>0.15314531027588499</v>
      </c>
      <c r="W9" s="14">
        <v>0.12755250147422301</v>
      </c>
      <c r="X9" s="14">
        <v>0.21199902462659201</v>
      </c>
      <c r="Y9" s="14">
        <v>0.17591680935749299</v>
      </c>
      <c r="Z9" s="14">
        <v>0.22996820528880599</v>
      </c>
      <c r="AA9" s="14">
        <v>0.129514716879436</v>
      </c>
      <c r="AB9" s="14"/>
      <c r="AC9" s="14">
        <v>0.164019518355661</v>
      </c>
      <c r="AD9" s="14">
        <v>0.17291854713914301</v>
      </c>
      <c r="AE9" s="14">
        <v>0.14970067498635201</v>
      </c>
      <c r="AF9" s="14">
        <v>0.202823431263156</v>
      </c>
      <c r="AG9" s="14">
        <v>0.25031078028162701</v>
      </c>
      <c r="AH9" s="14"/>
      <c r="AI9" s="14">
        <v>0.19479882930116599</v>
      </c>
      <c r="AJ9" s="14">
        <v>0.151477078067008</v>
      </c>
      <c r="AK9" s="14">
        <v>0.13981628092946999</v>
      </c>
      <c r="AL9" s="14">
        <v>0.19191504473217699</v>
      </c>
      <c r="AM9" s="14">
        <v>0.13477059118523099</v>
      </c>
      <c r="AN9" s="14">
        <v>0.169400960697658</v>
      </c>
      <c r="AO9" s="14"/>
      <c r="AP9" s="14">
        <v>0.175135204220534</v>
      </c>
      <c r="AQ9" s="14">
        <v>0.163406011759339</v>
      </c>
      <c r="AR9" s="14"/>
      <c r="AS9" s="14">
        <v>0.18243374641374299</v>
      </c>
      <c r="AT9" s="14">
        <v>0.16035011123091999</v>
      </c>
      <c r="AU9" s="14">
        <v>0.16850419699483099</v>
      </c>
      <c r="AV9" s="14"/>
      <c r="AW9" s="14">
        <v>0.16244383179719701</v>
      </c>
      <c r="AX9" s="14">
        <v>0.230409635442582</v>
      </c>
      <c r="AY9" s="14"/>
      <c r="AZ9" s="14">
        <v>0.176473789559562</v>
      </c>
      <c r="BA9" s="14">
        <v>0.146391815347689</v>
      </c>
    </row>
    <row r="10" spans="2:53" ht="29" x14ac:dyDescent="0.35">
      <c r="B10" s="15" t="s">
        <v>140</v>
      </c>
      <c r="C10" s="14">
        <v>0.25471187767950199</v>
      </c>
      <c r="D10" s="14">
        <v>0.268287646207298</v>
      </c>
      <c r="E10" s="14">
        <v>0.241372200870616</v>
      </c>
      <c r="F10" s="14"/>
      <c r="G10" s="14">
        <v>0.11326843138774099</v>
      </c>
      <c r="H10" s="14">
        <v>0.208582359575294</v>
      </c>
      <c r="I10" s="14">
        <v>0.24703862384323799</v>
      </c>
      <c r="J10" s="14">
        <v>0.266983826030469</v>
      </c>
      <c r="K10" s="14">
        <v>0.313260415416791</v>
      </c>
      <c r="L10" s="14">
        <v>0.38077108354021399</v>
      </c>
      <c r="M10" s="14"/>
      <c r="N10" s="14">
        <v>0.25979782099797499</v>
      </c>
      <c r="O10" s="14">
        <v>0.256618555291169</v>
      </c>
      <c r="P10" s="14">
        <v>0.26486821794134802</v>
      </c>
      <c r="Q10" s="14">
        <v>0.23782455406490799</v>
      </c>
      <c r="R10" s="14"/>
      <c r="S10" s="14">
        <v>0.236970278033621</v>
      </c>
      <c r="T10" s="14">
        <v>0.231256418971857</v>
      </c>
      <c r="U10" s="14">
        <v>0.26739173684106199</v>
      </c>
      <c r="V10" s="14">
        <v>0.26101990969362798</v>
      </c>
      <c r="W10" s="14">
        <v>0.299813230016375</v>
      </c>
      <c r="X10" s="14">
        <v>0.27463758134694599</v>
      </c>
      <c r="Y10" s="14">
        <v>0.211231687740707</v>
      </c>
      <c r="Z10" s="14">
        <v>0.184617893507595</v>
      </c>
      <c r="AA10" s="14">
        <v>0.30413451192968899</v>
      </c>
      <c r="AB10" s="14"/>
      <c r="AC10" s="14">
        <v>0.27684517683147303</v>
      </c>
      <c r="AD10" s="14">
        <v>0.26436790318439202</v>
      </c>
      <c r="AE10" s="14">
        <v>0.24268777544372699</v>
      </c>
      <c r="AF10" s="14">
        <v>0.22741113605434399</v>
      </c>
      <c r="AG10" s="14">
        <v>0.17821000037724899</v>
      </c>
      <c r="AH10" s="14"/>
      <c r="AI10" s="14">
        <v>0.24670106866831301</v>
      </c>
      <c r="AJ10" s="14">
        <v>0.28379095889506001</v>
      </c>
      <c r="AK10" s="14">
        <v>0.29911271054528099</v>
      </c>
      <c r="AL10" s="14">
        <v>0.25528000619991797</v>
      </c>
      <c r="AM10" s="14">
        <v>0.28366562192289402</v>
      </c>
      <c r="AN10" s="14">
        <v>0.21641486041365501</v>
      </c>
      <c r="AO10" s="14"/>
      <c r="AP10" s="14">
        <v>0.26915330541725502</v>
      </c>
      <c r="AQ10" s="14">
        <v>0.23861731564526001</v>
      </c>
      <c r="AR10" s="14"/>
      <c r="AS10" s="14">
        <v>0.252412559041642</v>
      </c>
      <c r="AT10" s="14">
        <v>0.23305895129753301</v>
      </c>
      <c r="AU10" s="14">
        <v>0.261733371103271</v>
      </c>
      <c r="AV10" s="14"/>
      <c r="AW10" s="14">
        <v>0.25704340070259601</v>
      </c>
      <c r="AX10" s="14">
        <v>0.26771249103320799</v>
      </c>
      <c r="AY10" s="14"/>
      <c r="AZ10" s="14">
        <v>0.26169052228664602</v>
      </c>
      <c r="BA10" s="14">
        <v>0.23404635052184</v>
      </c>
    </row>
    <row r="11" spans="2:53" ht="58" x14ac:dyDescent="0.35">
      <c r="B11" s="15" t="s">
        <v>141</v>
      </c>
      <c r="C11" s="14">
        <v>0.50024105298528299</v>
      </c>
      <c r="D11" s="14">
        <v>0.439551549783252</v>
      </c>
      <c r="E11" s="14">
        <v>0.56049455973520201</v>
      </c>
      <c r="F11" s="14"/>
      <c r="G11" s="14">
        <v>0.361869402515411</v>
      </c>
      <c r="H11" s="14">
        <v>0.529844935255946</v>
      </c>
      <c r="I11" s="14">
        <v>0.49883838546076398</v>
      </c>
      <c r="J11" s="14">
        <v>0.50801389650194895</v>
      </c>
      <c r="K11" s="14">
        <v>0.47620885241606498</v>
      </c>
      <c r="L11" s="14">
        <v>0.28969397689559501</v>
      </c>
      <c r="M11" s="14"/>
      <c r="N11" s="14">
        <v>0.53558064457809695</v>
      </c>
      <c r="O11" s="14">
        <v>0.53062282870005695</v>
      </c>
      <c r="P11" s="14">
        <v>0.47840990231879299</v>
      </c>
      <c r="Q11" s="14">
        <v>0.44879551097927001</v>
      </c>
      <c r="R11" s="14"/>
      <c r="S11" s="14">
        <v>0.43835960008628799</v>
      </c>
      <c r="T11" s="14">
        <v>0.53491826569946699</v>
      </c>
      <c r="U11" s="14">
        <v>0.55125494442104195</v>
      </c>
      <c r="V11" s="14">
        <v>0.50316349332941501</v>
      </c>
      <c r="W11" s="14">
        <v>0.48036629722659702</v>
      </c>
      <c r="X11" s="14">
        <v>0.42761871827278602</v>
      </c>
      <c r="Y11" s="14">
        <v>0.53923823028316997</v>
      </c>
      <c r="Z11" s="14">
        <v>0.54305492023943502</v>
      </c>
      <c r="AA11" s="14">
        <v>0.51514933744255398</v>
      </c>
      <c r="AB11" s="14"/>
      <c r="AC11" s="14">
        <v>0.46718239669589501</v>
      </c>
      <c r="AD11" s="14">
        <v>0.50023317140590395</v>
      </c>
      <c r="AE11" s="14">
        <v>0.55081494239072804</v>
      </c>
      <c r="AF11" s="14">
        <v>0.48438038665000799</v>
      </c>
      <c r="AG11" s="14">
        <v>0.53725660246031903</v>
      </c>
      <c r="AH11" s="14"/>
      <c r="AI11" s="14">
        <v>0.48307045925752901</v>
      </c>
      <c r="AJ11" s="14">
        <v>0.49504710518330602</v>
      </c>
      <c r="AK11" s="14">
        <v>0.472719693681662</v>
      </c>
      <c r="AL11" s="14">
        <v>0.48941896069986401</v>
      </c>
      <c r="AM11" s="14">
        <v>0.52971139809188506</v>
      </c>
      <c r="AN11" s="14">
        <v>0.52337393969910195</v>
      </c>
      <c r="AO11" s="14"/>
      <c r="AP11" s="14">
        <v>0.48504300174460502</v>
      </c>
      <c r="AQ11" s="14">
        <v>0.51639719389284</v>
      </c>
      <c r="AR11" s="14"/>
      <c r="AS11" s="14">
        <v>0.48548275820053</v>
      </c>
      <c r="AT11" s="14">
        <v>0.50959044729242997</v>
      </c>
      <c r="AU11" s="14">
        <v>0.50144845355651402</v>
      </c>
      <c r="AV11" s="14"/>
      <c r="AW11" s="14">
        <v>0.51625029806538403</v>
      </c>
      <c r="AX11" s="14">
        <v>0.40812169271827198</v>
      </c>
      <c r="AY11" s="14"/>
      <c r="AZ11" s="14">
        <v>0.49489465132149901</v>
      </c>
      <c r="BA11" s="14">
        <v>0.52563075894438405</v>
      </c>
    </row>
    <row r="12" spans="2:53" ht="29" x14ac:dyDescent="0.35">
      <c r="B12" s="15" t="s">
        <v>142</v>
      </c>
      <c r="C12" s="14">
        <v>4.8283623509418498E-2</v>
      </c>
      <c r="D12" s="14">
        <v>5.9826693634964401E-2</v>
      </c>
      <c r="E12" s="14">
        <v>3.6778135264914198E-2</v>
      </c>
      <c r="F12" s="14"/>
      <c r="G12" s="14">
        <v>0.15387940860093799</v>
      </c>
      <c r="H12" s="14">
        <v>6.2395887167833702E-2</v>
      </c>
      <c r="I12" s="14">
        <v>4.8822221619846298E-2</v>
      </c>
      <c r="J12" s="14">
        <v>4.5587955882278798E-2</v>
      </c>
      <c r="K12" s="14">
        <v>3.3456541195904403E-2</v>
      </c>
      <c r="L12" s="14">
        <v>0</v>
      </c>
      <c r="M12" s="14"/>
      <c r="N12" s="14">
        <v>4.09814151238381E-2</v>
      </c>
      <c r="O12" s="14">
        <v>5.6559992331682601E-2</v>
      </c>
      <c r="P12" s="14">
        <v>2.5716466321501999E-2</v>
      </c>
      <c r="Q12" s="14">
        <v>6.7982253695245395E-2</v>
      </c>
      <c r="R12" s="14"/>
      <c r="S12" s="14">
        <v>7.2163014457827801E-2</v>
      </c>
      <c r="T12" s="14">
        <v>6.9278919081603899E-2</v>
      </c>
      <c r="U12" s="14">
        <v>2.7230413598587699E-2</v>
      </c>
      <c r="V12" s="14">
        <v>2.6395742065512099E-2</v>
      </c>
      <c r="W12" s="14">
        <v>3.8457252456174998E-2</v>
      </c>
      <c r="X12" s="14">
        <v>6.4300545843987797E-2</v>
      </c>
      <c r="Y12" s="14">
        <v>4.1252309131463799E-2</v>
      </c>
      <c r="Z12" s="14">
        <v>2.1282006232163499E-2</v>
      </c>
      <c r="AA12" s="14">
        <v>3.8095332955496497E-2</v>
      </c>
      <c r="AB12" s="14"/>
      <c r="AC12" s="14">
        <v>5.2474438887775601E-2</v>
      </c>
      <c r="AD12" s="14">
        <v>3.8129860481783601E-2</v>
      </c>
      <c r="AE12" s="14">
        <v>4.4645619611886497E-2</v>
      </c>
      <c r="AF12" s="14">
        <v>6.05638468402575E-2</v>
      </c>
      <c r="AG12" s="14">
        <v>2.20499793046415E-2</v>
      </c>
      <c r="AH12" s="14"/>
      <c r="AI12" s="14">
        <v>4.6325898247276801E-2</v>
      </c>
      <c r="AJ12" s="14">
        <v>6.0889177026012098E-2</v>
      </c>
      <c r="AK12" s="14">
        <v>5.57680522798824E-2</v>
      </c>
      <c r="AL12" s="14">
        <v>3.75996791070159E-2</v>
      </c>
      <c r="AM12" s="14">
        <v>5.1852388799988797E-2</v>
      </c>
      <c r="AN12" s="14">
        <v>2.6670786161671602E-2</v>
      </c>
      <c r="AO12" s="14"/>
      <c r="AP12" s="14">
        <v>4.8603832666898203E-2</v>
      </c>
      <c r="AQ12" s="14">
        <v>4.8078949994431797E-2</v>
      </c>
      <c r="AR12" s="14"/>
      <c r="AS12" s="14">
        <v>5.7184130998259301E-2</v>
      </c>
      <c r="AT12" s="14">
        <v>7.5787854843289801E-2</v>
      </c>
      <c r="AU12" s="14">
        <v>3.7755317165637299E-2</v>
      </c>
      <c r="AV12" s="14"/>
      <c r="AW12" s="14">
        <v>3.72294756420515E-2</v>
      </c>
      <c r="AX12" s="14">
        <v>7.2768436022003696E-2</v>
      </c>
      <c r="AY12" s="14"/>
      <c r="AZ12" s="14">
        <v>4.8191616438223901E-2</v>
      </c>
      <c r="BA12" s="14">
        <v>4.96418649101628E-2</v>
      </c>
    </row>
    <row r="13" spans="2:53" ht="29" x14ac:dyDescent="0.35">
      <c r="B13" s="15" t="s">
        <v>143</v>
      </c>
      <c r="C13" s="14">
        <v>1.05734433995954E-2</v>
      </c>
      <c r="D13" s="14">
        <v>1.29497482872983E-2</v>
      </c>
      <c r="E13" s="14">
        <v>8.2054895347982194E-3</v>
      </c>
      <c r="F13" s="14"/>
      <c r="G13" s="14">
        <v>0</v>
      </c>
      <c r="H13" s="14">
        <v>1.0820465124240701E-2</v>
      </c>
      <c r="I13" s="14">
        <v>1.21334994318691E-2</v>
      </c>
      <c r="J13" s="14">
        <v>6.9179801079878901E-3</v>
      </c>
      <c r="K13" s="14">
        <v>1.70773436795464E-2</v>
      </c>
      <c r="L13" s="14">
        <v>0</v>
      </c>
      <c r="M13" s="14"/>
      <c r="N13" s="14">
        <v>1.07210204120015E-2</v>
      </c>
      <c r="O13" s="14">
        <v>1.17983333059448E-2</v>
      </c>
      <c r="P13" s="14">
        <v>9.4785130813847696E-3</v>
      </c>
      <c r="Q13" s="14">
        <v>1.02279582820968E-2</v>
      </c>
      <c r="R13" s="14"/>
      <c r="S13" s="14">
        <v>1.35408236308174E-2</v>
      </c>
      <c r="T13" s="14">
        <v>6.4629545221859203E-3</v>
      </c>
      <c r="U13" s="14">
        <v>0</v>
      </c>
      <c r="V13" s="14">
        <v>1.19453775681885E-2</v>
      </c>
      <c r="W13" s="14">
        <v>2.8319321662314299E-2</v>
      </c>
      <c r="X13" s="14">
        <v>5.8994042383547799E-3</v>
      </c>
      <c r="Y13" s="14">
        <v>1.5707163265807199E-2</v>
      </c>
      <c r="Z13" s="14">
        <v>2.10769747320011E-2</v>
      </c>
      <c r="AA13" s="14">
        <v>2.2782204522131199E-3</v>
      </c>
      <c r="AB13" s="14"/>
      <c r="AC13" s="14">
        <v>1.26895971103955E-2</v>
      </c>
      <c r="AD13" s="14">
        <v>9.6606556633702292E-3</v>
      </c>
      <c r="AE13" s="14">
        <v>6.6021532918857304E-3</v>
      </c>
      <c r="AF13" s="14">
        <v>1.8150020677995399E-2</v>
      </c>
      <c r="AG13" s="14">
        <v>1.21726375761637E-2</v>
      </c>
      <c r="AH13" s="14"/>
      <c r="AI13" s="14">
        <v>1.45306865062444E-2</v>
      </c>
      <c r="AJ13" s="14">
        <v>5.1903531969763996E-3</v>
      </c>
      <c r="AK13" s="14">
        <v>1.5178351832629E-2</v>
      </c>
      <c r="AL13" s="14">
        <v>1.20589015685606E-2</v>
      </c>
      <c r="AM13" s="14">
        <v>0</v>
      </c>
      <c r="AN13" s="14">
        <v>4.7963846130627298E-3</v>
      </c>
      <c r="AO13" s="14"/>
      <c r="AP13" s="14">
        <v>1.22738516468226E-2</v>
      </c>
      <c r="AQ13" s="14">
        <v>8.6943214432137206E-3</v>
      </c>
      <c r="AR13" s="14"/>
      <c r="AS13" s="14">
        <v>1.26133897099174E-2</v>
      </c>
      <c r="AT13" s="14">
        <v>3.5408060061533301E-3</v>
      </c>
      <c r="AU13" s="14">
        <v>1.2103939913683999E-2</v>
      </c>
      <c r="AV13" s="14"/>
      <c r="AW13" s="14">
        <v>9.5712124114268101E-3</v>
      </c>
      <c r="AX13" s="14">
        <v>1.7452444851477299E-2</v>
      </c>
      <c r="AY13" s="14"/>
      <c r="AZ13" s="14">
        <v>9.1026033577330107E-3</v>
      </c>
      <c r="BA13" s="14">
        <v>1.6280002419584699E-2</v>
      </c>
    </row>
    <row r="14" spans="2:53" ht="29" x14ac:dyDescent="0.35">
      <c r="B14" s="15" t="s">
        <v>144</v>
      </c>
      <c r="C14" s="14">
        <v>1.0796170306227499E-3</v>
      </c>
      <c r="D14" s="14">
        <v>0</v>
      </c>
      <c r="E14" s="14">
        <v>2.1611440227179402E-3</v>
      </c>
      <c r="F14" s="14"/>
      <c r="G14" s="14">
        <v>0</v>
      </c>
      <c r="H14" s="14">
        <v>0</v>
      </c>
      <c r="I14" s="14">
        <v>2.4717905628837801E-3</v>
      </c>
      <c r="J14" s="14">
        <v>0</v>
      </c>
      <c r="K14" s="14">
        <v>0</v>
      </c>
      <c r="L14" s="14">
        <v>0</v>
      </c>
      <c r="M14" s="14"/>
      <c r="N14" s="14">
        <v>0</v>
      </c>
      <c r="O14" s="14">
        <v>1.3732672691882E-3</v>
      </c>
      <c r="P14" s="14">
        <v>0</v>
      </c>
      <c r="Q14" s="14">
        <v>2.9023518253739802E-3</v>
      </c>
      <c r="R14" s="14"/>
      <c r="S14" s="14">
        <v>0</v>
      </c>
      <c r="T14" s="14">
        <v>0</v>
      </c>
      <c r="U14" s="14">
        <v>7.22045593911188E-3</v>
      </c>
      <c r="V14" s="14">
        <v>0</v>
      </c>
      <c r="W14" s="14">
        <v>0</v>
      </c>
      <c r="X14" s="14">
        <v>0</v>
      </c>
      <c r="Y14" s="14">
        <v>3.5490135815875999E-3</v>
      </c>
      <c r="Z14" s="14">
        <v>0</v>
      </c>
      <c r="AA14" s="14">
        <v>0</v>
      </c>
      <c r="AB14" s="14"/>
      <c r="AC14" s="14">
        <v>3.6225410625330299E-3</v>
      </c>
      <c r="AD14" s="14">
        <v>0</v>
      </c>
      <c r="AE14" s="14">
        <v>1.2258757432889701E-3</v>
      </c>
      <c r="AF14" s="14">
        <v>0</v>
      </c>
      <c r="AG14" s="14">
        <v>0</v>
      </c>
      <c r="AH14" s="14"/>
      <c r="AI14" s="14">
        <v>1.0134687400600499E-3</v>
      </c>
      <c r="AJ14" s="14">
        <v>0</v>
      </c>
      <c r="AK14" s="14">
        <v>0</v>
      </c>
      <c r="AL14" s="14">
        <v>0</v>
      </c>
      <c r="AM14" s="14">
        <v>0</v>
      </c>
      <c r="AN14" s="14">
        <v>9.7580363142050902E-3</v>
      </c>
      <c r="AO14" s="14"/>
      <c r="AP14" s="14">
        <v>6.7301981323614798E-4</v>
      </c>
      <c r="AQ14" s="14">
        <v>1.5405752510669699E-3</v>
      </c>
      <c r="AR14" s="14"/>
      <c r="AS14" s="14">
        <v>0</v>
      </c>
      <c r="AT14" s="14">
        <v>1.8828325261670701E-3</v>
      </c>
      <c r="AU14" s="14">
        <v>1.1326726405059601E-3</v>
      </c>
      <c r="AV14" s="14"/>
      <c r="AW14" s="14">
        <v>1.4366788656769E-3</v>
      </c>
      <c r="AX14" s="14">
        <v>0</v>
      </c>
      <c r="AY14" s="14"/>
      <c r="AZ14" s="14">
        <v>4.5321166795950397E-4</v>
      </c>
      <c r="BA14" s="14">
        <v>3.4379631818101399E-3</v>
      </c>
    </row>
    <row r="15" spans="2:53" x14ac:dyDescent="0.35">
      <c r="B15" s="15" t="s">
        <v>80</v>
      </c>
      <c r="C15" s="23">
        <v>1.5751269179723599E-2</v>
      </c>
      <c r="D15" s="23">
        <v>7.7525636957002904E-3</v>
      </c>
      <c r="E15" s="23">
        <v>2.3771641477503599E-2</v>
      </c>
      <c r="F15" s="23"/>
      <c r="G15" s="23">
        <v>0</v>
      </c>
      <c r="H15" s="23">
        <v>1.3559439140751601E-2</v>
      </c>
      <c r="I15" s="23">
        <v>1.9131328896597601E-2</v>
      </c>
      <c r="J15" s="23">
        <v>1.03304132840708E-2</v>
      </c>
      <c r="K15" s="23">
        <v>0</v>
      </c>
      <c r="L15" s="23">
        <v>0.148895097137344</v>
      </c>
      <c r="M15" s="23"/>
      <c r="N15" s="23">
        <v>2.15162945634943E-3</v>
      </c>
      <c r="O15" s="23">
        <v>5.1888571801020503E-3</v>
      </c>
      <c r="P15" s="23">
        <v>2.1590827578921699E-2</v>
      </c>
      <c r="Q15" s="23">
        <v>3.6453168107902799E-2</v>
      </c>
      <c r="R15" s="23"/>
      <c r="S15" s="23">
        <v>9.3221684373119094E-3</v>
      </c>
      <c r="T15" s="23">
        <v>7.9444352722605905E-3</v>
      </c>
      <c r="U15" s="23">
        <v>1.54139969229918E-2</v>
      </c>
      <c r="V15" s="23">
        <v>4.4330167067371098E-2</v>
      </c>
      <c r="W15" s="23">
        <v>2.54913971643158E-2</v>
      </c>
      <c r="X15" s="23">
        <v>1.5544725671332599E-2</v>
      </c>
      <c r="Y15" s="23">
        <v>1.3104786639771399E-2</v>
      </c>
      <c r="Z15" s="23">
        <v>0</v>
      </c>
      <c r="AA15" s="23">
        <v>1.08278803406112E-2</v>
      </c>
      <c r="AB15" s="23"/>
      <c r="AC15" s="23">
        <v>2.3166331056266299E-2</v>
      </c>
      <c r="AD15" s="23">
        <v>1.4689862125407399E-2</v>
      </c>
      <c r="AE15" s="23">
        <v>4.3229585321319496E-3</v>
      </c>
      <c r="AF15" s="23">
        <v>6.6711785142391997E-3</v>
      </c>
      <c r="AG15" s="23">
        <v>0</v>
      </c>
      <c r="AH15" s="23"/>
      <c r="AI15" s="23">
        <v>1.35595892794105E-2</v>
      </c>
      <c r="AJ15" s="23">
        <v>3.6053276316378698E-3</v>
      </c>
      <c r="AK15" s="23">
        <v>1.7404910731075099E-2</v>
      </c>
      <c r="AL15" s="23">
        <v>1.3727407692464499E-2</v>
      </c>
      <c r="AM15" s="23">
        <v>0</v>
      </c>
      <c r="AN15" s="23">
        <v>4.9585032100646298E-2</v>
      </c>
      <c r="AO15" s="23"/>
      <c r="AP15" s="23">
        <v>9.1177844906487997E-3</v>
      </c>
      <c r="AQ15" s="23">
        <v>2.3265632013848701E-2</v>
      </c>
      <c r="AR15" s="23"/>
      <c r="AS15" s="23">
        <v>9.8734156359075505E-3</v>
      </c>
      <c r="AT15" s="23">
        <v>1.5788996803507E-2</v>
      </c>
      <c r="AU15" s="23">
        <v>1.7322048625556499E-2</v>
      </c>
      <c r="AV15" s="23"/>
      <c r="AW15" s="23">
        <v>1.6025102515667501E-2</v>
      </c>
      <c r="AX15" s="23">
        <v>3.53529993245738E-3</v>
      </c>
      <c r="AY15" s="23"/>
      <c r="AZ15" s="23">
        <v>9.19360536837701E-3</v>
      </c>
      <c r="BA15" s="23">
        <v>2.4571244674529698E-2</v>
      </c>
    </row>
    <row r="16" spans="2:53" x14ac:dyDescent="0.35">
      <c r="B16" s="16"/>
    </row>
    <row r="17" spans="2:2" x14ac:dyDescent="0.35">
      <c r="B17" t="s">
        <v>84</v>
      </c>
    </row>
    <row r="18" spans="2:2" x14ac:dyDescent="0.35">
      <c r="B18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BA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151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139</v>
      </c>
      <c r="C9" s="14">
        <v>0.13431942450430101</v>
      </c>
      <c r="D9" s="14">
        <v>0.15672683465885501</v>
      </c>
      <c r="E9" s="14">
        <v>0.11202432210301801</v>
      </c>
      <c r="F9" s="14"/>
      <c r="G9" s="14">
        <v>0.11326843138774099</v>
      </c>
      <c r="H9" s="14">
        <v>0.121794547534742</v>
      </c>
      <c r="I9" s="14">
        <v>0.13526596561189499</v>
      </c>
      <c r="J9" s="14">
        <v>0.122130450916465</v>
      </c>
      <c r="K9" s="14">
        <v>0.189110505735027</v>
      </c>
      <c r="L9" s="14">
        <v>0.14691714711943901</v>
      </c>
      <c r="M9" s="14"/>
      <c r="N9" s="14">
        <v>0.113936776887804</v>
      </c>
      <c r="O9" s="14">
        <v>0.106335698700492</v>
      </c>
      <c r="P9" s="14">
        <v>0.13274861604583599</v>
      </c>
      <c r="Q9" s="14">
        <v>0.18834182936595201</v>
      </c>
      <c r="R9" s="14"/>
      <c r="S9" s="14">
        <v>0.14415138720930201</v>
      </c>
      <c r="T9" s="14">
        <v>0.149653977965132</v>
      </c>
      <c r="U9" s="14">
        <v>0.13356905344470801</v>
      </c>
      <c r="V9" s="14">
        <v>9.3226695512461197E-2</v>
      </c>
      <c r="W9" s="14">
        <v>0.147573847246361</v>
      </c>
      <c r="X9" s="14">
        <v>0.16984532199583099</v>
      </c>
      <c r="Y9" s="14">
        <v>0.13065749521696299</v>
      </c>
      <c r="Z9" s="14">
        <v>8.9505651348857906E-2</v>
      </c>
      <c r="AA9" s="14">
        <v>0.122135894745207</v>
      </c>
      <c r="AB9" s="14"/>
      <c r="AC9" s="14">
        <v>0.13889708890872299</v>
      </c>
      <c r="AD9" s="14">
        <v>0.138775107787563</v>
      </c>
      <c r="AE9" s="14">
        <v>0.118230585048134</v>
      </c>
      <c r="AF9" s="14">
        <v>0.15003580621177101</v>
      </c>
      <c r="AG9" s="14">
        <v>0.208141156925053</v>
      </c>
      <c r="AH9" s="14"/>
      <c r="AI9" s="14">
        <v>0.14896145733652499</v>
      </c>
      <c r="AJ9" s="14">
        <v>0.13357510900976699</v>
      </c>
      <c r="AK9" s="14">
        <v>0.103298378088307</v>
      </c>
      <c r="AL9" s="14">
        <v>0.126371349403371</v>
      </c>
      <c r="AM9" s="14">
        <v>0.13946360643591699</v>
      </c>
      <c r="AN9" s="14">
        <v>0.19880174382648</v>
      </c>
      <c r="AO9" s="14"/>
      <c r="AP9" s="14">
        <v>0.1303470766232</v>
      </c>
      <c r="AQ9" s="14">
        <v>0.137861632157601</v>
      </c>
      <c r="AR9" s="14"/>
      <c r="AS9" s="14">
        <v>0.14176738551359799</v>
      </c>
      <c r="AT9" s="14">
        <v>0.13355805960759601</v>
      </c>
      <c r="AU9" s="14">
        <v>0.132540050472086</v>
      </c>
      <c r="AV9" s="14"/>
      <c r="AW9" s="14">
        <v>0.13143644195736401</v>
      </c>
      <c r="AX9" s="14">
        <v>0.177115696312447</v>
      </c>
      <c r="AY9" s="14"/>
      <c r="AZ9" s="14">
        <v>0.13695658272456099</v>
      </c>
      <c r="BA9" s="14">
        <v>0.127310492792296</v>
      </c>
    </row>
    <row r="10" spans="2:53" ht="29" x14ac:dyDescent="0.35">
      <c r="B10" s="15" t="s">
        <v>140</v>
      </c>
      <c r="C10" s="14">
        <v>0.19446361470183801</v>
      </c>
      <c r="D10" s="14">
        <v>0.202538436421866</v>
      </c>
      <c r="E10" s="14">
        <v>0.18657087167287301</v>
      </c>
      <c r="F10" s="14"/>
      <c r="G10" s="14">
        <v>0.28989449909755399</v>
      </c>
      <c r="H10" s="14">
        <v>0.22089766902403299</v>
      </c>
      <c r="I10" s="14">
        <v>0.19532093317881999</v>
      </c>
      <c r="J10" s="14">
        <v>0.17105072892850801</v>
      </c>
      <c r="K10" s="14">
        <v>0.22584525273664199</v>
      </c>
      <c r="L10" s="14">
        <v>0.149668906134659</v>
      </c>
      <c r="M10" s="14"/>
      <c r="N10" s="14">
        <v>0.18639073127803099</v>
      </c>
      <c r="O10" s="14">
        <v>0.18260477361345701</v>
      </c>
      <c r="P10" s="14">
        <v>0.25139035706372098</v>
      </c>
      <c r="Q10" s="14">
        <v>0.166251736159549</v>
      </c>
      <c r="R10" s="14"/>
      <c r="S10" s="14">
        <v>0.23334534777690299</v>
      </c>
      <c r="T10" s="14">
        <v>0.13612502126544501</v>
      </c>
      <c r="U10" s="14">
        <v>0.22076983155892499</v>
      </c>
      <c r="V10" s="14">
        <v>0.18823495485473901</v>
      </c>
      <c r="W10" s="14">
        <v>0.178198636682531</v>
      </c>
      <c r="X10" s="14">
        <v>0.21604375865258299</v>
      </c>
      <c r="Y10" s="14">
        <v>0.15784555672458001</v>
      </c>
      <c r="Z10" s="14">
        <v>0.21952088867588099</v>
      </c>
      <c r="AA10" s="14">
        <v>0.21666649859074899</v>
      </c>
      <c r="AB10" s="14"/>
      <c r="AC10" s="14">
        <v>0.20611378215751899</v>
      </c>
      <c r="AD10" s="14">
        <v>0.19297847002678201</v>
      </c>
      <c r="AE10" s="14">
        <v>0.18256405129140499</v>
      </c>
      <c r="AF10" s="14">
        <v>0.20674492158765401</v>
      </c>
      <c r="AG10" s="14">
        <v>0.192296036018204</v>
      </c>
      <c r="AH10" s="14"/>
      <c r="AI10" s="14">
        <v>0.206047917777018</v>
      </c>
      <c r="AJ10" s="14">
        <v>0.20841193452089801</v>
      </c>
      <c r="AK10" s="14">
        <v>0.182728651168301</v>
      </c>
      <c r="AL10" s="14">
        <v>0.19809843047460299</v>
      </c>
      <c r="AM10" s="14">
        <v>0.16296264826190501</v>
      </c>
      <c r="AN10" s="14">
        <v>0.105673930627718</v>
      </c>
      <c r="AO10" s="14"/>
      <c r="AP10" s="14">
        <v>0.20936410475457801</v>
      </c>
      <c r="AQ10" s="14">
        <v>0.178325184637812</v>
      </c>
      <c r="AR10" s="14"/>
      <c r="AS10" s="14">
        <v>0.19649932106762899</v>
      </c>
      <c r="AT10" s="14">
        <v>0.19754622813546899</v>
      </c>
      <c r="AU10" s="14">
        <v>0.193004221116438</v>
      </c>
      <c r="AV10" s="14"/>
      <c r="AW10" s="14">
        <v>0.19374004372329101</v>
      </c>
      <c r="AX10" s="14">
        <v>0.21059672625547499</v>
      </c>
      <c r="AY10" s="14"/>
      <c r="AZ10" s="14">
        <v>0.20252960372064699</v>
      </c>
      <c r="BA10" s="14">
        <v>0.16847702028547601</v>
      </c>
    </row>
    <row r="11" spans="2:53" ht="58" x14ac:dyDescent="0.35">
      <c r="B11" s="15" t="s">
        <v>141</v>
      </c>
      <c r="C11" s="14">
        <v>0.568407450983201</v>
      </c>
      <c r="D11" s="14">
        <v>0.53127121676946798</v>
      </c>
      <c r="E11" s="14">
        <v>0.60515494395931202</v>
      </c>
      <c r="F11" s="14"/>
      <c r="G11" s="14">
        <v>0.46859628134443199</v>
      </c>
      <c r="H11" s="14">
        <v>0.56247112546058997</v>
      </c>
      <c r="I11" s="14">
        <v>0.57376111031883803</v>
      </c>
      <c r="J11" s="14">
        <v>0.60859707898369997</v>
      </c>
      <c r="K11" s="14">
        <v>0.44990263520364698</v>
      </c>
      <c r="L11" s="14">
        <v>0.430359296756545</v>
      </c>
      <c r="M11" s="14"/>
      <c r="N11" s="14">
        <v>0.60350585184829098</v>
      </c>
      <c r="O11" s="14">
        <v>0.62891646568216497</v>
      </c>
      <c r="P11" s="14">
        <v>0.49308849890723999</v>
      </c>
      <c r="Q11" s="14">
        <v>0.53031809915271999</v>
      </c>
      <c r="R11" s="14"/>
      <c r="S11" s="14">
        <v>0.53773646058449698</v>
      </c>
      <c r="T11" s="14">
        <v>0.61735758365936799</v>
      </c>
      <c r="U11" s="14">
        <v>0.54295292991553801</v>
      </c>
      <c r="V11" s="14">
        <v>0.59699034933960904</v>
      </c>
      <c r="W11" s="14">
        <v>0.51950415375937498</v>
      </c>
      <c r="X11" s="14">
        <v>0.52274126518591002</v>
      </c>
      <c r="Y11" s="14">
        <v>0.59306413970259297</v>
      </c>
      <c r="Z11" s="14">
        <v>0.59613912374433697</v>
      </c>
      <c r="AA11" s="14">
        <v>0.58084715959774302</v>
      </c>
      <c r="AB11" s="14"/>
      <c r="AC11" s="14">
        <v>0.53363060724681899</v>
      </c>
      <c r="AD11" s="14">
        <v>0.58793672219861703</v>
      </c>
      <c r="AE11" s="14">
        <v>0.60867696389485404</v>
      </c>
      <c r="AF11" s="14">
        <v>0.53229117023528005</v>
      </c>
      <c r="AG11" s="14">
        <v>0.567571977152447</v>
      </c>
      <c r="AH11" s="14"/>
      <c r="AI11" s="14">
        <v>0.55653275437005301</v>
      </c>
      <c r="AJ11" s="14">
        <v>0.51543217850982304</v>
      </c>
      <c r="AK11" s="14">
        <v>0.58553099174105505</v>
      </c>
      <c r="AL11" s="14">
        <v>0.55913376328884301</v>
      </c>
      <c r="AM11" s="14">
        <v>0.63166726461142098</v>
      </c>
      <c r="AN11" s="14">
        <v>0.62549283783399001</v>
      </c>
      <c r="AO11" s="14"/>
      <c r="AP11" s="14">
        <v>0.55851384460529196</v>
      </c>
      <c r="AQ11" s="14">
        <v>0.57950834490534497</v>
      </c>
      <c r="AR11" s="14"/>
      <c r="AS11" s="14">
        <v>0.58479683900060697</v>
      </c>
      <c r="AT11" s="14">
        <v>0.576044803047851</v>
      </c>
      <c r="AU11" s="14">
        <v>0.56173816682030098</v>
      </c>
      <c r="AV11" s="14"/>
      <c r="AW11" s="14">
        <v>0.57723769170205297</v>
      </c>
      <c r="AX11" s="14">
        <v>0.50410916711213904</v>
      </c>
      <c r="AY11" s="14"/>
      <c r="AZ11" s="14">
        <v>0.56460694491099395</v>
      </c>
      <c r="BA11" s="14">
        <v>0.59209522466147502</v>
      </c>
    </row>
    <row r="12" spans="2:53" ht="29" x14ac:dyDescent="0.35">
      <c r="B12" s="15" t="s">
        <v>142</v>
      </c>
      <c r="C12" s="14">
        <v>7.3086484396384002E-2</v>
      </c>
      <c r="D12" s="14">
        <v>8.3705917908432195E-2</v>
      </c>
      <c r="E12" s="14">
        <v>6.2529418033238998E-2</v>
      </c>
      <c r="F12" s="14"/>
      <c r="G12" s="14">
        <v>0.12824078817027301</v>
      </c>
      <c r="H12" s="14">
        <v>7.1192244179609801E-2</v>
      </c>
      <c r="I12" s="14">
        <v>5.9595056815026699E-2</v>
      </c>
      <c r="J12" s="14">
        <v>7.8694239547670103E-2</v>
      </c>
      <c r="K12" s="14">
        <v>0.110155723257986</v>
      </c>
      <c r="L12" s="14">
        <v>0.12415955285201299</v>
      </c>
      <c r="M12" s="14"/>
      <c r="N12" s="14">
        <v>7.9467464434029897E-2</v>
      </c>
      <c r="O12" s="14">
        <v>6.7109972495909401E-2</v>
      </c>
      <c r="P12" s="14">
        <v>9.4201729668408604E-2</v>
      </c>
      <c r="Q12" s="14">
        <v>5.4684390523890097E-2</v>
      </c>
      <c r="R12" s="14"/>
      <c r="S12" s="14">
        <v>5.8040466902653097E-2</v>
      </c>
      <c r="T12" s="14">
        <v>8.1025837812272503E-2</v>
      </c>
      <c r="U12" s="14">
        <v>7.2853278137998495E-2</v>
      </c>
      <c r="V12" s="14">
        <v>5.9356432913176702E-2</v>
      </c>
      <c r="W12" s="14">
        <v>8.2454448010710904E-2</v>
      </c>
      <c r="X12" s="14">
        <v>6.99255242559889E-2</v>
      </c>
      <c r="Y12" s="14">
        <v>9.9638715460883098E-2</v>
      </c>
      <c r="Z12" s="14">
        <v>8.3378464752734999E-2</v>
      </c>
      <c r="AA12" s="14">
        <v>6.5116687116963695E-2</v>
      </c>
      <c r="AB12" s="14"/>
      <c r="AC12" s="14">
        <v>6.7372208552155699E-2</v>
      </c>
      <c r="AD12" s="14">
        <v>6.21873851283367E-2</v>
      </c>
      <c r="AE12" s="14">
        <v>8.4618566218394697E-2</v>
      </c>
      <c r="AF12" s="14">
        <v>7.1978269884351603E-2</v>
      </c>
      <c r="AG12" s="14">
        <v>2.64010905277519E-2</v>
      </c>
      <c r="AH12" s="14"/>
      <c r="AI12" s="14">
        <v>6.27003520691818E-2</v>
      </c>
      <c r="AJ12" s="14">
        <v>0.123133663323839</v>
      </c>
      <c r="AK12" s="14">
        <v>8.2496309983549607E-2</v>
      </c>
      <c r="AL12" s="14">
        <v>8.3254429472682301E-2</v>
      </c>
      <c r="AM12" s="14">
        <v>4.0418061851436697E-2</v>
      </c>
      <c r="AN12" s="14">
        <v>3.5896000108661903E-2</v>
      </c>
      <c r="AO12" s="14"/>
      <c r="AP12" s="14">
        <v>7.7254708007130496E-2</v>
      </c>
      <c r="AQ12" s="14">
        <v>6.8632188910294795E-2</v>
      </c>
      <c r="AR12" s="14"/>
      <c r="AS12" s="14">
        <v>5.7707151414689899E-2</v>
      </c>
      <c r="AT12" s="14">
        <v>7.3901541089156794E-2</v>
      </c>
      <c r="AU12" s="14">
        <v>7.6984590751418197E-2</v>
      </c>
      <c r="AV12" s="14"/>
      <c r="AW12" s="14">
        <v>6.9670223426987504E-2</v>
      </c>
      <c r="AX12" s="14">
        <v>7.56614645028474E-2</v>
      </c>
      <c r="AY12" s="14"/>
      <c r="AZ12" s="14">
        <v>7.6228643274654895E-2</v>
      </c>
      <c r="BA12" s="14">
        <v>6.0278187305358402E-2</v>
      </c>
    </row>
    <row r="13" spans="2:53" ht="29" x14ac:dyDescent="0.35">
      <c r="B13" s="15" t="s">
        <v>143</v>
      </c>
      <c r="C13" s="14">
        <v>1.3492454593897901E-2</v>
      </c>
      <c r="D13" s="14">
        <v>1.53782440142379E-2</v>
      </c>
      <c r="E13" s="14">
        <v>1.1618238434060801E-2</v>
      </c>
      <c r="F13" s="14"/>
      <c r="G13" s="14">
        <v>0</v>
      </c>
      <c r="H13" s="14">
        <v>6.3249240224622898E-3</v>
      </c>
      <c r="I13" s="14">
        <v>1.5419893888837201E-2</v>
      </c>
      <c r="J13" s="14">
        <v>1.3047109225591999E-2</v>
      </c>
      <c r="K13" s="14">
        <v>2.0439865625964702E-2</v>
      </c>
      <c r="L13" s="14">
        <v>0</v>
      </c>
      <c r="M13" s="14"/>
      <c r="N13" s="14">
        <v>1.24607925372187E-2</v>
      </c>
      <c r="O13" s="14">
        <v>6.8528335778942802E-3</v>
      </c>
      <c r="P13" s="14">
        <v>9.6841162882527806E-3</v>
      </c>
      <c r="Q13" s="14">
        <v>2.5010771856441499E-2</v>
      </c>
      <c r="R13" s="14"/>
      <c r="S13" s="14">
        <v>1.8494584138840701E-2</v>
      </c>
      <c r="T13" s="14">
        <v>1.20499406680385E-2</v>
      </c>
      <c r="U13" s="14">
        <v>0</v>
      </c>
      <c r="V13" s="14">
        <v>5.9160227444547599E-3</v>
      </c>
      <c r="W13" s="14">
        <v>4.67775171367052E-2</v>
      </c>
      <c r="X13" s="14">
        <v>5.8994042383547799E-3</v>
      </c>
      <c r="Y13" s="14">
        <v>1.6140416675574899E-2</v>
      </c>
      <c r="Z13" s="14">
        <v>1.1455871478189101E-2</v>
      </c>
      <c r="AA13" s="14">
        <v>7.4527601889836899E-3</v>
      </c>
      <c r="AB13" s="14"/>
      <c r="AC13" s="14">
        <v>2.5100479963406499E-2</v>
      </c>
      <c r="AD13" s="14">
        <v>2.3599380179482698E-3</v>
      </c>
      <c r="AE13" s="14">
        <v>3.05731621003339E-3</v>
      </c>
      <c r="AF13" s="14">
        <v>3.2278653566703903E-2</v>
      </c>
      <c r="AG13" s="14">
        <v>5.5897393765437396E-3</v>
      </c>
      <c r="AH13" s="14"/>
      <c r="AI13" s="14">
        <v>1.3899519138198599E-2</v>
      </c>
      <c r="AJ13" s="14">
        <v>1.5841787004035001E-2</v>
      </c>
      <c r="AK13" s="14">
        <v>2.4883517744228801E-2</v>
      </c>
      <c r="AL13" s="14">
        <v>1.18131503616623E-2</v>
      </c>
      <c r="AM13" s="14">
        <v>1.1369135517788599E-2</v>
      </c>
      <c r="AN13" s="14">
        <v>0</v>
      </c>
      <c r="AO13" s="14"/>
      <c r="AP13" s="14">
        <v>1.2918221948357501E-2</v>
      </c>
      <c r="AQ13" s="14">
        <v>1.4182029806045E-2</v>
      </c>
      <c r="AR13" s="14"/>
      <c r="AS13" s="14">
        <v>7.8118089591515004E-3</v>
      </c>
      <c r="AT13" s="14">
        <v>3.1603713164209801E-3</v>
      </c>
      <c r="AU13" s="14">
        <v>1.8076461926585598E-2</v>
      </c>
      <c r="AV13" s="14"/>
      <c r="AW13" s="14">
        <v>1.16739239520412E-2</v>
      </c>
      <c r="AX13" s="14">
        <v>2.5573641016337498E-2</v>
      </c>
      <c r="AY13" s="14"/>
      <c r="AZ13" s="14">
        <v>1.15477030052297E-2</v>
      </c>
      <c r="BA13" s="14">
        <v>2.1027437450205699E-2</v>
      </c>
    </row>
    <row r="14" spans="2:53" ht="29" x14ac:dyDescent="0.35">
      <c r="B14" s="15" t="s">
        <v>144</v>
      </c>
      <c r="C14" s="14">
        <v>1.31328177928396E-3</v>
      </c>
      <c r="D14" s="14">
        <v>2.626786531441E-3</v>
      </c>
      <c r="E14" s="14">
        <v>0</v>
      </c>
      <c r="F14" s="14"/>
      <c r="G14" s="14">
        <v>0</v>
      </c>
      <c r="H14" s="14">
        <v>3.76005063781179E-3</v>
      </c>
      <c r="I14" s="14">
        <v>1.7203918494970701E-3</v>
      </c>
      <c r="J14" s="14">
        <v>0</v>
      </c>
      <c r="K14" s="14">
        <v>0</v>
      </c>
      <c r="L14" s="14">
        <v>0</v>
      </c>
      <c r="M14" s="14"/>
      <c r="N14" s="14">
        <v>2.0867535582765398E-3</v>
      </c>
      <c r="O14" s="14">
        <v>2.9003586548764998E-3</v>
      </c>
      <c r="P14" s="14">
        <v>0</v>
      </c>
      <c r="Q14" s="14">
        <v>0</v>
      </c>
      <c r="R14" s="14"/>
      <c r="S14" s="14">
        <v>0</v>
      </c>
      <c r="T14" s="14">
        <v>0</v>
      </c>
      <c r="U14" s="14">
        <v>0</v>
      </c>
      <c r="V14" s="14">
        <v>1.19453775681885E-2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/>
      <c r="AC14" s="14">
        <v>0</v>
      </c>
      <c r="AD14" s="14">
        <v>0</v>
      </c>
      <c r="AE14" s="14">
        <v>1.93590283764877E-3</v>
      </c>
      <c r="AF14" s="14">
        <v>0</v>
      </c>
      <c r="AG14" s="14">
        <v>0</v>
      </c>
      <c r="AH14" s="14"/>
      <c r="AI14" s="14">
        <v>1.60046972174087E-3</v>
      </c>
      <c r="AJ14" s="14">
        <v>0</v>
      </c>
      <c r="AK14" s="14">
        <v>0</v>
      </c>
      <c r="AL14" s="14">
        <v>4.8802199786541897E-3</v>
      </c>
      <c r="AM14" s="14">
        <v>0</v>
      </c>
      <c r="AN14" s="14">
        <v>0</v>
      </c>
      <c r="AO14" s="14"/>
      <c r="AP14" s="14">
        <v>2.4842595707932399E-3</v>
      </c>
      <c r="AQ14" s="14">
        <v>0</v>
      </c>
      <c r="AR14" s="14"/>
      <c r="AS14" s="14">
        <v>7.6358104748107799E-3</v>
      </c>
      <c r="AT14" s="14">
        <v>0</v>
      </c>
      <c r="AU14" s="14">
        <v>0</v>
      </c>
      <c r="AV14" s="14"/>
      <c r="AW14" s="14">
        <v>9.9994338030468606E-4</v>
      </c>
      <c r="AX14" s="14">
        <v>3.4080048682963199E-3</v>
      </c>
      <c r="AY14" s="14"/>
      <c r="AZ14" s="14">
        <v>1.67290085905467E-3</v>
      </c>
      <c r="BA14" s="14">
        <v>0</v>
      </c>
    </row>
    <row r="15" spans="2:53" x14ac:dyDescent="0.35">
      <c r="B15" s="15" t="s">
        <v>80</v>
      </c>
      <c r="C15" s="23">
        <v>1.49172890410946E-2</v>
      </c>
      <c r="D15" s="23">
        <v>7.7525636957002904E-3</v>
      </c>
      <c r="E15" s="23">
        <v>2.2102205797497599E-2</v>
      </c>
      <c r="F15" s="23"/>
      <c r="G15" s="23">
        <v>0</v>
      </c>
      <c r="H15" s="23">
        <v>1.3559439140751601E-2</v>
      </c>
      <c r="I15" s="23">
        <v>1.8916648337085999E-2</v>
      </c>
      <c r="J15" s="23">
        <v>6.4803923980650702E-3</v>
      </c>
      <c r="K15" s="23">
        <v>4.5460174407328698E-3</v>
      </c>
      <c r="L15" s="23">
        <v>0.148895097137344</v>
      </c>
      <c r="M15" s="23"/>
      <c r="N15" s="23">
        <v>2.15162945634943E-3</v>
      </c>
      <c r="O15" s="23">
        <v>5.2798972752049504E-3</v>
      </c>
      <c r="P15" s="23">
        <v>1.8886682026542201E-2</v>
      </c>
      <c r="Q15" s="23">
        <v>3.5393172941446602E-2</v>
      </c>
      <c r="R15" s="23"/>
      <c r="S15" s="23">
        <v>8.2317533878038893E-3</v>
      </c>
      <c r="T15" s="23">
        <v>3.7876386297443498E-3</v>
      </c>
      <c r="U15" s="23">
        <v>2.9854906942829398E-2</v>
      </c>
      <c r="V15" s="23">
        <v>4.4330167067371098E-2</v>
      </c>
      <c r="W15" s="23">
        <v>2.54913971643158E-2</v>
      </c>
      <c r="X15" s="23">
        <v>1.5544725671332599E-2</v>
      </c>
      <c r="Y15" s="23">
        <v>2.6536762194060001E-3</v>
      </c>
      <c r="Z15" s="23">
        <v>0</v>
      </c>
      <c r="AA15" s="23">
        <v>7.7809997603544203E-3</v>
      </c>
      <c r="AB15" s="23"/>
      <c r="AC15" s="23">
        <v>2.88858331713754E-2</v>
      </c>
      <c r="AD15" s="23">
        <v>1.57623768407541E-2</v>
      </c>
      <c r="AE15" s="23">
        <v>9.1661449953013801E-4</v>
      </c>
      <c r="AF15" s="23">
        <v>6.6711785142391997E-3</v>
      </c>
      <c r="AG15" s="23">
        <v>0</v>
      </c>
      <c r="AH15" s="23"/>
      <c r="AI15" s="23">
        <v>1.02575295872828E-2</v>
      </c>
      <c r="AJ15" s="23">
        <v>3.6053276316378698E-3</v>
      </c>
      <c r="AK15" s="23">
        <v>2.1062151274559099E-2</v>
      </c>
      <c r="AL15" s="23">
        <v>1.6448657020183999E-2</v>
      </c>
      <c r="AM15" s="23">
        <v>1.4119283321532001E-2</v>
      </c>
      <c r="AN15" s="23">
        <v>3.41354876031503E-2</v>
      </c>
      <c r="AO15" s="23"/>
      <c r="AP15" s="23">
        <v>9.1177844906487997E-3</v>
      </c>
      <c r="AQ15" s="23">
        <v>2.1490619582901799E-2</v>
      </c>
      <c r="AR15" s="23"/>
      <c r="AS15" s="23">
        <v>3.78168356951394E-3</v>
      </c>
      <c r="AT15" s="23">
        <v>1.5788996803507E-2</v>
      </c>
      <c r="AU15" s="23">
        <v>1.7656508913170998E-2</v>
      </c>
      <c r="AV15" s="23"/>
      <c r="AW15" s="23">
        <v>1.5241731857959099E-2</v>
      </c>
      <c r="AX15" s="23">
        <v>3.53529993245738E-3</v>
      </c>
      <c r="AY15" s="23"/>
      <c r="AZ15" s="23">
        <v>6.4576215048587696E-3</v>
      </c>
      <c r="BA15" s="23">
        <v>3.08116375051888E-2</v>
      </c>
    </row>
    <row r="16" spans="2:53" x14ac:dyDescent="0.35">
      <c r="B16" s="16"/>
    </row>
    <row r="17" spans="2:2" x14ac:dyDescent="0.35">
      <c r="B17" t="s">
        <v>84</v>
      </c>
    </row>
    <row r="18" spans="2:2" x14ac:dyDescent="0.35">
      <c r="B18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BA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152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139</v>
      </c>
      <c r="C9" s="14">
        <v>0.12187951459256301</v>
      </c>
      <c r="D9" s="14">
        <v>0.13541682325467599</v>
      </c>
      <c r="E9" s="14">
        <v>0.108449545506575</v>
      </c>
      <c r="F9" s="14"/>
      <c r="G9" s="14">
        <v>0</v>
      </c>
      <c r="H9" s="14">
        <v>0.12662087681096401</v>
      </c>
      <c r="I9" s="14">
        <v>0.121943732284176</v>
      </c>
      <c r="J9" s="14">
        <v>0.122236342040074</v>
      </c>
      <c r="K9" s="14">
        <v>0.13110374144349801</v>
      </c>
      <c r="L9" s="14">
        <v>5.3309793839003597E-2</v>
      </c>
      <c r="M9" s="14"/>
      <c r="N9" s="14">
        <v>9.6833205628366906E-2</v>
      </c>
      <c r="O9" s="14">
        <v>0.122218565071064</v>
      </c>
      <c r="P9" s="14">
        <v>0.135054072762547</v>
      </c>
      <c r="Q9" s="14">
        <v>0.138399045006175</v>
      </c>
      <c r="R9" s="14"/>
      <c r="S9" s="14">
        <v>0.14336605243874101</v>
      </c>
      <c r="T9" s="14">
        <v>0.121730937637075</v>
      </c>
      <c r="U9" s="14">
        <v>0.132001504418123</v>
      </c>
      <c r="V9" s="14">
        <v>8.5531845737159204E-2</v>
      </c>
      <c r="W9" s="14">
        <v>0.11986537333335601</v>
      </c>
      <c r="X9" s="14">
        <v>0.185801686347248</v>
      </c>
      <c r="Y9" s="14">
        <v>0.10429586892939</v>
      </c>
      <c r="Z9" s="14">
        <v>7.7560399267247906E-2</v>
      </c>
      <c r="AA9" s="14">
        <v>0.101221948812387</v>
      </c>
      <c r="AB9" s="14"/>
      <c r="AC9" s="14">
        <v>0.122483759729115</v>
      </c>
      <c r="AD9" s="14">
        <v>0.14038147009274701</v>
      </c>
      <c r="AE9" s="14">
        <v>9.3729561281560098E-2</v>
      </c>
      <c r="AF9" s="14">
        <v>0.154056623821751</v>
      </c>
      <c r="AG9" s="14">
        <v>0.128711053411183</v>
      </c>
      <c r="AH9" s="14"/>
      <c r="AI9" s="14">
        <v>0.133789016041019</v>
      </c>
      <c r="AJ9" s="14">
        <v>0.116446739139365</v>
      </c>
      <c r="AK9" s="14">
        <v>0.122108249034866</v>
      </c>
      <c r="AL9" s="14">
        <v>0.10164960129897301</v>
      </c>
      <c r="AM9" s="14">
        <v>0.13830850727687199</v>
      </c>
      <c r="AN9" s="14">
        <v>0.154532291602621</v>
      </c>
      <c r="AO9" s="14"/>
      <c r="AP9" s="14">
        <v>0.12131031760385</v>
      </c>
      <c r="AQ9" s="14">
        <v>0.12291272979611501</v>
      </c>
      <c r="AR9" s="14"/>
      <c r="AS9" s="14">
        <v>0.124113551991865</v>
      </c>
      <c r="AT9" s="14">
        <v>0.11317917008897101</v>
      </c>
      <c r="AU9" s="14">
        <v>0.123850907431476</v>
      </c>
      <c r="AV9" s="14"/>
      <c r="AW9" s="14">
        <v>0.117351811707177</v>
      </c>
      <c r="AX9" s="14">
        <v>0.16116449666170499</v>
      </c>
      <c r="AY9" s="14"/>
      <c r="AZ9" s="14">
        <v>0.12585087047475799</v>
      </c>
      <c r="BA9" s="14">
        <v>0.109634272501363</v>
      </c>
    </row>
    <row r="10" spans="2:53" ht="29" x14ac:dyDescent="0.35">
      <c r="B10" s="15" t="s">
        <v>140</v>
      </c>
      <c r="C10" s="14">
        <v>0.18749794543709</v>
      </c>
      <c r="D10" s="14">
        <v>0.20710241892074499</v>
      </c>
      <c r="E10" s="14">
        <v>0.168059578267237</v>
      </c>
      <c r="F10" s="14"/>
      <c r="G10" s="14">
        <v>0.32125831183088099</v>
      </c>
      <c r="H10" s="14">
        <v>0.19858452573230301</v>
      </c>
      <c r="I10" s="14">
        <v>0.19980544109451701</v>
      </c>
      <c r="J10" s="14">
        <v>0.151947059675961</v>
      </c>
      <c r="K10" s="14">
        <v>0.209980275923179</v>
      </c>
      <c r="L10" s="14">
        <v>0.24563673969366001</v>
      </c>
      <c r="M10" s="14"/>
      <c r="N10" s="14">
        <v>0.179054812174122</v>
      </c>
      <c r="O10" s="14">
        <v>0.17264548408219199</v>
      </c>
      <c r="P10" s="14">
        <v>0.20877461762513799</v>
      </c>
      <c r="Q10" s="14">
        <v>0.19551173988444601</v>
      </c>
      <c r="R10" s="14"/>
      <c r="S10" s="14">
        <v>0.184793029258497</v>
      </c>
      <c r="T10" s="14">
        <v>0.14317764226006799</v>
      </c>
      <c r="U10" s="14">
        <v>0.24868265315629001</v>
      </c>
      <c r="V10" s="14">
        <v>0.17659134630620901</v>
      </c>
      <c r="W10" s="14">
        <v>0.198754481147986</v>
      </c>
      <c r="X10" s="14">
        <v>0.21741023191457201</v>
      </c>
      <c r="Y10" s="14">
        <v>0.12558591021646401</v>
      </c>
      <c r="Z10" s="14">
        <v>0.176127386774795</v>
      </c>
      <c r="AA10" s="14">
        <v>0.22865885351555101</v>
      </c>
      <c r="AB10" s="14"/>
      <c r="AC10" s="14">
        <v>0.20241023416898599</v>
      </c>
      <c r="AD10" s="14">
        <v>0.16670584704035199</v>
      </c>
      <c r="AE10" s="14">
        <v>0.18375817130159999</v>
      </c>
      <c r="AF10" s="14">
        <v>0.21570278962046199</v>
      </c>
      <c r="AG10" s="14">
        <v>0.26043565544527603</v>
      </c>
      <c r="AH10" s="14"/>
      <c r="AI10" s="14">
        <v>0.20056867987876201</v>
      </c>
      <c r="AJ10" s="14">
        <v>0.218001380248775</v>
      </c>
      <c r="AK10" s="14">
        <v>0.17842347174304701</v>
      </c>
      <c r="AL10" s="14">
        <v>0.15946639210383901</v>
      </c>
      <c r="AM10" s="14">
        <v>0.19518903087953299</v>
      </c>
      <c r="AN10" s="14">
        <v>0.12201487825327299</v>
      </c>
      <c r="AO10" s="14"/>
      <c r="AP10" s="14">
        <v>0.20706639665233501</v>
      </c>
      <c r="AQ10" s="14">
        <v>0.16608495596053199</v>
      </c>
      <c r="AR10" s="14"/>
      <c r="AS10" s="14">
        <v>0.20471401730681699</v>
      </c>
      <c r="AT10" s="14">
        <v>0.20374446308271801</v>
      </c>
      <c r="AU10" s="14">
        <v>0.17806048280327699</v>
      </c>
      <c r="AV10" s="14"/>
      <c r="AW10" s="14">
        <v>0.188439003084763</v>
      </c>
      <c r="AX10" s="14">
        <v>0.21898259646697199</v>
      </c>
      <c r="AY10" s="14"/>
      <c r="AZ10" s="14">
        <v>0.18695380622812399</v>
      </c>
      <c r="BA10" s="14">
        <v>0.19346905687577501</v>
      </c>
    </row>
    <row r="11" spans="2:53" ht="58" x14ac:dyDescent="0.35">
      <c r="B11" s="15" t="s">
        <v>141</v>
      </c>
      <c r="C11" s="14">
        <v>0.49705463638715403</v>
      </c>
      <c r="D11" s="14">
        <v>0.45658334879718798</v>
      </c>
      <c r="E11" s="14">
        <v>0.53707067184929103</v>
      </c>
      <c r="F11" s="14"/>
      <c r="G11" s="14">
        <v>0.14264816943094299</v>
      </c>
      <c r="H11" s="14">
        <v>0.475106933087377</v>
      </c>
      <c r="I11" s="14">
        <v>0.48925756370762802</v>
      </c>
      <c r="J11" s="14">
        <v>0.53479966209234997</v>
      </c>
      <c r="K11" s="14">
        <v>0.47723530719305202</v>
      </c>
      <c r="L11" s="14">
        <v>0.434357225800171</v>
      </c>
      <c r="M11" s="14"/>
      <c r="N11" s="14">
        <v>0.52704865339559004</v>
      </c>
      <c r="O11" s="14">
        <v>0.52187725816858099</v>
      </c>
      <c r="P11" s="14">
        <v>0.47908735519353501</v>
      </c>
      <c r="Q11" s="14">
        <v>0.448830810911581</v>
      </c>
      <c r="R11" s="14"/>
      <c r="S11" s="14">
        <v>0.44348303083538099</v>
      </c>
      <c r="T11" s="14">
        <v>0.554813610803359</v>
      </c>
      <c r="U11" s="14">
        <v>0.49556267417514099</v>
      </c>
      <c r="V11" s="14">
        <v>0.480651810584734</v>
      </c>
      <c r="W11" s="14">
        <v>0.47068892643202198</v>
      </c>
      <c r="X11" s="14">
        <v>0.442266223793288</v>
      </c>
      <c r="Y11" s="14">
        <v>0.57246577105472396</v>
      </c>
      <c r="Z11" s="14">
        <v>0.56662921387620102</v>
      </c>
      <c r="AA11" s="14">
        <v>0.48255211567661099</v>
      </c>
      <c r="AB11" s="14"/>
      <c r="AC11" s="14">
        <v>0.488322049661848</v>
      </c>
      <c r="AD11" s="14">
        <v>0.52872364788596005</v>
      </c>
      <c r="AE11" s="14">
        <v>0.51953414088878203</v>
      </c>
      <c r="AF11" s="14">
        <v>0.45200284812987601</v>
      </c>
      <c r="AG11" s="14">
        <v>0.47394350271056901</v>
      </c>
      <c r="AH11" s="14"/>
      <c r="AI11" s="14">
        <v>0.47726013009512902</v>
      </c>
      <c r="AJ11" s="14">
        <v>0.49034839278648801</v>
      </c>
      <c r="AK11" s="14">
        <v>0.47658864787195698</v>
      </c>
      <c r="AL11" s="14">
        <v>0.49779604973969099</v>
      </c>
      <c r="AM11" s="14">
        <v>0.54604542710103099</v>
      </c>
      <c r="AN11" s="14">
        <v>0.54150299932294099</v>
      </c>
      <c r="AO11" s="14"/>
      <c r="AP11" s="14">
        <v>0.48650914616365398</v>
      </c>
      <c r="AQ11" s="14">
        <v>0.509325845115564</v>
      </c>
      <c r="AR11" s="14"/>
      <c r="AS11" s="14">
        <v>0.43915311773570997</v>
      </c>
      <c r="AT11" s="14">
        <v>0.50590767571592998</v>
      </c>
      <c r="AU11" s="14">
        <v>0.51002015250432597</v>
      </c>
      <c r="AV11" s="14"/>
      <c r="AW11" s="14">
        <v>0.50673259836622098</v>
      </c>
      <c r="AX11" s="14">
        <v>0.43879245551607299</v>
      </c>
      <c r="AY11" s="14"/>
      <c r="AZ11" s="14">
        <v>0.50109469805761697</v>
      </c>
      <c r="BA11" s="14">
        <v>0.49000745447458799</v>
      </c>
    </row>
    <row r="12" spans="2:53" ht="29" x14ac:dyDescent="0.35">
      <c r="B12" s="15" t="s">
        <v>142</v>
      </c>
      <c r="C12" s="14">
        <v>0.14961085103322899</v>
      </c>
      <c r="D12" s="14">
        <v>0.15530186065098001</v>
      </c>
      <c r="E12" s="14">
        <v>0.14406034079011501</v>
      </c>
      <c r="F12" s="14"/>
      <c r="G12" s="14">
        <v>0.27372566675780702</v>
      </c>
      <c r="H12" s="14">
        <v>0.16000027124972299</v>
      </c>
      <c r="I12" s="14">
        <v>0.14224576612232001</v>
      </c>
      <c r="J12" s="14">
        <v>0.15621188698399499</v>
      </c>
      <c r="K12" s="14">
        <v>0.14411438713709501</v>
      </c>
      <c r="L12" s="14">
        <v>0.117801143529821</v>
      </c>
      <c r="M12" s="14"/>
      <c r="N12" s="14">
        <v>0.17049107080025799</v>
      </c>
      <c r="O12" s="14">
        <v>0.15541640119956601</v>
      </c>
      <c r="P12" s="14">
        <v>0.13681287068929601</v>
      </c>
      <c r="Q12" s="14">
        <v>0.134037605226588</v>
      </c>
      <c r="R12" s="14"/>
      <c r="S12" s="14">
        <v>0.18613879342008599</v>
      </c>
      <c r="T12" s="14">
        <v>0.14200490551537201</v>
      </c>
      <c r="U12" s="14">
        <v>0.104457959727597</v>
      </c>
      <c r="V12" s="14">
        <v>0.169260317075795</v>
      </c>
      <c r="W12" s="14">
        <v>0.14628487270330701</v>
      </c>
      <c r="X12" s="14">
        <v>0.12818097393119601</v>
      </c>
      <c r="Y12" s="14">
        <v>0.16223685944588001</v>
      </c>
      <c r="Z12" s="14">
        <v>0.15054953811659699</v>
      </c>
      <c r="AA12" s="14">
        <v>0.14099005786961799</v>
      </c>
      <c r="AB12" s="14"/>
      <c r="AC12" s="14">
        <v>0.12820030335735599</v>
      </c>
      <c r="AD12" s="14">
        <v>0.12964617714506799</v>
      </c>
      <c r="AE12" s="14">
        <v>0.18044301800797699</v>
      </c>
      <c r="AF12" s="14">
        <v>0.142415947610537</v>
      </c>
      <c r="AG12" s="14">
        <v>0.117380030246949</v>
      </c>
      <c r="AH12" s="14"/>
      <c r="AI12" s="14">
        <v>0.15261035394581199</v>
      </c>
      <c r="AJ12" s="14">
        <v>0.16177047455393201</v>
      </c>
      <c r="AK12" s="14">
        <v>0.169218149999525</v>
      </c>
      <c r="AL12" s="14">
        <v>0.176190092954747</v>
      </c>
      <c r="AM12" s="14">
        <v>8.3700832251083407E-2</v>
      </c>
      <c r="AN12" s="14">
        <v>0.101316808515275</v>
      </c>
      <c r="AO12" s="14"/>
      <c r="AP12" s="14">
        <v>0.13893875623538601</v>
      </c>
      <c r="AQ12" s="14">
        <v>0.160073686546189</v>
      </c>
      <c r="AR12" s="14"/>
      <c r="AS12" s="14">
        <v>0.19544536971580201</v>
      </c>
      <c r="AT12" s="14">
        <v>0.13240116790435699</v>
      </c>
      <c r="AU12" s="14">
        <v>0.14236400487317499</v>
      </c>
      <c r="AV12" s="14"/>
      <c r="AW12" s="14">
        <v>0.14772423940791399</v>
      </c>
      <c r="AX12" s="14">
        <v>0.15244296895517701</v>
      </c>
      <c r="AY12" s="14"/>
      <c r="AZ12" s="14">
        <v>0.148401427924474</v>
      </c>
      <c r="BA12" s="14">
        <v>0.154637033657164</v>
      </c>
    </row>
    <row r="13" spans="2:53" ht="29" x14ac:dyDescent="0.35">
      <c r="B13" s="15" t="s">
        <v>143</v>
      </c>
      <c r="C13" s="14">
        <v>2.8252553343791401E-2</v>
      </c>
      <c r="D13" s="14">
        <v>3.8381155007623603E-2</v>
      </c>
      <c r="E13" s="14">
        <v>1.8143244152009502E-2</v>
      </c>
      <c r="F13" s="14"/>
      <c r="G13" s="14">
        <v>0.26236785198036899</v>
      </c>
      <c r="H13" s="14">
        <v>2.2227458246334101E-2</v>
      </c>
      <c r="I13" s="14">
        <v>2.85745581428089E-2</v>
      </c>
      <c r="J13" s="14">
        <v>2.7158878937158799E-2</v>
      </c>
      <c r="K13" s="14">
        <v>3.10869308856149E-2</v>
      </c>
      <c r="L13" s="14">
        <v>0</v>
      </c>
      <c r="M13" s="14"/>
      <c r="N13" s="14">
        <v>2.38708593109439E-2</v>
      </c>
      <c r="O13" s="14">
        <v>2.16832847703913E-2</v>
      </c>
      <c r="P13" s="14">
        <v>2.62339483650465E-2</v>
      </c>
      <c r="Q13" s="14">
        <v>4.1912211650167001E-2</v>
      </c>
      <c r="R13" s="14"/>
      <c r="S13" s="14">
        <v>3.2961809189399803E-2</v>
      </c>
      <c r="T13" s="14">
        <v>3.03284685118646E-2</v>
      </c>
      <c r="U13" s="14">
        <v>3.88121159985765E-3</v>
      </c>
      <c r="V13" s="14">
        <v>5.3311078932825801E-2</v>
      </c>
      <c r="W13" s="14">
        <v>3.2284820822186699E-2</v>
      </c>
      <c r="X13" s="14">
        <v>5.5514702316305396E-3</v>
      </c>
      <c r="Y13" s="14">
        <v>2.7247600552256598E-2</v>
      </c>
      <c r="Z13" s="14">
        <v>2.9133461965158699E-2</v>
      </c>
      <c r="AA13" s="14">
        <v>3.26717676651175E-2</v>
      </c>
      <c r="AB13" s="14"/>
      <c r="AC13" s="14">
        <v>3.7824590399579298E-2</v>
      </c>
      <c r="AD13" s="14">
        <v>1.93737882139879E-2</v>
      </c>
      <c r="AE13" s="14">
        <v>1.7800554019850801E-2</v>
      </c>
      <c r="AF13" s="14">
        <v>2.9150612303134801E-2</v>
      </c>
      <c r="AG13" s="14">
        <v>1.9529758186023101E-2</v>
      </c>
      <c r="AH13" s="14"/>
      <c r="AI13" s="14">
        <v>2.1998271689044401E-2</v>
      </c>
      <c r="AJ13" s="14">
        <v>9.8276856398025296E-3</v>
      </c>
      <c r="AK13" s="14">
        <v>3.40095573690994E-2</v>
      </c>
      <c r="AL13" s="14">
        <v>5.32051949295307E-2</v>
      </c>
      <c r="AM13" s="14">
        <v>3.6756202491480101E-2</v>
      </c>
      <c r="AN13" s="14">
        <v>3.1187736257327601E-2</v>
      </c>
      <c r="AO13" s="14"/>
      <c r="AP13" s="14">
        <v>3.6436891630031901E-2</v>
      </c>
      <c r="AQ13" s="14">
        <v>1.9135076691075701E-2</v>
      </c>
      <c r="AR13" s="14"/>
      <c r="AS13" s="14">
        <v>2.9578082476170199E-2</v>
      </c>
      <c r="AT13" s="14">
        <v>2.0813445361084901E-2</v>
      </c>
      <c r="AU13" s="14">
        <v>3.00955158352464E-2</v>
      </c>
      <c r="AV13" s="14"/>
      <c r="AW13" s="14">
        <v>2.3986464496664601E-2</v>
      </c>
      <c r="AX13" s="14">
        <v>2.4184320705386099E-2</v>
      </c>
      <c r="AY13" s="14"/>
      <c r="AZ13" s="14">
        <v>2.93076140766972E-2</v>
      </c>
      <c r="BA13" s="14">
        <v>2.4912619599771799E-2</v>
      </c>
    </row>
    <row r="14" spans="2:53" ht="29" x14ac:dyDescent="0.35">
      <c r="B14" s="15" t="s">
        <v>144</v>
      </c>
      <c r="C14" s="14">
        <v>1.55724949138213E-3</v>
      </c>
      <c r="D14" s="14">
        <v>1.2936296531159701E-3</v>
      </c>
      <c r="E14" s="14">
        <v>1.82258989482475E-3</v>
      </c>
      <c r="F14" s="14"/>
      <c r="G14" s="14">
        <v>0</v>
      </c>
      <c r="H14" s="14">
        <v>0</v>
      </c>
      <c r="I14" s="14">
        <v>2.1980543148582502E-3</v>
      </c>
      <c r="J14" s="14">
        <v>0</v>
      </c>
      <c r="K14" s="14">
        <v>6.4793574175601599E-3</v>
      </c>
      <c r="L14" s="14">
        <v>0</v>
      </c>
      <c r="M14" s="14"/>
      <c r="N14" s="14">
        <v>1.1635899063968599E-3</v>
      </c>
      <c r="O14" s="14">
        <v>2.4963723994747698E-3</v>
      </c>
      <c r="P14" s="14">
        <v>0</v>
      </c>
      <c r="Q14" s="14">
        <v>2.3945727745988202E-3</v>
      </c>
      <c r="R14" s="14"/>
      <c r="S14" s="14">
        <v>1.9609889265924801E-3</v>
      </c>
      <c r="T14" s="14">
        <v>0</v>
      </c>
      <c r="U14" s="14">
        <v>0</v>
      </c>
      <c r="V14" s="14">
        <v>0</v>
      </c>
      <c r="W14" s="14">
        <v>6.6301283968262896E-3</v>
      </c>
      <c r="X14" s="14">
        <v>0</v>
      </c>
      <c r="Y14" s="14">
        <v>0</v>
      </c>
      <c r="Z14" s="14">
        <v>0</v>
      </c>
      <c r="AA14" s="14">
        <v>4.9836421191954503E-3</v>
      </c>
      <c r="AB14" s="14"/>
      <c r="AC14" s="14">
        <v>0</v>
      </c>
      <c r="AD14" s="14">
        <v>2.79790660156372E-3</v>
      </c>
      <c r="AE14" s="14">
        <v>3.3079134014177901E-3</v>
      </c>
      <c r="AF14" s="14">
        <v>0</v>
      </c>
      <c r="AG14" s="14">
        <v>0</v>
      </c>
      <c r="AH14" s="14"/>
      <c r="AI14" s="14">
        <v>2.7347525599683898E-3</v>
      </c>
      <c r="AJ14" s="14">
        <v>0</v>
      </c>
      <c r="AK14" s="14">
        <v>6.6503223413586299E-3</v>
      </c>
      <c r="AL14" s="14">
        <v>0</v>
      </c>
      <c r="AM14" s="14">
        <v>0</v>
      </c>
      <c r="AN14" s="14">
        <v>0</v>
      </c>
      <c r="AO14" s="14"/>
      <c r="AP14" s="14">
        <v>2.9457592529671902E-3</v>
      </c>
      <c r="AQ14" s="14">
        <v>0</v>
      </c>
      <c r="AR14" s="14"/>
      <c r="AS14" s="14">
        <v>0</v>
      </c>
      <c r="AT14" s="14">
        <v>5.0806511018998404E-3</v>
      </c>
      <c r="AU14" s="14">
        <v>9.3450664518904302E-4</v>
      </c>
      <c r="AV14" s="14"/>
      <c r="AW14" s="14">
        <v>2.0722787519981E-3</v>
      </c>
      <c r="AX14" s="14">
        <v>0</v>
      </c>
      <c r="AY14" s="14"/>
      <c r="AZ14" s="14">
        <v>1.5845883932012199E-3</v>
      </c>
      <c r="BA14" s="14">
        <v>1.4880539596080699E-3</v>
      </c>
    </row>
    <row r="15" spans="2:53" x14ac:dyDescent="0.35">
      <c r="B15" s="15" t="s">
        <v>80</v>
      </c>
      <c r="C15" s="23">
        <v>1.4147249714791E-2</v>
      </c>
      <c r="D15" s="23">
        <v>5.9207637156720996E-3</v>
      </c>
      <c r="E15" s="23">
        <v>2.2394029539947201E-2</v>
      </c>
      <c r="F15" s="23"/>
      <c r="G15" s="23">
        <v>0</v>
      </c>
      <c r="H15" s="23">
        <v>1.7459934873299301E-2</v>
      </c>
      <c r="I15" s="23">
        <v>1.5974884333692398E-2</v>
      </c>
      <c r="J15" s="23">
        <v>7.64617027046211E-3</v>
      </c>
      <c r="K15" s="23">
        <v>0</v>
      </c>
      <c r="L15" s="23">
        <v>0.148895097137344</v>
      </c>
      <c r="M15" s="23"/>
      <c r="N15" s="23">
        <v>1.53780878432271E-3</v>
      </c>
      <c r="O15" s="23">
        <v>3.6626343087300898E-3</v>
      </c>
      <c r="P15" s="23">
        <v>1.4037135364438199E-2</v>
      </c>
      <c r="Q15" s="23">
        <v>3.8914014546443297E-2</v>
      </c>
      <c r="R15" s="23"/>
      <c r="S15" s="23">
        <v>7.2962959313025303E-3</v>
      </c>
      <c r="T15" s="23">
        <v>7.9444352722605905E-3</v>
      </c>
      <c r="U15" s="23">
        <v>1.54139969229918E-2</v>
      </c>
      <c r="V15" s="23">
        <v>3.4653601363277102E-2</v>
      </c>
      <c r="W15" s="23">
        <v>2.54913971643158E-2</v>
      </c>
      <c r="X15" s="23">
        <v>2.0789413782065499E-2</v>
      </c>
      <c r="Y15" s="23">
        <v>8.1679898012856703E-3</v>
      </c>
      <c r="Z15" s="23">
        <v>0</v>
      </c>
      <c r="AA15" s="23">
        <v>8.9216143415203394E-3</v>
      </c>
      <c r="AB15" s="23"/>
      <c r="AC15" s="23">
        <v>2.0759062683114601E-2</v>
      </c>
      <c r="AD15" s="23">
        <v>1.23711630203202E-2</v>
      </c>
      <c r="AE15" s="23">
        <v>1.4266410988129699E-3</v>
      </c>
      <c r="AF15" s="23">
        <v>6.6711785142391997E-3</v>
      </c>
      <c r="AG15" s="23">
        <v>0</v>
      </c>
      <c r="AH15" s="23"/>
      <c r="AI15" s="23">
        <v>1.10387957902647E-2</v>
      </c>
      <c r="AJ15" s="23">
        <v>3.6053276316378698E-3</v>
      </c>
      <c r="AK15" s="23">
        <v>1.3001601640146101E-2</v>
      </c>
      <c r="AL15" s="23">
        <v>1.1692668973218299E-2</v>
      </c>
      <c r="AM15" s="23">
        <v>0</v>
      </c>
      <c r="AN15" s="23">
        <v>4.9445286048562201E-2</v>
      </c>
      <c r="AO15" s="23"/>
      <c r="AP15" s="23">
        <v>6.7927324617767099E-3</v>
      </c>
      <c r="AQ15" s="23">
        <v>2.2467705890523899E-2</v>
      </c>
      <c r="AR15" s="23"/>
      <c r="AS15" s="23">
        <v>6.9958607736345796E-3</v>
      </c>
      <c r="AT15" s="23">
        <v>1.88734267450394E-2</v>
      </c>
      <c r="AU15" s="23">
        <v>1.4674429907312001E-2</v>
      </c>
      <c r="AV15" s="23"/>
      <c r="AW15" s="23">
        <v>1.36936041852622E-2</v>
      </c>
      <c r="AX15" s="23">
        <v>4.4331616946869396E-3</v>
      </c>
      <c r="AY15" s="23"/>
      <c r="AZ15" s="23">
        <v>6.8069948451286097E-3</v>
      </c>
      <c r="BA15" s="23">
        <v>2.58515089317299E-2</v>
      </c>
    </row>
    <row r="16" spans="2:53" x14ac:dyDescent="0.35">
      <c r="B16" s="16"/>
    </row>
    <row r="17" spans="2:2" x14ac:dyDescent="0.35">
      <c r="B17" t="s">
        <v>84</v>
      </c>
    </row>
    <row r="18" spans="2:2" x14ac:dyDescent="0.35">
      <c r="B18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BA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153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139</v>
      </c>
      <c r="C9" s="14">
        <v>0.32712010169226002</v>
      </c>
      <c r="D9" s="14">
        <v>0.37984173224048001</v>
      </c>
      <c r="E9" s="14">
        <v>0.27467346281830202</v>
      </c>
      <c r="F9" s="14"/>
      <c r="G9" s="14">
        <v>0.33515900218295103</v>
      </c>
      <c r="H9" s="14">
        <v>0.28200517303433498</v>
      </c>
      <c r="I9" s="14">
        <v>0.300860015951599</v>
      </c>
      <c r="J9" s="14">
        <v>0.351592042978912</v>
      </c>
      <c r="K9" s="14">
        <v>0.45295110173111403</v>
      </c>
      <c r="L9" s="14">
        <v>0.27451692492615498</v>
      </c>
      <c r="M9" s="14"/>
      <c r="N9" s="14">
        <v>0.34673826063578</v>
      </c>
      <c r="O9" s="14">
        <v>0.30755202201599102</v>
      </c>
      <c r="P9" s="14">
        <v>0.324778885246923</v>
      </c>
      <c r="Q9" s="14">
        <v>0.32492677547929599</v>
      </c>
      <c r="R9" s="14"/>
      <c r="S9" s="14">
        <v>0.349328412115613</v>
      </c>
      <c r="T9" s="14">
        <v>0.33315849775033002</v>
      </c>
      <c r="U9" s="14">
        <v>0.32863182859141798</v>
      </c>
      <c r="V9" s="14">
        <v>0.23901434104953501</v>
      </c>
      <c r="W9" s="14">
        <v>0.33895692711693198</v>
      </c>
      <c r="X9" s="14">
        <v>0.34954038693415301</v>
      </c>
      <c r="Y9" s="14">
        <v>0.278435972410772</v>
      </c>
      <c r="Z9" s="14">
        <v>0.34254101207057902</v>
      </c>
      <c r="AA9" s="14">
        <v>0.37195996081326599</v>
      </c>
      <c r="AB9" s="14"/>
      <c r="AC9" s="14">
        <v>0.31082738960434098</v>
      </c>
      <c r="AD9" s="14">
        <v>0.34411770161329902</v>
      </c>
      <c r="AE9" s="14">
        <v>0.31353451618493999</v>
      </c>
      <c r="AF9" s="14">
        <v>0.334628607886994</v>
      </c>
      <c r="AG9" s="14">
        <v>0.37350096282935802</v>
      </c>
      <c r="AH9" s="14"/>
      <c r="AI9" s="14">
        <v>0.349476361200031</v>
      </c>
      <c r="AJ9" s="14">
        <v>0.32860652734204698</v>
      </c>
      <c r="AK9" s="14">
        <v>0.35333773307844302</v>
      </c>
      <c r="AL9" s="14">
        <v>0.32416022845771802</v>
      </c>
      <c r="AM9" s="14">
        <v>0.31480741668456702</v>
      </c>
      <c r="AN9" s="14">
        <v>0.30487983222141202</v>
      </c>
      <c r="AO9" s="14"/>
      <c r="AP9" s="14">
        <v>0.33057580506971301</v>
      </c>
      <c r="AQ9" s="14">
        <v>0.323619374204551</v>
      </c>
      <c r="AR9" s="14"/>
      <c r="AS9" s="14">
        <v>0.32730144920000598</v>
      </c>
      <c r="AT9" s="14">
        <v>0.28768592754739503</v>
      </c>
      <c r="AU9" s="14">
        <v>0.33873179115569602</v>
      </c>
      <c r="AV9" s="14"/>
      <c r="AW9" s="14">
        <v>0.324483723055774</v>
      </c>
      <c r="AX9" s="14">
        <v>0.39262938204483999</v>
      </c>
      <c r="AY9" s="14"/>
      <c r="AZ9" s="14">
        <v>0.340674384599923</v>
      </c>
      <c r="BA9" s="14">
        <v>0.28345872250978799</v>
      </c>
    </row>
    <row r="10" spans="2:53" ht="29" x14ac:dyDescent="0.35">
      <c r="B10" s="15" t="s">
        <v>140</v>
      </c>
      <c r="C10" s="14">
        <v>0.33319543976384403</v>
      </c>
      <c r="D10" s="14">
        <v>0.32515409652171601</v>
      </c>
      <c r="E10" s="14">
        <v>0.34156625062240598</v>
      </c>
      <c r="F10" s="14"/>
      <c r="G10" s="14">
        <v>0.44949910000115401</v>
      </c>
      <c r="H10" s="14">
        <v>0.34257199539850502</v>
      </c>
      <c r="I10" s="14">
        <v>0.35091554699378102</v>
      </c>
      <c r="J10" s="14">
        <v>0.30888346431538799</v>
      </c>
      <c r="K10" s="14">
        <v>0.30795659541591103</v>
      </c>
      <c r="L10" s="14">
        <v>0.32538096763855201</v>
      </c>
      <c r="M10" s="14"/>
      <c r="N10" s="14">
        <v>0.33920780596811501</v>
      </c>
      <c r="O10" s="14">
        <v>0.36392321007002498</v>
      </c>
      <c r="P10" s="14">
        <v>0.34715605470545202</v>
      </c>
      <c r="Q10" s="14">
        <v>0.28449160876852903</v>
      </c>
      <c r="R10" s="14"/>
      <c r="S10" s="14">
        <v>0.31311938152048002</v>
      </c>
      <c r="T10" s="14">
        <v>0.32853320980799</v>
      </c>
      <c r="U10" s="14">
        <v>0.32039776189279401</v>
      </c>
      <c r="V10" s="14">
        <v>0.450321936708241</v>
      </c>
      <c r="W10" s="14">
        <v>0.319319322389501</v>
      </c>
      <c r="X10" s="14">
        <v>0.29410882655463799</v>
      </c>
      <c r="Y10" s="14">
        <v>0.35063273426133601</v>
      </c>
      <c r="Z10" s="14">
        <v>0.35415306653849898</v>
      </c>
      <c r="AA10" s="14">
        <v>0.29261237844257298</v>
      </c>
      <c r="AB10" s="14"/>
      <c r="AC10" s="14">
        <v>0.302293943815375</v>
      </c>
      <c r="AD10" s="14">
        <v>0.32231213297408901</v>
      </c>
      <c r="AE10" s="14">
        <v>0.36114905728393498</v>
      </c>
      <c r="AF10" s="14">
        <v>0.340733517321549</v>
      </c>
      <c r="AG10" s="14">
        <v>0.30203848534337902</v>
      </c>
      <c r="AH10" s="14"/>
      <c r="AI10" s="14">
        <v>0.31643287263646402</v>
      </c>
      <c r="AJ10" s="14">
        <v>0.37266368149602702</v>
      </c>
      <c r="AK10" s="14">
        <v>0.33931117841222103</v>
      </c>
      <c r="AL10" s="14">
        <v>0.33079903276654699</v>
      </c>
      <c r="AM10" s="14">
        <v>0.36405528837441897</v>
      </c>
      <c r="AN10" s="14">
        <v>0.29602214538992999</v>
      </c>
      <c r="AO10" s="14"/>
      <c r="AP10" s="14">
        <v>0.33808265015482197</v>
      </c>
      <c r="AQ10" s="14">
        <v>0.32877045288343798</v>
      </c>
      <c r="AR10" s="14"/>
      <c r="AS10" s="14">
        <v>0.35462534589432498</v>
      </c>
      <c r="AT10" s="14">
        <v>0.35589135528416299</v>
      </c>
      <c r="AU10" s="14">
        <v>0.32071683135443602</v>
      </c>
      <c r="AV10" s="14"/>
      <c r="AW10" s="14">
        <v>0.34481181896763802</v>
      </c>
      <c r="AX10" s="14">
        <v>0.29154780343033998</v>
      </c>
      <c r="AY10" s="14"/>
      <c r="AZ10" s="14">
        <v>0.32568025666563399</v>
      </c>
      <c r="BA10" s="14">
        <v>0.36822247749074499</v>
      </c>
    </row>
    <row r="11" spans="2:53" ht="58" x14ac:dyDescent="0.35">
      <c r="B11" s="15" t="s">
        <v>141</v>
      </c>
      <c r="C11" s="14">
        <v>0.29359559373611999</v>
      </c>
      <c r="D11" s="14">
        <v>0.250682945293073</v>
      </c>
      <c r="E11" s="14">
        <v>0.335857685671685</v>
      </c>
      <c r="F11" s="14"/>
      <c r="G11" s="14">
        <v>0.106726992300354</v>
      </c>
      <c r="H11" s="14">
        <v>0.32725582050248098</v>
      </c>
      <c r="I11" s="14">
        <v>0.29715367946106702</v>
      </c>
      <c r="J11" s="14">
        <v>0.29966291513063897</v>
      </c>
      <c r="K11" s="14">
        <v>0.220198276078241</v>
      </c>
      <c r="L11" s="14">
        <v>0.25120701029794801</v>
      </c>
      <c r="M11" s="14"/>
      <c r="N11" s="14">
        <v>0.280976803399825</v>
      </c>
      <c r="O11" s="14">
        <v>0.30138283839568603</v>
      </c>
      <c r="P11" s="14">
        <v>0.27054931270142801</v>
      </c>
      <c r="Q11" s="14">
        <v>0.32027665280456802</v>
      </c>
      <c r="R11" s="14"/>
      <c r="S11" s="14">
        <v>0.265367521088336</v>
      </c>
      <c r="T11" s="14">
        <v>0.299810771428631</v>
      </c>
      <c r="U11" s="14">
        <v>0.31889075217408303</v>
      </c>
      <c r="V11" s="14">
        <v>0.24428040512038701</v>
      </c>
      <c r="W11" s="14">
        <v>0.29086896874092999</v>
      </c>
      <c r="X11" s="14">
        <v>0.32140544085588102</v>
      </c>
      <c r="Y11" s="14">
        <v>0.29801035316998697</v>
      </c>
      <c r="Z11" s="14">
        <v>0.303305921390922</v>
      </c>
      <c r="AA11" s="14">
        <v>0.316197303250976</v>
      </c>
      <c r="AB11" s="14"/>
      <c r="AC11" s="14">
        <v>0.31996084262965901</v>
      </c>
      <c r="AD11" s="14">
        <v>0.29396876672279898</v>
      </c>
      <c r="AE11" s="14">
        <v>0.29514466236418402</v>
      </c>
      <c r="AF11" s="14">
        <v>0.28494427146122298</v>
      </c>
      <c r="AG11" s="14">
        <v>0.28929310291107102</v>
      </c>
      <c r="AH11" s="14"/>
      <c r="AI11" s="14">
        <v>0.28220809933806601</v>
      </c>
      <c r="AJ11" s="14">
        <v>0.25872667103904301</v>
      </c>
      <c r="AK11" s="14">
        <v>0.26208943835849402</v>
      </c>
      <c r="AL11" s="14">
        <v>0.29039264123486203</v>
      </c>
      <c r="AM11" s="14">
        <v>0.31922063455628602</v>
      </c>
      <c r="AN11" s="14">
        <v>0.33953457348632099</v>
      </c>
      <c r="AO11" s="14"/>
      <c r="AP11" s="14">
        <v>0.297857679740134</v>
      </c>
      <c r="AQ11" s="14">
        <v>0.28719038277036402</v>
      </c>
      <c r="AR11" s="14"/>
      <c r="AS11" s="14">
        <v>0.26659183980777001</v>
      </c>
      <c r="AT11" s="14">
        <v>0.31969609323343601</v>
      </c>
      <c r="AU11" s="14">
        <v>0.293145452742961</v>
      </c>
      <c r="AV11" s="14"/>
      <c r="AW11" s="14">
        <v>0.291868826378965</v>
      </c>
      <c r="AX11" s="14">
        <v>0.258813306586958</v>
      </c>
      <c r="AY11" s="14"/>
      <c r="AZ11" s="14">
        <v>0.29068730477117299</v>
      </c>
      <c r="BA11" s="14">
        <v>0.30554963970657301</v>
      </c>
    </row>
    <row r="12" spans="2:53" ht="29" x14ac:dyDescent="0.35">
      <c r="B12" s="15" t="s">
        <v>142</v>
      </c>
      <c r="C12" s="14">
        <v>1.6611984632594001E-2</v>
      </c>
      <c r="D12" s="14">
        <v>2.0034563082186499E-2</v>
      </c>
      <c r="E12" s="14">
        <v>1.3202775063007301E-2</v>
      </c>
      <c r="F12" s="14"/>
      <c r="G12" s="14">
        <v>0</v>
      </c>
      <c r="H12" s="14">
        <v>2.5555825653012398E-2</v>
      </c>
      <c r="I12" s="14">
        <v>1.9296379984488E-2</v>
      </c>
      <c r="J12" s="14">
        <v>1.4497343766576701E-2</v>
      </c>
      <c r="K12" s="14">
        <v>0</v>
      </c>
      <c r="L12" s="14">
        <v>0</v>
      </c>
      <c r="M12" s="14"/>
      <c r="N12" s="14">
        <v>1.90766907180752E-2</v>
      </c>
      <c r="O12" s="14">
        <v>8.1993958114050403E-3</v>
      </c>
      <c r="P12" s="14">
        <v>2.3854425769235701E-2</v>
      </c>
      <c r="Q12" s="14">
        <v>1.65133526287417E-2</v>
      </c>
      <c r="R12" s="14"/>
      <c r="S12" s="14">
        <v>3.6100013373911097E-2</v>
      </c>
      <c r="T12" s="14">
        <v>7.9476559444094201E-3</v>
      </c>
      <c r="U12" s="14">
        <v>1.15390349997813E-2</v>
      </c>
      <c r="V12" s="14">
        <v>1.6137127310011101E-2</v>
      </c>
      <c r="W12" s="14">
        <v>1.8443210766375302E-2</v>
      </c>
      <c r="X12" s="14">
        <v>1.00276679916216E-2</v>
      </c>
      <c r="Y12" s="14">
        <v>3.81942120443916E-2</v>
      </c>
      <c r="Z12" s="14">
        <v>0</v>
      </c>
      <c r="AA12" s="14">
        <v>1.1406145811659199E-3</v>
      </c>
      <c r="AB12" s="14"/>
      <c r="AC12" s="14">
        <v>1.6377207242002399E-2</v>
      </c>
      <c r="AD12" s="14">
        <v>1.9961652454242699E-2</v>
      </c>
      <c r="AE12" s="14">
        <v>1.2173096712312301E-2</v>
      </c>
      <c r="AF12" s="14">
        <v>1.7126432867373E-2</v>
      </c>
      <c r="AG12" s="14">
        <v>6.5828980401571001E-3</v>
      </c>
      <c r="AH12" s="14"/>
      <c r="AI12" s="14">
        <v>2.9251577531052501E-2</v>
      </c>
      <c r="AJ12" s="14">
        <v>1.9294813141726999E-2</v>
      </c>
      <c r="AK12" s="14">
        <v>6.4126971782978099E-3</v>
      </c>
      <c r="AL12" s="14">
        <v>1.30459608845128E-2</v>
      </c>
      <c r="AM12" s="14">
        <v>0</v>
      </c>
      <c r="AN12" s="14">
        <v>4.5619700512029996E-3</v>
      </c>
      <c r="AO12" s="14"/>
      <c r="AP12" s="14">
        <v>1.19906699482495E-2</v>
      </c>
      <c r="AQ12" s="14">
        <v>2.1865148006475901E-2</v>
      </c>
      <c r="AR12" s="14"/>
      <c r="AS12" s="14">
        <v>3.1922665596602402E-2</v>
      </c>
      <c r="AT12" s="14">
        <v>1.3022683833072399E-2</v>
      </c>
      <c r="AU12" s="14">
        <v>1.35526856225399E-2</v>
      </c>
      <c r="AV12" s="14"/>
      <c r="AW12" s="14">
        <v>1.7376322804213501E-2</v>
      </c>
      <c r="AX12" s="14">
        <v>1.8205570292000199E-2</v>
      </c>
      <c r="AY12" s="14"/>
      <c r="AZ12" s="14">
        <v>1.8764825156727699E-2</v>
      </c>
      <c r="BA12" s="14">
        <v>8.9340666013249595E-3</v>
      </c>
    </row>
    <row r="13" spans="2:53" ht="29" x14ac:dyDescent="0.35">
      <c r="B13" s="15" t="s">
        <v>143</v>
      </c>
      <c r="C13" s="14">
        <v>6.6898098361516996E-3</v>
      </c>
      <c r="D13" s="14">
        <v>8.5840331864040307E-3</v>
      </c>
      <c r="E13" s="14">
        <v>4.8005577402928396E-3</v>
      </c>
      <c r="F13" s="14"/>
      <c r="G13" s="14">
        <v>0</v>
      </c>
      <c r="H13" s="14">
        <v>1.7803151248407701E-3</v>
      </c>
      <c r="I13" s="14">
        <v>3.9444620242609302E-3</v>
      </c>
      <c r="J13" s="14">
        <v>1.12207970569141E-2</v>
      </c>
      <c r="K13" s="14">
        <v>1.4348009334001601E-2</v>
      </c>
      <c r="L13" s="14">
        <v>0</v>
      </c>
      <c r="M13" s="14"/>
      <c r="N13" s="14">
        <v>9.4997519177209798E-3</v>
      </c>
      <c r="O13" s="14">
        <v>6.8707360413064597E-3</v>
      </c>
      <c r="P13" s="14">
        <v>2.2961721672115402E-3</v>
      </c>
      <c r="Q13" s="14">
        <v>7.4108455410192399E-3</v>
      </c>
      <c r="R13" s="14"/>
      <c r="S13" s="14">
        <v>9.4581807633533702E-3</v>
      </c>
      <c r="T13" s="14">
        <v>4.3758886069926797E-3</v>
      </c>
      <c r="U13" s="14">
        <v>1.31917471642656E-2</v>
      </c>
      <c r="V13" s="14">
        <v>0</v>
      </c>
      <c r="W13" s="14">
        <v>6.9201738219462402E-3</v>
      </c>
      <c r="X13" s="14">
        <v>9.3729519923733302E-3</v>
      </c>
      <c r="Y13" s="14">
        <v>9.0068665698292902E-3</v>
      </c>
      <c r="Z13" s="14">
        <v>0</v>
      </c>
      <c r="AA13" s="14">
        <v>5.3251010324699101E-3</v>
      </c>
      <c r="AB13" s="14"/>
      <c r="AC13" s="14">
        <v>1.20971409653027E-2</v>
      </c>
      <c r="AD13" s="14">
        <v>2.3599380179482698E-3</v>
      </c>
      <c r="AE13" s="14">
        <v>6.4696177871159596E-3</v>
      </c>
      <c r="AF13" s="14">
        <v>6.4766899070642196E-3</v>
      </c>
      <c r="AG13" s="14">
        <v>4.12371804303884E-3</v>
      </c>
      <c r="AH13" s="14"/>
      <c r="AI13" s="14">
        <v>2.3052592974239601E-3</v>
      </c>
      <c r="AJ13" s="14">
        <v>6.98208329411868E-3</v>
      </c>
      <c r="AK13" s="14">
        <v>8.9990013759166897E-3</v>
      </c>
      <c r="AL13" s="14">
        <v>1.6401947900902401E-2</v>
      </c>
      <c r="AM13" s="14">
        <v>1.91666038472801E-3</v>
      </c>
      <c r="AN13" s="14">
        <v>9.2391271112842403E-3</v>
      </c>
      <c r="AO13" s="14"/>
      <c r="AP13" s="14">
        <v>7.3243909884335399E-3</v>
      </c>
      <c r="AQ13" s="14">
        <v>5.9973767495666696E-3</v>
      </c>
      <c r="AR13" s="14"/>
      <c r="AS13" s="14">
        <v>9.5106357616984005E-3</v>
      </c>
      <c r="AT13" s="14">
        <v>0</v>
      </c>
      <c r="AU13" s="14">
        <v>7.9087719534470993E-3</v>
      </c>
      <c r="AV13" s="14"/>
      <c r="AW13" s="14">
        <v>2.7507415559161899E-3</v>
      </c>
      <c r="AX13" s="14">
        <v>1.37736607090202E-2</v>
      </c>
      <c r="AY13" s="14"/>
      <c r="AZ13" s="14">
        <v>6.9892393093937298E-3</v>
      </c>
      <c r="BA13" s="14">
        <v>5.7139973620090202E-3</v>
      </c>
    </row>
    <row r="14" spans="2:53" ht="29" x14ac:dyDescent="0.35">
      <c r="B14" s="15" t="s">
        <v>144</v>
      </c>
      <c r="C14" s="14">
        <v>4.0521878544616096E-3</v>
      </c>
      <c r="D14" s="14">
        <v>5.6105586980862597E-3</v>
      </c>
      <c r="E14" s="14">
        <v>2.4964995988405502E-3</v>
      </c>
      <c r="F14" s="14"/>
      <c r="G14" s="14">
        <v>0.108614905515542</v>
      </c>
      <c r="H14" s="14">
        <v>0</v>
      </c>
      <c r="I14" s="14">
        <v>7.9430875788611896E-3</v>
      </c>
      <c r="J14" s="14">
        <v>0</v>
      </c>
      <c r="K14" s="14">
        <v>0</v>
      </c>
      <c r="L14" s="14">
        <v>0</v>
      </c>
      <c r="M14" s="14"/>
      <c r="N14" s="14">
        <v>5.8256328439596904E-4</v>
      </c>
      <c r="O14" s="14">
        <v>2.64528220344161E-3</v>
      </c>
      <c r="P14" s="14">
        <v>4.5132516198188501E-3</v>
      </c>
      <c r="Q14" s="14">
        <v>8.9012307006213903E-3</v>
      </c>
      <c r="R14" s="14"/>
      <c r="S14" s="14">
        <v>8.9196298911829296E-3</v>
      </c>
      <c r="T14" s="14">
        <v>1.6439074569435101E-2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/>
      <c r="AC14" s="14">
        <v>4.8684144352837801E-3</v>
      </c>
      <c r="AD14" s="14">
        <v>0</v>
      </c>
      <c r="AE14" s="14">
        <v>2.3613664725803899E-3</v>
      </c>
      <c r="AF14" s="14">
        <v>7.6458535783513601E-3</v>
      </c>
      <c r="AG14" s="14">
        <v>2.4460832832996299E-2</v>
      </c>
      <c r="AH14" s="14"/>
      <c r="AI14" s="14">
        <v>1.95221344160489E-3</v>
      </c>
      <c r="AJ14" s="14">
        <v>1.0120896055399901E-2</v>
      </c>
      <c r="AK14" s="14">
        <v>1.10254209069219E-2</v>
      </c>
      <c r="AL14" s="14">
        <v>3.7853489888101601E-3</v>
      </c>
      <c r="AM14" s="14">
        <v>0</v>
      </c>
      <c r="AN14" s="14">
        <v>0</v>
      </c>
      <c r="AO14" s="14"/>
      <c r="AP14" s="14">
        <v>2.6956619596834202E-3</v>
      </c>
      <c r="AQ14" s="14">
        <v>5.5915288992249602E-3</v>
      </c>
      <c r="AR14" s="14"/>
      <c r="AS14" s="14">
        <v>3.3888253078113999E-3</v>
      </c>
      <c r="AT14" s="14">
        <v>0</v>
      </c>
      <c r="AU14" s="14">
        <v>5.4289343824248902E-3</v>
      </c>
      <c r="AV14" s="14"/>
      <c r="AW14" s="14">
        <v>1.3175213688847701E-3</v>
      </c>
      <c r="AX14" s="14">
        <v>1.4544178268986499E-2</v>
      </c>
      <c r="AY14" s="14"/>
      <c r="AZ14" s="14">
        <v>5.1618081128604098E-3</v>
      </c>
      <c r="BA14" s="14">
        <v>0</v>
      </c>
    </row>
    <row r="15" spans="2:53" x14ac:dyDescent="0.35">
      <c r="B15" s="15" t="s">
        <v>80</v>
      </c>
      <c r="C15" s="23">
        <v>1.8734882484568099E-2</v>
      </c>
      <c r="D15" s="23">
        <v>1.00920709780542E-2</v>
      </c>
      <c r="E15" s="23">
        <v>2.7402768485466598E-2</v>
      </c>
      <c r="F15" s="23"/>
      <c r="G15" s="23">
        <v>0</v>
      </c>
      <c r="H15" s="23">
        <v>2.0830870286825998E-2</v>
      </c>
      <c r="I15" s="23">
        <v>1.9886828005942599E-2</v>
      </c>
      <c r="J15" s="23">
        <v>1.41434367515706E-2</v>
      </c>
      <c r="K15" s="23">
        <v>4.5460174407328698E-3</v>
      </c>
      <c r="L15" s="23">
        <v>0.148895097137344</v>
      </c>
      <c r="M15" s="23"/>
      <c r="N15" s="23">
        <v>3.9181240760878498E-3</v>
      </c>
      <c r="O15" s="23">
        <v>9.4265154621446193E-3</v>
      </c>
      <c r="P15" s="23">
        <v>2.68518977899313E-2</v>
      </c>
      <c r="Q15" s="23">
        <v>3.7479534077224999E-2</v>
      </c>
      <c r="R15" s="23"/>
      <c r="S15" s="23">
        <v>1.7706861247123101E-2</v>
      </c>
      <c r="T15" s="23">
        <v>9.7349018922119595E-3</v>
      </c>
      <c r="U15" s="23">
        <v>7.3488751776576303E-3</v>
      </c>
      <c r="V15" s="23">
        <v>5.0246189811825902E-2</v>
      </c>
      <c r="W15" s="23">
        <v>2.54913971643158E-2</v>
      </c>
      <c r="X15" s="23">
        <v>1.5544725671332599E-2</v>
      </c>
      <c r="Y15" s="23">
        <v>2.5719861543684601E-2</v>
      </c>
      <c r="Z15" s="23">
        <v>0</v>
      </c>
      <c r="AA15" s="23">
        <v>1.27646418795499E-2</v>
      </c>
      <c r="AB15" s="23"/>
      <c r="AC15" s="23">
        <v>3.3575061308036801E-2</v>
      </c>
      <c r="AD15" s="23">
        <v>1.7279808217621699E-2</v>
      </c>
      <c r="AE15" s="23">
        <v>9.1676831949321792E-3</v>
      </c>
      <c r="AF15" s="23">
        <v>8.4446269774454599E-3</v>
      </c>
      <c r="AG15" s="23">
        <v>0</v>
      </c>
      <c r="AH15" s="23"/>
      <c r="AI15" s="23">
        <v>1.8373616555358199E-2</v>
      </c>
      <c r="AJ15" s="23">
        <v>3.6053276316378698E-3</v>
      </c>
      <c r="AK15" s="23">
        <v>1.8824530689706499E-2</v>
      </c>
      <c r="AL15" s="23">
        <v>2.1414839766647702E-2</v>
      </c>
      <c r="AM15" s="23">
        <v>0</v>
      </c>
      <c r="AN15" s="23">
        <v>4.5762351739849001E-2</v>
      </c>
      <c r="AO15" s="23"/>
      <c r="AP15" s="23">
        <v>1.14731421389642E-2</v>
      </c>
      <c r="AQ15" s="23">
        <v>2.6965736486379299E-2</v>
      </c>
      <c r="AR15" s="23"/>
      <c r="AS15" s="23">
        <v>6.6592384317869097E-3</v>
      </c>
      <c r="AT15" s="23">
        <v>2.37039401019341E-2</v>
      </c>
      <c r="AU15" s="23">
        <v>2.0515532788496001E-2</v>
      </c>
      <c r="AV15" s="23"/>
      <c r="AW15" s="23">
        <v>1.7391045868608599E-2</v>
      </c>
      <c r="AX15" s="23">
        <v>1.04860986678542E-2</v>
      </c>
      <c r="AY15" s="23"/>
      <c r="AZ15" s="23">
        <v>1.20421813842881E-2</v>
      </c>
      <c r="BA15" s="23">
        <v>2.8121096329559499E-2</v>
      </c>
    </row>
    <row r="16" spans="2:53" x14ac:dyDescent="0.35">
      <c r="B16" s="16"/>
    </row>
    <row r="17" spans="2:2" x14ac:dyDescent="0.35">
      <c r="B17" t="s">
        <v>84</v>
      </c>
    </row>
    <row r="18" spans="2:2" x14ac:dyDescent="0.35">
      <c r="B18" t="s">
        <v>85</v>
      </c>
    </row>
    <row r="20" spans="2:2" x14ac:dyDescent="0.35">
      <c r="B2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156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154</v>
      </c>
      <c r="C9" s="14">
        <v>0.48055055638501398</v>
      </c>
      <c r="D9" s="14">
        <v>0.54645527171893904</v>
      </c>
      <c r="E9" s="14">
        <v>0.415059044629639</v>
      </c>
      <c r="F9" s="14"/>
      <c r="G9" s="14">
        <v>0.95284747022808303</v>
      </c>
      <c r="H9" s="14">
        <v>0.56456282956881698</v>
      </c>
      <c r="I9" s="14">
        <v>0.494857125854127</v>
      </c>
      <c r="J9" s="14">
        <v>0.43285408904214401</v>
      </c>
      <c r="K9" s="14">
        <v>0.41895449137256902</v>
      </c>
      <c r="L9" s="14">
        <v>0.39493726070712398</v>
      </c>
      <c r="M9" s="14"/>
      <c r="N9" s="14">
        <v>0.64743378109180505</v>
      </c>
      <c r="O9" s="14">
        <v>0.457858267998347</v>
      </c>
      <c r="P9" s="14">
        <v>0.44011585897986899</v>
      </c>
      <c r="Q9" s="14">
        <v>0.36003053837834897</v>
      </c>
      <c r="R9" s="14"/>
      <c r="S9" s="14">
        <v>0.66508597632854205</v>
      </c>
      <c r="T9" s="14">
        <v>0.46528579588007901</v>
      </c>
      <c r="U9" s="14">
        <v>0.399015895478949</v>
      </c>
      <c r="V9" s="14">
        <v>0.42822152051302798</v>
      </c>
      <c r="W9" s="14">
        <v>0.45940069603157302</v>
      </c>
      <c r="X9" s="14">
        <v>0.427651054013934</v>
      </c>
      <c r="Y9" s="14">
        <v>0.46904348908793297</v>
      </c>
      <c r="Z9" s="14">
        <v>0.42836711014668899</v>
      </c>
      <c r="AA9" s="14">
        <v>0.46397701918857998</v>
      </c>
      <c r="AB9" s="14"/>
      <c r="AC9" s="14">
        <v>0.14936842022210101</v>
      </c>
      <c r="AD9" s="14">
        <v>0.48265131925021498</v>
      </c>
      <c r="AE9" s="14">
        <v>0.59172525642567797</v>
      </c>
      <c r="AF9" s="14">
        <v>0.73092062008007996</v>
      </c>
      <c r="AG9" s="14">
        <v>0.77922543571701797</v>
      </c>
      <c r="AH9" s="14"/>
      <c r="AI9" s="14">
        <v>0.53333069200035799</v>
      </c>
      <c r="AJ9" s="14">
        <v>0.54330828488341398</v>
      </c>
      <c r="AK9" s="14">
        <v>0.557261962081814</v>
      </c>
      <c r="AL9" s="14">
        <v>0.42375269565547402</v>
      </c>
      <c r="AM9" s="14">
        <v>0.36573050552490299</v>
      </c>
      <c r="AN9" s="14">
        <v>0.41415343386973702</v>
      </c>
      <c r="AO9" s="14"/>
      <c r="AP9" s="14">
        <v>0.51559801383023496</v>
      </c>
      <c r="AQ9" s="14">
        <v>0.44080331124844702</v>
      </c>
      <c r="AR9" s="14"/>
      <c r="AS9" s="14">
        <v>0.54819301078409499</v>
      </c>
      <c r="AT9" s="14">
        <v>0.44857822361627803</v>
      </c>
      <c r="AU9" s="14">
        <v>0.47179967916090199</v>
      </c>
      <c r="AV9" s="14"/>
      <c r="AW9" s="14">
        <v>0.44051555179873098</v>
      </c>
      <c r="AX9" s="14">
        <v>0.74391375129320303</v>
      </c>
      <c r="AY9" s="14"/>
      <c r="AZ9" s="14">
        <v>0.55337488579621397</v>
      </c>
      <c r="BA9" s="14">
        <v>0.21668385697312401</v>
      </c>
    </row>
    <row r="10" spans="2:53" x14ac:dyDescent="0.35">
      <c r="B10" s="15" t="s">
        <v>155</v>
      </c>
      <c r="C10" s="14">
        <v>0.50755475942100503</v>
      </c>
      <c r="D10" s="14">
        <v>0.43974159296614801</v>
      </c>
      <c r="E10" s="14">
        <v>0.57494471621849497</v>
      </c>
      <c r="F10" s="14"/>
      <c r="G10" s="14">
        <v>4.7152529771917098E-2</v>
      </c>
      <c r="H10" s="14">
        <v>0.39822982866321599</v>
      </c>
      <c r="I10" s="14">
        <v>0.494945565064075</v>
      </c>
      <c r="J10" s="14">
        <v>0.56089889846180596</v>
      </c>
      <c r="K10" s="14">
        <v>0.58104550862743098</v>
      </c>
      <c r="L10" s="14">
        <v>0.60506273929287602</v>
      </c>
      <c r="M10" s="14"/>
      <c r="N10" s="14">
        <v>0.351029111562708</v>
      </c>
      <c r="O10" s="14">
        <v>0.52908276969777401</v>
      </c>
      <c r="P10" s="14">
        <v>0.53424875603755595</v>
      </c>
      <c r="Q10" s="14">
        <v>0.63005001115138004</v>
      </c>
      <c r="R10" s="14"/>
      <c r="S10" s="14">
        <v>0.30933313880702801</v>
      </c>
      <c r="T10" s="14">
        <v>0.52414304518474097</v>
      </c>
      <c r="U10" s="14">
        <v>0.59376364951113203</v>
      </c>
      <c r="V10" s="14">
        <v>0.55902763136974698</v>
      </c>
      <c r="W10" s="14">
        <v>0.53583297148791897</v>
      </c>
      <c r="X10" s="14">
        <v>0.55792064550397003</v>
      </c>
      <c r="Y10" s="14">
        <v>0.51963723772888604</v>
      </c>
      <c r="Z10" s="14">
        <v>0.56425988756852197</v>
      </c>
      <c r="AA10" s="14">
        <v>0.53128886145074805</v>
      </c>
      <c r="AB10" s="14"/>
      <c r="AC10" s="14">
        <v>0.84494802094066901</v>
      </c>
      <c r="AD10" s="14">
        <v>0.51142303092123098</v>
      </c>
      <c r="AE10" s="14">
        <v>0.38986724362499098</v>
      </c>
      <c r="AF10" s="14">
        <v>0.26244095378668297</v>
      </c>
      <c r="AG10" s="14">
        <v>0.22077456428298201</v>
      </c>
      <c r="AH10" s="14"/>
      <c r="AI10" s="14">
        <v>0.453559474665167</v>
      </c>
      <c r="AJ10" s="14">
        <v>0.44196241824577998</v>
      </c>
      <c r="AK10" s="14">
        <v>0.442738037918186</v>
      </c>
      <c r="AL10" s="14">
        <v>0.56887302294500697</v>
      </c>
      <c r="AM10" s="14">
        <v>0.62015021115356495</v>
      </c>
      <c r="AN10" s="14">
        <v>0.56170959450008795</v>
      </c>
      <c r="AO10" s="14"/>
      <c r="AP10" s="14">
        <v>0.47208426959935401</v>
      </c>
      <c r="AQ10" s="14">
        <v>0.54773964153749899</v>
      </c>
      <c r="AR10" s="14"/>
      <c r="AS10" s="14">
        <v>0.434061734009625</v>
      </c>
      <c r="AT10" s="14">
        <v>0.52510683830036498</v>
      </c>
      <c r="AU10" s="14">
        <v>0.52214422928860005</v>
      </c>
      <c r="AV10" s="14"/>
      <c r="AW10" s="14">
        <v>0.54838997982015303</v>
      </c>
      <c r="AX10" s="14">
        <v>0.24159141026081499</v>
      </c>
      <c r="AY10" s="14"/>
      <c r="AZ10" s="14">
        <v>0.43727211063708299</v>
      </c>
      <c r="BA10" s="14">
        <v>0.76951691946965906</v>
      </c>
    </row>
    <row r="11" spans="2:53" x14ac:dyDescent="0.35">
      <c r="B11" s="15" t="s">
        <v>80</v>
      </c>
      <c r="C11" s="23">
        <v>1.1894684193980799E-2</v>
      </c>
      <c r="D11" s="23">
        <v>1.3803135314912901E-2</v>
      </c>
      <c r="E11" s="23">
        <v>9.9962391518656907E-3</v>
      </c>
      <c r="F11" s="23"/>
      <c r="G11" s="23">
        <v>0</v>
      </c>
      <c r="H11" s="23">
        <v>3.7207341767966799E-2</v>
      </c>
      <c r="I11" s="23">
        <v>1.0197309081798099E-2</v>
      </c>
      <c r="J11" s="23">
        <v>6.2470124960501E-3</v>
      </c>
      <c r="K11" s="23">
        <v>0</v>
      </c>
      <c r="L11" s="23">
        <v>0</v>
      </c>
      <c r="M11" s="23"/>
      <c r="N11" s="23">
        <v>1.5371073454868401E-3</v>
      </c>
      <c r="O11" s="23">
        <v>1.3058962303879399E-2</v>
      </c>
      <c r="P11" s="23">
        <v>2.5635384982575001E-2</v>
      </c>
      <c r="Q11" s="23">
        <v>9.9194504702711395E-3</v>
      </c>
      <c r="R11" s="23"/>
      <c r="S11" s="23">
        <v>2.5580884864429301E-2</v>
      </c>
      <c r="T11" s="23">
        <v>1.0571158935179599E-2</v>
      </c>
      <c r="U11" s="23">
        <v>7.2204550099188103E-3</v>
      </c>
      <c r="V11" s="23">
        <v>1.2750848117225599E-2</v>
      </c>
      <c r="W11" s="23">
        <v>4.7663324805076301E-3</v>
      </c>
      <c r="X11" s="23">
        <v>1.44283004820954E-2</v>
      </c>
      <c r="Y11" s="23">
        <v>1.13192731831809E-2</v>
      </c>
      <c r="Z11" s="23">
        <v>7.3730022847892599E-3</v>
      </c>
      <c r="AA11" s="23">
        <v>4.7341193606715596E-3</v>
      </c>
      <c r="AB11" s="23"/>
      <c r="AC11" s="23">
        <v>5.6835588372297196E-3</v>
      </c>
      <c r="AD11" s="23">
        <v>5.9256498285548001E-3</v>
      </c>
      <c r="AE11" s="23">
        <v>1.8407499949330899E-2</v>
      </c>
      <c r="AF11" s="23">
        <v>6.63842613323658E-3</v>
      </c>
      <c r="AG11" s="23">
        <v>0</v>
      </c>
      <c r="AH11" s="23"/>
      <c r="AI11" s="23">
        <v>1.31098333344756E-2</v>
      </c>
      <c r="AJ11" s="23">
        <v>1.4729296870806E-2</v>
      </c>
      <c r="AK11" s="23">
        <v>0</v>
      </c>
      <c r="AL11" s="23">
        <v>7.3742813995184304E-3</v>
      </c>
      <c r="AM11" s="23">
        <v>1.4119283321532001E-2</v>
      </c>
      <c r="AN11" s="23">
        <v>2.4136971630175801E-2</v>
      </c>
      <c r="AO11" s="23"/>
      <c r="AP11" s="23">
        <v>1.2317716570410701E-2</v>
      </c>
      <c r="AQ11" s="23">
        <v>1.14570472140551E-2</v>
      </c>
      <c r="AR11" s="23"/>
      <c r="AS11" s="23">
        <v>1.77452552062798E-2</v>
      </c>
      <c r="AT11" s="23">
        <v>2.63149380833567E-2</v>
      </c>
      <c r="AU11" s="23">
        <v>6.0560915504986497E-3</v>
      </c>
      <c r="AV11" s="23"/>
      <c r="AW11" s="23">
        <v>1.1094468381115699E-2</v>
      </c>
      <c r="AX11" s="23">
        <v>1.4494838445982299E-2</v>
      </c>
      <c r="AY11" s="23"/>
      <c r="AZ11" s="23">
        <v>9.3530035667032402E-3</v>
      </c>
      <c r="BA11" s="23">
        <v>1.3799223557217299E-2</v>
      </c>
    </row>
    <row r="12" spans="2:53" x14ac:dyDescent="0.35">
      <c r="B12" s="16"/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B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160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157</v>
      </c>
      <c r="C9" s="14">
        <v>0.218926249106386</v>
      </c>
      <c r="D9" s="14">
        <v>0.26789569492090598</v>
      </c>
      <c r="E9" s="14">
        <v>0.17012989969377401</v>
      </c>
      <c r="F9" s="14"/>
      <c r="G9" s="14">
        <v>0.78773670898581705</v>
      </c>
      <c r="H9" s="14">
        <v>0.32427597676300501</v>
      </c>
      <c r="I9" s="14">
        <v>0.212413359698543</v>
      </c>
      <c r="J9" s="14">
        <v>0.18586810756236299</v>
      </c>
      <c r="K9" s="14">
        <v>0.16762235269634301</v>
      </c>
      <c r="L9" s="14">
        <v>0.135356290375648</v>
      </c>
      <c r="M9" s="14"/>
      <c r="N9" s="14">
        <v>0.30077647092771698</v>
      </c>
      <c r="O9" s="14">
        <v>0.17558677853599</v>
      </c>
      <c r="P9" s="14">
        <v>0.21971824823111499</v>
      </c>
      <c r="Q9" s="14">
        <v>0.17234633525964799</v>
      </c>
      <c r="R9" s="14"/>
      <c r="S9" s="14">
        <v>0.35294066697514398</v>
      </c>
      <c r="T9" s="14">
        <v>0.21528057227575001</v>
      </c>
      <c r="U9" s="14">
        <v>0.116772407907932</v>
      </c>
      <c r="V9" s="14">
        <v>0.226382428607449</v>
      </c>
      <c r="W9" s="14">
        <v>0.19636309793742299</v>
      </c>
      <c r="X9" s="14">
        <v>0.23161744456338401</v>
      </c>
      <c r="Y9" s="14">
        <v>0.12925898594319701</v>
      </c>
      <c r="Z9" s="14">
        <v>0.19287427159034701</v>
      </c>
      <c r="AA9" s="14">
        <v>0.216164161827197</v>
      </c>
      <c r="AB9" s="14"/>
      <c r="AC9" s="14">
        <v>9.4558220549226205E-2</v>
      </c>
      <c r="AD9" s="14">
        <v>0.145762266595308</v>
      </c>
      <c r="AE9" s="14">
        <v>0.25399784160001498</v>
      </c>
      <c r="AF9" s="14">
        <v>0.40761586755153301</v>
      </c>
      <c r="AG9" s="14">
        <v>0.62671516459186505</v>
      </c>
      <c r="AH9" s="14"/>
      <c r="AI9" s="14">
        <v>0.244034503506916</v>
      </c>
      <c r="AJ9" s="14">
        <v>0.26986296963418099</v>
      </c>
      <c r="AK9" s="14">
        <v>0.17836356478066401</v>
      </c>
      <c r="AL9" s="14">
        <v>0.204209783020772</v>
      </c>
      <c r="AM9" s="14">
        <v>0.210593318395393</v>
      </c>
      <c r="AN9" s="14">
        <v>0.17947900832765201</v>
      </c>
      <c r="AO9" s="14"/>
      <c r="AP9" s="14">
        <v>0.23799550826013999</v>
      </c>
      <c r="AQ9" s="14">
        <v>0.196313563888769</v>
      </c>
      <c r="AR9" s="14"/>
      <c r="AS9" s="14">
        <v>0.25682560055403703</v>
      </c>
      <c r="AT9" s="14">
        <v>0.23870666215299699</v>
      </c>
      <c r="AU9" s="14">
        <v>0.202877238861112</v>
      </c>
      <c r="AV9" s="14"/>
      <c r="AW9" s="14">
        <v>0.19529985418439899</v>
      </c>
      <c r="AX9" s="14">
        <v>0.38446690856652399</v>
      </c>
      <c r="AY9" s="14"/>
      <c r="AZ9" s="14">
        <v>0.27078382714017402</v>
      </c>
      <c r="BA9" s="14">
        <v>2.70812048002331E-2</v>
      </c>
    </row>
    <row r="10" spans="2:53" x14ac:dyDescent="0.35">
      <c r="B10" s="15" t="s">
        <v>158</v>
      </c>
      <c r="C10" s="14">
        <v>0.478756093383856</v>
      </c>
      <c r="D10" s="14">
        <v>0.49548337588365698</v>
      </c>
      <c r="E10" s="14">
        <v>0.46247959676990502</v>
      </c>
      <c r="F10" s="14"/>
      <c r="G10" s="14">
        <v>0.21226329101418301</v>
      </c>
      <c r="H10" s="14">
        <v>0.46518919465345898</v>
      </c>
      <c r="I10" s="14">
        <v>0.495171378112575</v>
      </c>
      <c r="J10" s="14">
        <v>0.476604288177434</v>
      </c>
      <c r="K10" s="14">
        <v>0.46923014301855098</v>
      </c>
      <c r="L10" s="14">
        <v>0.334608514734903</v>
      </c>
      <c r="M10" s="14"/>
      <c r="N10" s="14">
        <v>0.48704789287545702</v>
      </c>
      <c r="O10" s="14">
        <v>0.52328269970481001</v>
      </c>
      <c r="P10" s="14">
        <v>0.515982619802553</v>
      </c>
      <c r="Q10" s="14">
        <v>0.392931590290578</v>
      </c>
      <c r="R10" s="14"/>
      <c r="S10" s="14">
        <v>0.44016388199631701</v>
      </c>
      <c r="T10" s="14">
        <v>0.49280995054469301</v>
      </c>
      <c r="U10" s="14">
        <v>0.471870713374276</v>
      </c>
      <c r="V10" s="14">
        <v>0.43899340814150101</v>
      </c>
      <c r="W10" s="14">
        <v>0.51692294819884599</v>
      </c>
      <c r="X10" s="14">
        <v>0.46501197094310998</v>
      </c>
      <c r="Y10" s="14">
        <v>0.53241536915584498</v>
      </c>
      <c r="Z10" s="14">
        <v>0.47831452167857003</v>
      </c>
      <c r="AA10" s="14">
        <v>0.49080963870502498</v>
      </c>
      <c r="AB10" s="14"/>
      <c r="AC10" s="14">
        <v>0.34281811052456701</v>
      </c>
      <c r="AD10" s="14">
        <v>0.56027265755262701</v>
      </c>
      <c r="AE10" s="14">
        <v>0.51443569062726702</v>
      </c>
      <c r="AF10" s="14">
        <v>0.49084561320102199</v>
      </c>
      <c r="AG10" s="14">
        <v>0.26865920446770197</v>
      </c>
      <c r="AH10" s="14"/>
      <c r="AI10" s="14">
        <v>0.49780988123784597</v>
      </c>
      <c r="AJ10" s="14">
        <v>0.52440734199873595</v>
      </c>
      <c r="AK10" s="14">
        <v>0.56429071772398498</v>
      </c>
      <c r="AL10" s="14">
        <v>0.49220020350600602</v>
      </c>
      <c r="AM10" s="14">
        <v>0.41151509520784801</v>
      </c>
      <c r="AN10" s="14">
        <v>0.36609748408280202</v>
      </c>
      <c r="AO10" s="14"/>
      <c r="AP10" s="14">
        <v>0.483528117101024</v>
      </c>
      <c r="AQ10" s="14">
        <v>0.47356969487940898</v>
      </c>
      <c r="AR10" s="14"/>
      <c r="AS10" s="14">
        <v>0.47389710716877298</v>
      </c>
      <c r="AT10" s="14">
        <v>0.47538461943222599</v>
      </c>
      <c r="AU10" s="14">
        <v>0.48106074468351301</v>
      </c>
      <c r="AV10" s="14"/>
      <c r="AW10" s="14">
        <v>0.48461257095124699</v>
      </c>
      <c r="AX10" s="14">
        <v>0.495370548409929</v>
      </c>
      <c r="AY10" s="14"/>
      <c r="AZ10" s="14">
        <v>0.51150482548288601</v>
      </c>
      <c r="BA10" s="14">
        <v>0.36427957208260298</v>
      </c>
    </row>
    <row r="11" spans="2:53" x14ac:dyDescent="0.35">
      <c r="B11" s="15" t="s">
        <v>159</v>
      </c>
      <c r="C11" s="14">
        <v>0.12949241583749399</v>
      </c>
      <c r="D11" s="14">
        <v>0.113286414365164</v>
      </c>
      <c r="E11" s="14">
        <v>0.14583692032735299</v>
      </c>
      <c r="F11" s="14"/>
      <c r="G11" s="14">
        <v>0</v>
      </c>
      <c r="H11" s="14">
        <v>9.6200832371599806E-2</v>
      </c>
      <c r="I11" s="14">
        <v>0.13258524299510599</v>
      </c>
      <c r="J11" s="14">
        <v>0.132439038641947</v>
      </c>
      <c r="K11" s="14">
        <v>0.15253132725062599</v>
      </c>
      <c r="L11" s="14">
        <v>0.21572232006417499</v>
      </c>
      <c r="M11" s="14"/>
      <c r="N11" s="14">
        <v>9.9799570350057001E-2</v>
      </c>
      <c r="O11" s="14">
        <v>0.12484965879370399</v>
      </c>
      <c r="P11" s="14">
        <v>9.4401174048553901E-2</v>
      </c>
      <c r="Q11" s="14">
        <v>0.19707565236117899</v>
      </c>
      <c r="R11" s="14"/>
      <c r="S11" s="14">
        <v>6.8002449518333896E-2</v>
      </c>
      <c r="T11" s="14">
        <v>0.11834540317910899</v>
      </c>
      <c r="U11" s="14">
        <v>0.16258512015945401</v>
      </c>
      <c r="V11" s="14">
        <v>0.15454860310494101</v>
      </c>
      <c r="W11" s="14">
        <v>0.12208803590084701</v>
      </c>
      <c r="X11" s="14">
        <v>0.16320771263344599</v>
      </c>
      <c r="Y11" s="14">
        <v>0.13108104026692599</v>
      </c>
      <c r="Z11" s="14">
        <v>0.17674760709286499</v>
      </c>
      <c r="AA11" s="14">
        <v>0.131830572509501</v>
      </c>
      <c r="AB11" s="14"/>
      <c r="AC11" s="14">
        <v>0.25708915509456798</v>
      </c>
      <c r="AD11" s="14">
        <v>0.17241042504878901</v>
      </c>
      <c r="AE11" s="14">
        <v>7.5004630740688999E-2</v>
      </c>
      <c r="AF11" s="14">
        <v>4.3815020523967303E-2</v>
      </c>
      <c r="AG11" s="14">
        <v>6.2123291605353896E-3</v>
      </c>
      <c r="AH11" s="14"/>
      <c r="AI11" s="14">
        <v>0.11577346493229899</v>
      </c>
      <c r="AJ11" s="14">
        <v>0.121852629494899</v>
      </c>
      <c r="AK11" s="14">
        <v>9.8892510595405006E-2</v>
      </c>
      <c r="AL11" s="14">
        <v>0.13172357568267301</v>
      </c>
      <c r="AM11" s="14">
        <v>0.17743749392927399</v>
      </c>
      <c r="AN11" s="14">
        <v>0.128540083355908</v>
      </c>
      <c r="AO11" s="14"/>
      <c r="AP11" s="14">
        <v>0.12286981478904201</v>
      </c>
      <c r="AQ11" s="14">
        <v>0.13736109381403599</v>
      </c>
      <c r="AR11" s="14"/>
      <c r="AS11" s="14">
        <v>0.107530148737825</v>
      </c>
      <c r="AT11" s="14">
        <v>0.13535247714977</v>
      </c>
      <c r="AU11" s="14">
        <v>0.133670435581696</v>
      </c>
      <c r="AV11" s="14"/>
      <c r="AW11" s="14">
        <v>0.14351593852511199</v>
      </c>
      <c r="AX11" s="14">
        <v>5.9689080761449999E-2</v>
      </c>
      <c r="AY11" s="14"/>
      <c r="AZ11" s="14">
        <v>8.7916591736121999E-2</v>
      </c>
      <c r="BA11" s="14">
        <v>0.282054533417748</v>
      </c>
    </row>
    <row r="12" spans="2:53" x14ac:dyDescent="0.35">
      <c r="B12" s="15" t="s">
        <v>116</v>
      </c>
      <c r="C12" s="23">
        <v>0.17282524167226401</v>
      </c>
      <c r="D12" s="23">
        <v>0.123334514830273</v>
      </c>
      <c r="E12" s="23">
        <v>0.22155358320896901</v>
      </c>
      <c r="F12" s="23"/>
      <c r="G12" s="23">
        <v>0</v>
      </c>
      <c r="H12" s="23">
        <v>0.114333996211936</v>
      </c>
      <c r="I12" s="23">
        <v>0.15983001919377601</v>
      </c>
      <c r="J12" s="23">
        <v>0.205088565618256</v>
      </c>
      <c r="K12" s="23">
        <v>0.21061617703447899</v>
      </c>
      <c r="L12" s="23">
        <v>0.31431287482527298</v>
      </c>
      <c r="M12" s="23"/>
      <c r="N12" s="23">
        <v>0.112376065846769</v>
      </c>
      <c r="O12" s="23">
        <v>0.176280862965495</v>
      </c>
      <c r="P12" s="23">
        <v>0.16989795791777801</v>
      </c>
      <c r="Q12" s="23">
        <v>0.23764642208859499</v>
      </c>
      <c r="R12" s="23"/>
      <c r="S12" s="23">
        <v>0.13889300151020501</v>
      </c>
      <c r="T12" s="23">
        <v>0.17356407400044799</v>
      </c>
      <c r="U12" s="23">
        <v>0.248771758558338</v>
      </c>
      <c r="V12" s="23">
        <v>0.18007556014610901</v>
      </c>
      <c r="W12" s="23">
        <v>0.16462591796288401</v>
      </c>
      <c r="X12" s="23">
        <v>0.14016287186005899</v>
      </c>
      <c r="Y12" s="23">
        <v>0.20724460463403099</v>
      </c>
      <c r="Z12" s="23">
        <v>0.152063599638219</v>
      </c>
      <c r="AA12" s="23">
        <v>0.16119562695827699</v>
      </c>
      <c r="AB12" s="23"/>
      <c r="AC12" s="23">
        <v>0.30553451383163899</v>
      </c>
      <c r="AD12" s="23">
        <v>0.121554650803275</v>
      </c>
      <c r="AE12" s="23">
        <v>0.156561837032028</v>
      </c>
      <c r="AF12" s="23">
        <v>5.77234987234784E-2</v>
      </c>
      <c r="AG12" s="23">
        <v>9.84133017798966E-2</v>
      </c>
      <c r="AH12" s="23"/>
      <c r="AI12" s="23">
        <v>0.14238215032293799</v>
      </c>
      <c r="AJ12" s="23">
        <v>8.3877058872184204E-2</v>
      </c>
      <c r="AK12" s="23">
        <v>0.15845320689994599</v>
      </c>
      <c r="AL12" s="23">
        <v>0.171866437790548</v>
      </c>
      <c r="AM12" s="23">
        <v>0.200454092467485</v>
      </c>
      <c r="AN12" s="23">
        <v>0.32588342423363797</v>
      </c>
      <c r="AO12" s="23"/>
      <c r="AP12" s="23">
        <v>0.15560655984979399</v>
      </c>
      <c r="AQ12" s="23">
        <v>0.192755647417786</v>
      </c>
      <c r="AR12" s="23"/>
      <c r="AS12" s="23">
        <v>0.16174714353936401</v>
      </c>
      <c r="AT12" s="23">
        <v>0.150556241265008</v>
      </c>
      <c r="AU12" s="23">
        <v>0.18239158087367899</v>
      </c>
      <c r="AV12" s="23"/>
      <c r="AW12" s="23">
        <v>0.176571636339241</v>
      </c>
      <c r="AX12" s="23">
        <v>6.04734622620971E-2</v>
      </c>
      <c r="AY12" s="23"/>
      <c r="AZ12" s="23">
        <v>0.12979475564081799</v>
      </c>
      <c r="BA12" s="23">
        <v>0.32658468969941701</v>
      </c>
    </row>
    <row r="13" spans="2:53" x14ac:dyDescent="0.35">
      <c r="B13" s="16"/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161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154</v>
      </c>
      <c r="C9" s="14">
        <v>0.85324959522069199</v>
      </c>
      <c r="D9" s="14">
        <v>0.85040497729343101</v>
      </c>
      <c r="E9" s="14">
        <v>0.85595421105465497</v>
      </c>
      <c r="F9" s="14"/>
      <c r="G9" s="14">
        <v>1</v>
      </c>
      <c r="H9" s="14">
        <v>0.83659104300477505</v>
      </c>
      <c r="I9" s="14">
        <v>0.85416121589714999</v>
      </c>
      <c r="J9" s="14">
        <v>0.86875791300013905</v>
      </c>
      <c r="K9" s="14">
        <v>0.84797989539554497</v>
      </c>
      <c r="L9" s="14">
        <v>0.66338050380765701</v>
      </c>
      <c r="M9" s="14"/>
      <c r="N9" s="14">
        <v>0.889432509833887</v>
      </c>
      <c r="O9" s="14">
        <v>0.87426714611401402</v>
      </c>
      <c r="P9" s="14">
        <v>0.86001649166997796</v>
      </c>
      <c r="Q9" s="14">
        <v>0.78636225631189505</v>
      </c>
      <c r="R9" s="14"/>
      <c r="S9" s="14">
        <v>0.84250287229464405</v>
      </c>
      <c r="T9" s="14">
        <v>0.89970414148571298</v>
      </c>
      <c r="U9" s="14">
        <v>0.84896186992011902</v>
      </c>
      <c r="V9" s="14">
        <v>0.898677277050413</v>
      </c>
      <c r="W9" s="14">
        <v>0.85283424642106997</v>
      </c>
      <c r="X9" s="14">
        <v>0.85001888992200803</v>
      </c>
      <c r="Y9" s="14">
        <v>0.83105390416909997</v>
      </c>
      <c r="Z9" s="14">
        <v>0.80053813060922996</v>
      </c>
      <c r="AA9" s="14">
        <v>0.81429379210308706</v>
      </c>
      <c r="AB9" s="14"/>
      <c r="AC9" s="14">
        <v>0.82873385586371995</v>
      </c>
      <c r="AD9" s="14">
        <v>0.87451371352083995</v>
      </c>
      <c r="AE9" s="14">
        <v>0.88634554499993001</v>
      </c>
      <c r="AF9" s="14">
        <v>0.83354281556123599</v>
      </c>
      <c r="AG9" s="14">
        <v>0.943346335617126</v>
      </c>
      <c r="AH9" s="14"/>
      <c r="AI9" s="14">
        <v>0.86053146205879905</v>
      </c>
      <c r="AJ9" s="14">
        <v>0.83698295432609704</v>
      </c>
      <c r="AK9" s="14">
        <v>0.94033092819978903</v>
      </c>
      <c r="AL9" s="14">
        <v>0.84057507402390796</v>
      </c>
      <c r="AM9" s="14">
        <v>0.88839923456077696</v>
      </c>
      <c r="AN9" s="14">
        <v>0.84544636558328701</v>
      </c>
      <c r="AO9" s="14"/>
      <c r="AP9" s="14">
        <v>0.85120663474672398</v>
      </c>
      <c r="AQ9" s="14">
        <v>0.85507527037626097</v>
      </c>
      <c r="AR9" s="14"/>
      <c r="AS9" s="14">
        <v>0.87629637291955897</v>
      </c>
      <c r="AT9" s="14">
        <v>0.849418295713675</v>
      </c>
      <c r="AU9" s="14">
        <v>0.84817980071432397</v>
      </c>
      <c r="AV9" s="14"/>
      <c r="AW9" s="14">
        <v>0.86755683269332096</v>
      </c>
      <c r="AX9" s="14">
        <v>0.822529685439504</v>
      </c>
      <c r="AY9" s="14"/>
      <c r="AZ9" s="14">
        <v>0.86981581826174204</v>
      </c>
      <c r="BA9" s="14">
        <v>0.80633054760188405</v>
      </c>
    </row>
    <row r="10" spans="2:53" x14ac:dyDescent="0.35">
      <c r="B10" s="15" t="s">
        <v>155</v>
      </c>
      <c r="C10" s="14">
        <v>0.13536729052303001</v>
      </c>
      <c r="D10" s="14">
        <v>0.14108896123015</v>
      </c>
      <c r="E10" s="14">
        <v>0.129772285336371</v>
      </c>
      <c r="F10" s="14"/>
      <c r="G10" s="14">
        <v>0</v>
      </c>
      <c r="H10" s="14">
        <v>0.153729554742912</v>
      </c>
      <c r="I10" s="14">
        <v>0.12703619976937</v>
      </c>
      <c r="J10" s="14">
        <v>0.12551549367100201</v>
      </c>
      <c r="K10" s="14">
        <v>0.152020104604455</v>
      </c>
      <c r="L10" s="14">
        <v>0.33661949619234299</v>
      </c>
      <c r="M10" s="14"/>
      <c r="N10" s="14">
        <v>0.10376088360753299</v>
      </c>
      <c r="O10" s="14">
        <v>0.11372757768632601</v>
      </c>
      <c r="P10" s="14">
        <v>0.13483465930709501</v>
      </c>
      <c r="Q10" s="14">
        <v>0.19234375073476301</v>
      </c>
      <c r="R10" s="14"/>
      <c r="S10" s="14">
        <v>0.15286719062054499</v>
      </c>
      <c r="T10" s="14">
        <v>9.6574405684848999E-2</v>
      </c>
      <c r="U10" s="14">
        <v>0.13081949992373099</v>
      </c>
      <c r="V10" s="14">
        <v>8.5447405744891403E-2</v>
      </c>
      <c r="W10" s="14">
        <v>0.14133645769855399</v>
      </c>
      <c r="X10" s="14">
        <v>0.12721705467166999</v>
      </c>
      <c r="Y10" s="14">
        <v>0.16460559974778799</v>
      </c>
      <c r="Z10" s="14">
        <v>0.192088867105981</v>
      </c>
      <c r="AA10" s="14">
        <v>0.16516056625700901</v>
      </c>
      <c r="AB10" s="14"/>
      <c r="AC10" s="14">
        <v>0.164388505858199</v>
      </c>
      <c r="AD10" s="14">
        <v>0.11514068300349101</v>
      </c>
      <c r="AE10" s="14">
        <v>0.104286555969474</v>
      </c>
      <c r="AF10" s="14">
        <v>0.150818734030643</v>
      </c>
      <c r="AG10" s="14">
        <v>5.6653664382873802E-2</v>
      </c>
      <c r="AH10" s="14"/>
      <c r="AI10" s="14">
        <v>0.13044913217555701</v>
      </c>
      <c r="AJ10" s="14">
        <v>0.14750456558945099</v>
      </c>
      <c r="AK10" s="14">
        <v>5.8342840765379399E-2</v>
      </c>
      <c r="AL10" s="14">
        <v>0.15160596979171301</v>
      </c>
      <c r="AM10" s="14">
        <v>0.108541104215001</v>
      </c>
      <c r="AN10" s="14">
        <v>0.12849549728152901</v>
      </c>
      <c r="AO10" s="14"/>
      <c r="AP10" s="14">
        <v>0.14023684875634701</v>
      </c>
      <c r="AQ10" s="14">
        <v>0.130324611546448</v>
      </c>
      <c r="AR10" s="14"/>
      <c r="AS10" s="14">
        <v>0.11466606469869001</v>
      </c>
      <c r="AT10" s="14">
        <v>0.13431836566757999</v>
      </c>
      <c r="AU10" s="14">
        <v>0.14124887420807899</v>
      </c>
      <c r="AV10" s="14"/>
      <c r="AW10" s="14">
        <v>0.124512082862982</v>
      </c>
      <c r="AX10" s="14">
        <v>0.15923912479396199</v>
      </c>
      <c r="AY10" s="14"/>
      <c r="AZ10" s="14">
        <v>0.124303640474067</v>
      </c>
      <c r="BA10" s="14">
        <v>0.17184974660034</v>
      </c>
    </row>
    <row r="11" spans="2:53" x14ac:dyDescent="0.35">
      <c r="B11" s="15" t="s">
        <v>80</v>
      </c>
      <c r="C11" s="23">
        <v>1.13831142562779E-2</v>
      </c>
      <c r="D11" s="23">
        <v>8.5060614764185197E-3</v>
      </c>
      <c r="E11" s="23">
        <v>1.4273503608974201E-2</v>
      </c>
      <c r="F11" s="23"/>
      <c r="G11" s="23">
        <v>0</v>
      </c>
      <c r="H11" s="23">
        <v>9.6794022523131601E-3</v>
      </c>
      <c r="I11" s="23">
        <v>1.8802584333479699E-2</v>
      </c>
      <c r="J11" s="23">
        <v>5.7265933288589404E-3</v>
      </c>
      <c r="K11" s="23">
        <v>0</v>
      </c>
      <c r="L11" s="23">
        <v>0</v>
      </c>
      <c r="M11" s="23"/>
      <c r="N11" s="23">
        <v>6.8066065585799503E-3</v>
      </c>
      <c r="O11" s="23">
        <v>1.2005276199659701E-2</v>
      </c>
      <c r="P11" s="23">
        <v>5.1488490229266897E-3</v>
      </c>
      <c r="Q11" s="23">
        <v>2.12939929533419E-2</v>
      </c>
      <c r="R11" s="23"/>
      <c r="S11" s="23">
        <v>4.6299370848105802E-3</v>
      </c>
      <c r="T11" s="23">
        <v>3.72145282943804E-3</v>
      </c>
      <c r="U11" s="23">
        <v>2.0218630156149699E-2</v>
      </c>
      <c r="V11" s="23">
        <v>1.5875317204695299E-2</v>
      </c>
      <c r="W11" s="23">
        <v>5.8292958803759804E-3</v>
      </c>
      <c r="X11" s="23">
        <v>2.2764055406321902E-2</v>
      </c>
      <c r="Y11" s="23">
        <v>4.3404960831126202E-3</v>
      </c>
      <c r="Z11" s="23">
        <v>7.3730022847892599E-3</v>
      </c>
      <c r="AA11" s="23">
        <v>2.05456416399043E-2</v>
      </c>
      <c r="AB11" s="23"/>
      <c r="AC11" s="23">
        <v>6.8776382780816698E-3</v>
      </c>
      <c r="AD11" s="23">
        <v>1.0345603475668401E-2</v>
      </c>
      <c r="AE11" s="23">
        <v>9.3678990305955199E-3</v>
      </c>
      <c r="AF11" s="23">
        <v>1.56384504081209E-2</v>
      </c>
      <c r="AG11" s="23">
        <v>0</v>
      </c>
      <c r="AH11" s="23"/>
      <c r="AI11" s="23">
        <v>9.0194057656436295E-3</v>
      </c>
      <c r="AJ11" s="23">
        <v>1.5512480084452201E-2</v>
      </c>
      <c r="AK11" s="23">
        <v>1.32623103483172E-3</v>
      </c>
      <c r="AL11" s="23">
        <v>7.8189561843787104E-3</v>
      </c>
      <c r="AM11" s="23">
        <v>3.0596612242215901E-3</v>
      </c>
      <c r="AN11" s="23">
        <v>2.6058137135184501E-2</v>
      </c>
      <c r="AO11" s="23"/>
      <c r="AP11" s="23">
        <v>8.5565164969291993E-3</v>
      </c>
      <c r="AQ11" s="23">
        <v>1.4600118077291E-2</v>
      </c>
      <c r="AR11" s="23"/>
      <c r="AS11" s="23">
        <v>9.0375623817512702E-3</v>
      </c>
      <c r="AT11" s="23">
        <v>1.62633386187453E-2</v>
      </c>
      <c r="AU11" s="23">
        <v>1.05713250775962E-2</v>
      </c>
      <c r="AV11" s="23"/>
      <c r="AW11" s="23">
        <v>7.9310844436978507E-3</v>
      </c>
      <c r="AX11" s="23">
        <v>1.8231189766533901E-2</v>
      </c>
      <c r="AY11" s="23"/>
      <c r="AZ11" s="23">
        <v>5.88054126419025E-3</v>
      </c>
      <c r="BA11" s="23">
        <v>2.1819705797775799E-2</v>
      </c>
    </row>
    <row r="12" spans="2:53" x14ac:dyDescent="0.35">
      <c r="B12" s="16"/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B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165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162</v>
      </c>
      <c r="C9" s="14">
        <v>0.29001280556853798</v>
      </c>
      <c r="D9" s="14">
        <v>0.35927036881826901</v>
      </c>
      <c r="E9" s="14">
        <v>0.22098103587224999</v>
      </c>
      <c r="F9" s="14"/>
      <c r="G9" s="14">
        <v>0.73676449334460903</v>
      </c>
      <c r="H9" s="14">
        <v>0.315404625882584</v>
      </c>
      <c r="I9" s="14">
        <v>0.28006820060250598</v>
      </c>
      <c r="J9" s="14">
        <v>0.272564567780746</v>
      </c>
      <c r="K9" s="14">
        <v>0.35337764557106</v>
      </c>
      <c r="L9" s="14">
        <v>0.12950602347552401</v>
      </c>
      <c r="M9" s="14"/>
      <c r="N9" s="14">
        <v>0.43523386102967598</v>
      </c>
      <c r="O9" s="14">
        <v>0.276107767472896</v>
      </c>
      <c r="P9" s="14">
        <v>0.25684839313051</v>
      </c>
      <c r="Q9" s="14">
        <v>0.17358018963416699</v>
      </c>
      <c r="R9" s="14"/>
      <c r="S9" s="14">
        <v>0.37524375677789801</v>
      </c>
      <c r="T9" s="14">
        <v>0.31607156368717398</v>
      </c>
      <c r="U9" s="14">
        <v>0.23715757314685801</v>
      </c>
      <c r="V9" s="14">
        <v>0.28920300749079397</v>
      </c>
      <c r="W9" s="14">
        <v>0.271765852204158</v>
      </c>
      <c r="X9" s="14">
        <v>0.30187357315090901</v>
      </c>
      <c r="Y9" s="14">
        <v>0.209306322335369</v>
      </c>
      <c r="Z9" s="14">
        <v>0.274552625770698</v>
      </c>
      <c r="AA9" s="14">
        <v>0.26630120829616899</v>
      </c>
      <c r="AB9" s="14"/>
      <c r="AC9" s="14">
        <v>0.108635962818521</v>
      </c>
      <c r="AD9" s="14">
        <v>0.25432945121454198</v>
      </c>
      <c r="AE9" s="14">
        <v>0.36708669708700298</v>
      </c>
      <c r="AF9" s="14">
        <v>0.44801260107798602</v>
      </c>
      <c r="AG9" s="14">
        <v>0.65851287263138802</v>
      </c>
      <c r="AH9" s="14"/>
      <c r="AI9" s="14">
        <v>0.30464567071785398</v>
      </c>
      <c r="AJ9" s="14">
        <v>0.32287646882899601</v>
      </c>
      <c r="AK9" s="14">
        <v>0.29793999639484198</v>
      </c>
      <c r="AL9" s="14">
        <v>0.29167428199623002</v>
      </c>
      <c r="AM9" s="14">
        <v>0.36602028289897998</v>
      </c>
      <c r="AN9" s="14">
        <v>0.25459423891973998</v>
      </c>
      <c r="AO9" s="14"/>
      <c r="AP9" s="14">
        <v>0.317182753399332</v>
      </c>
      <c r="AQ9" s="14">
        <v>0.25851480507765201</v>
      </c>
      <c r="AR9" s="14"/>
      <c r="AS9" s="14">
        <v>0.303120267862243</v>
      </c>
      <c r="AT9" s="14">
        <v>0.28810320040427601</v>
      </c>
      <c r="AU9" s="14">
        <v>0.28704979156576099</v>
      </c>
      <c r="AV9" s="14"/>
      <c r="AW9" s="14">
        <v>0.27186810020267099</v>
      </c>
      <c r="AX9" s="14">
        <v>0.43625757527372</v>
      </c>
      <c r="AY9" s="14"/>
      <c r="AZ9" s="14">
        <v>0.357185587882554</v>
      </c>
      <c r="BA9" s="14">
        <v>4.5646573421308803E-2</v>
      </c>
    </row>
    <row r="10" spans="2:53" x14ac:dyDescent="0.35">
      <c r="B10" s="15" t="s">
        <v>163</v>
      </c>
      <c r="C10" s="14">
        <v>0.52081361811119598</v>
      </c>
      <c r="D10" s="14">
        <v>0.50116569054187898</v>
      </c>
      <c r="E10" s="14">
        <v>0.54001267795905605</v>
      </c>
      <c r="F10" s="14"/>
      <c r="G10" s="14">
        <v>0.26323550665539103</v>
      </c>
      <c r="H10" s="14">
        <v>0.49746659526738801</v>
      </c>
      <c r="I10" s="14">
        <v>0.52839484611006404</v>
      </c>
      <c r="J10" s="14">
        <v>0.545225330563614</v>
      </c>
      <c r="K10" s="14">
        <v>0.47270586455971703</v>
      </c>
      <c r="L10" s="14">
        <v>0.43138493244194598</v>
      </c>
      <c r="M10" s="14"/>
      <c r="N10" s="14">
        <v>0.48596102252203599</v>
      </c>
      <c r="O10" s="14">
        <v>0.57438401175354803</v>
      </c>
      <c r="P10" s="14">
        <v>0.56375343151006296</v>
      </c>
      <c r="Q10" s="14">
        <v>0.46775475716239401</v>
      </c>
      <c r="R10" s="14"/>
      <c r="S10" s="14">
        <v>0.47653978284022303</v>
      </c>
      <c r="T10" s="14">
        <v>0.50279041775161404</v>
      </c>
      <c r="U10" s="14">
        <v>0.52867608017120904</v>
      </c>
      <c r="V10" s="14">
        <v>0.50695184580040298</v>
      </c>
      <c r="W10" s="14">
        <v>0.55222060327198197</v>
      </c>
      <c r="X10" s="14">
        <v>0.49626856461278201</v>
      </c>
      <c r="Y10" s="14">
        <v>0.58893906541497698</v>
      </c>
      <c r="Z10" s="14">
        <v>0.49517430179566602</v>
      </c>
      <c r="AA10" s="14">
        <v>0.55757499873998395</v>
      </c>
      <c r="AB10" s="14"/>
      <c r="AC10" s="14">
        <v>0.51791659663192502</v>
      </c>
      <c r="AD10" s="14">
        <v>0.52896079345053304</v>
      </c>
      <c r="AE10" s="14">
        <v>0.55449638813692104</v>
      </c>
      <c r="AF10" s="14">
        <v>0.48555362162693699</v>
      </c>
      <c r="AG10" s="14">
        <v>0.29070543556957901</v>
      </c>
      <c r="AH10" s="14"/>
      <c r="AI10" s="14">
        <v>0.538586731301824</v>
      </c>
      <c r="AJ10" s="14">
        <v>0.54351536206036299</v>
      </c>
      <c r="AK10" s="14">
        <v>0.59293678133803396</v>
      </c>
      <c r="AL10" s="14">
        <v>0.49168509542586503</v>
      </c>
      <c r="AM10" s="14">
        <v>0.46153865087202001</v>
      </c>
      <c r="AN10" s="14">
        <v>0.438099315463987</v>
      </c>
      <c r="AO10" s="14"/>
      <c r="AP10" s="14">
        <v>0.50593657067569997</v>
      </c>
      <c r="AQ10" s="14">
        <v>0.53787072070057096</v>
      </c>
      <c r="AR10" s="14"/>
      <c r="AS10" s="14">
        <v>0.50395814262822003</v>
      </c>
      <c r="AT10" s="14">
        <v>0.52904539987291999</v>
      </c>
      <c r="AU10" s="14">
        <v>0.52291591580395103</v>
      </c>
      <c r="AV10" s="14"/>
      <c r="AW10" s="14">
        <v>0.53764437117851605</v>
      </c>
      <c r="AX10" s="14">
        <v>0.45315600938034301</v>
      </c>
      <c r="AY10" s="14"/>
      <c r="AZ10" s="14">
        <v>0.52125038690235403</v>
      </c>
      <c r="BA10" s="14">
        <v>0.52704609627607701</v>
      </c>
    </row>
    <row r="11" spans="2:53" x14ac:dyDescent="0.35">
      <c r="B11" s="15" t="s">
        <v>164</v>
      </c>
      <c r="C11" s="14">
        <v>0.114230058057626</v>
      </c>
      <c r="D11" s="14">
        <v>8.3115429388741696E-2</v>
      </c>
      <c r="E11" s="14">
        <v>0.14548031354225199</v>
      </c>
      <c r="F11" s="14"/>
      <c r="G11" s="14">
        <v>0</v>
      </c>
      <c r="H11" s="14">
        <v>0.12642341841374599</v>
      </c>
      <c r="I11" s="14">
        <v>0.128133482820042</v>
      </c>
      <c r="J11" s="14">
        <v>0.102275065676287</v>
      </c>
      <c r="K11" s="14">
        <v>5.8048284081622901E-2</v>
      </c>
      <c r="L11" s="14">
        <v>0.21285376665539299</v>
      </c>
      <c r="M11" s="14"/>
      <c r="N11" s="14">
        <v>4.5724822269445797E-2</v>
      </c>
      <c r="O11" s="14">
        <v>9.1922931739202102E-2</v>
      </c>
      <c r="P11" s="14">
        <v>0.11980124349688601</v>
      </c>
      <c r="Q11" s="14">
        <v>0.20612100967216099</v>
      </c>
      <c r="R11" s="14"/>
      <c r="S11" s="14">
        <v>6.8078138492639606E-2</v>
      </c>
      <c r="T11" s="14">
        <v>0.12501549406273399</v>
      </c>
      <c r="U11" s="14">
        <v>0.13301008742895601</v>
      </c>
      <c r="V11" s="14">
        <v>0.13071245006211399</v>
      </c>
      <c r="W11" s="14">
        <v>0.120164039848062</v>
      </c>
      <c r="X11" s="14">
        <v>0.11799772186316999</v>
      </c>
      <c r="Y11" s="14">
        <v>0.12993890720425999</v>
      </c>
      <c r="Z11" s="14">
        <v>0.18337660286428201</v>
      </c>
      <c r="AA11" s="14">
        <v>8.3551032726703306E-2</v>
      </c>
      <c r="AB11" s="14"/>
      <c r="AC11" s="14">
        <v>0.239546142889762</v>
      </c>
      <c r="AD11" s="14">
        <v>0.15864986738614201</v>
      </c>
      <c r="AE11" s="14">
        <v>3.6387495702260797E-2</v>
      </c>
      <c r="AF11" s="14">
        <v>3.88798098763782E-2</v>
      </c>
      <c r="AG11" s="14">
        <v>2.8762393093582E-2</v>
      </c>
      <c r="AH11" s="14"/>
      <c r="AI11" s="14">
        <v>9.6599295489091505E-2</v>
      </c>
      <c r="AJ11" s="14">
        <v>8.2113404683793606E-2</v>
      </c>
      <c r="AK11" s="14">
        <v>9.32306662464127E-2</v>
      </c>
      <c r="AL11" s="14">
        <v>0.122977593760823</v>
      </c>
      <c r="AM11" s="14">
        <v>0.142049316206</v>
      </c>
      <c r="AN11" s="14">
        <v>0.153245158036799</v>
      </c>
      <c r="AO11" s="14"/>
      <c r="AP11" s="14">
        <v>0.110149577676272</v>
      </c>
      <c r="AQ11" s="14">
        <v>0.119189306940226</v>
      </c>
      <c r="AR11" s="14"/>
      <c r="AS11" s="14">
        <v>0.10955650305409501</v>
      </c>
      <c r="AT11" s="14">
        <v>0.137163099804505</v>
      </c>
      <c r="AU11" s="14">
        <v>0.108706684062591</v>
      </c>
      <c r="AV11" s="14"/>
      <c r="AW11" s="14">
        <v>0.12177396383976601</v>
      </c>
      <c r="AX11" s="14">
        <v>7.3710077348197206E-2</v>
      </c>
      <c r="AY11" s="14"/>
      <c r="AZ11" s="14">
        <v>6.2694904873956805E-2</v>
      </c>
      <c r="BA11" s="14">
        <v>0.30360613969364902</v>
      </c>
    </row>
    <row r="12" spans="2:53" x14ac:dyDescent="0.35">
      <c r="B12" s="15" t="s">
        <v>116</v>
      </c>
      <c r="C12" s="23">
        <v>7.4943518262640396E-2</v>
      </c>
      <c r="D12" s="23">
        <v>5.6448511251109799E-2</v>
      </c>
      <c r="E12" s="23">
        <v>9.3525972626442397E-2</v>
      </c>
      <c r="F12" s="23"/>
      <c r="G12" s="23">
        <v>0</v>
      </c>
      <c r="H12" s="23">
        <v>6.0705360436282697E-2</v>
      </c>
      <c r="I12" s="23">
        <v>6.3403470467387701E-2</v>
      </c>
      <c r="J12" s="23">
        <v>7.99350359793536E-2</v>
      </c>
      <c r="K12" s="23">
        <v>0.1158682057876</v>
      </c>
      <c r="L12" s="23">
        <v>0.226255277427136</v>
      </c>
      <c r="M12" s="23"/>
      <c r="N12" s="23">
        <v>3.3080294178841597E-2</v>
      </c>
      <c r="O12" s="23">
        <v>5.7585289034353997E-2</v>
      </c>
      <c r="P12" s="23">
        <v>5.9596931862541599E-2</v>
      </c>
      <c r="Q12" s="23">
        <v>0.15254404353127801</v>
      </c>
      <c r="R12" s="23"/>
      <c r="S12" s="23">
        <v>8.0138321889239597E-2</v>
      </c>
      <c r="T12" s="23">
        <v>5.6122524498477301E-2</v>
      </c>
      <c r="U12" s="23">
        <v>0.101156259252977</v>
      </c>
      <c r="V12" s="23">
        <v>7.3132696646689005E-2</v>
      </c>
      <c r="W12" s="23">
        <v>5.5849504675798002E-2</v>
      </c>
      <c r="X12" s="23">
        <v>8.3860140373138395E-2</v>
      </c>
      <c r="Y12" s="23">
        <v>7.1815705045394404E-2</v>
      </c>
      <c r="Z12" s="23">
        <v>4.68964695693544E-2</v>
      </c>
      <c r="AA12" s="23">
        <v>9.2572760237143698E-2</v>
      </c>
      <c r="AB12" s="23"/>
      <c r="AC12" s="23">
        <v>0.133901297659792</v>
      </c>
      <c r="AD12" s="23">
        <v>5.80598879487823E-2</v>
      </c>
      <c r="AE12" s="23">
        <v>4.2029419073815397E-2</v>
      </c>
      <c r="AF12" s="23">
        <v>2.7553967418699001E-2</v>
      </c>
      <c r="AG12" s="23">
        <v>2.2019298705451201E-2</v>
      </c>
      <c r="AH12" s="23"/>
      <c r="AI12" s="23">
        <v>6.0168302491230001E-2</v>
      </c>
      <c r="AJ12" s="23">
        <v>5.1494764426848E-2</v>
      </c>
      <c r="AK12" s="23">
        <v>1.5892556020711199E-2</v>
      </c>
      <c r="AL12" s="23">
        <v>9.36630288170823E-2</v>
      </c>
      <c r="AM12" s="23">
        <v>3.03917500230001E-2</v>
      </c>
      <c r="AN12" s="23">
        <v>0.15406128757947399</v>
      </c>
      <c r="AO12" s="23"/>
      <c r="AP12" s="23">
        <v>6.6731098248696094E-2</v>
      </c>
      <c r="AQ12" s="23">
        <v>8.4425167281550695E-2</v>
      </c>
      <c r="AR12" s="23"/>
      <c r="AS12" s="23">
        <v>8.3365086455441301E-2</v>
      </c>
      <c r="AT12" s="23">
        <v>4.5688299918298703E-2</v>
      </c>
      <c r="AU12" s="23">
        <v>8.1327608567696094E-2</v>
      </c>
      <c r="AV12" s="23"/>
      <c r="AW12" s="23">
        <v>6.8713564779047401E-2</v>
      </c>
      <c r="AX12" s="23">
        <v>3.6876337997739601E-2</v>
      </c>
      <c r="AY12" s="23"/>
      <c r="AZ12" s="23">
        <v>5.8869120341135103E-2</v>
      </c>
      <c r="BA12" s="23">
        <v>0.12370119060896601</v>
      </c>
    </row>
    <row r="13" spans="2:53" x14ac:dyDescent="0.35">
      <c r="B13" s="16"/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BA18"/>
  <sheetViews>
    <sheetView showGridLines="0" workbookViewId="0">
      <pane xSplit="2" topLeftCell="C1" activePane="topRight" state="frozen"/>
      <selection pane="topRight" activeCell="BA12" sqref="BA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170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166</v>
      </c>
      <c r="C9" s="14">
        <v>0.31554098923639501</v>
      </c>
      <c r="D9" s="14">
        <v>0.42960469876937002</v>
      </c>
      <c r="E9" s="14">
        <v>0.200722481949028</v>
      </c>
      <c r="F9" s="14"/>
      <c r="G9" s="14">
        <v>0.57053593827321503</v>
      </c>
      <c r="H9" s="14">
        <v>0.32749007028821803</v>
      </c>
      <c r="I9" s="14">
        <v>0.32453725698429198</v>
      </c>
      <c r="J9" s="14">
        <v>0.28635440995720102</v>
      </c>
      <c r="K9" s="14">
        <v>0.355182850283845</v>
      </c>
      <c r="L9" s="14">
        <v>0.187050405906383</v>
      </c>
      <c r="M9" s="14"/>
      <c r="N9" s="14">
        <v>0.411942050673819</v>
      </c>
      <c r="O9" s="14">
        <v>0.293285332071409</v>
      </c>
      <c r="P9" s="14">
        <v>0.31533826906539802</v>
      </c>
      <c r="Q9" s="14">
        <v>0.23589477239116699</v>
      </c>
      <c r="R9" s="14"/>
      <c r="S9" s="14">
        <v>0.38710827934519898</v>
      </c>
      <c r="T9" s="14">
        <v>0.33263478348700998</v>
      </c>
      <c r="U9" s="14">
        <v>0.315156706544791</v>
      </c>
      <c r="V9" s="14">
        <v>0.326586279220689</v>
      </c>
      <c r="W9" s="14">
        <v>0.34688846814711499</v>
      </c>
      <c r="X9" s="14">
        <v>0.30824877857439698</v>
      </c>
      <c r="Y9" s="14">
        <v>0.25332124716135002</v>
      </c>
      <c r="Z9" s="14">
        <v>0.26666360910716003</v>
      </c>
      <c r="AA9" s="14">
        <v>0.24805443284666601</v>
      </c>
      <c r="AB9" s="14"/>
      <c r="AC9" s="14">
        <v>0.200488300657329</v>
      </c>
      <c r="AD9" s="14">
        <v>0.31048751115841</v>
      </c>
      <c r="AE9" s="14">
        <v>0.34950491603253298</v>
      </c>
      <c r="AF9" s="14">
        <v>0.43689576564299298</v>
      </c>
      <c r="AG9" s="14">
        <v>0.60760461504641905</v>
      </c>
      <c r="AH9" s="14"/>
      <c r="AI9" s="14">
        <v>0.35781465764176701</v>
      </c>
      <c r="AJ9" s="14">
        <v>0.36326636079847602</v>
      </c>
      <c r="AK9" s="14">
        <v>0.28659477151035101</v>
      </c>
      <c r="AL9" s="14">
        <v>0.31406735618189302</v>
      </c>
      <c r="AM9" s="14">
        <v>0.26703531131819602</v>
      </c>
      <c r="AN9" s="14">
        <v>0.25698580247999497</v>
      </c>
      <c r="AO9" s="14"/>
      <c r="AP9" s="14">
        <v>0.34796113130724898</v>
      </c>
      <c r="AQ9" s="14">
        <v>0.279413890947312</v>
      </c>
      <c r="AR9" s="14"/>
      <c r="AS9" s="14">
        <v>0.33534148196199298</v>
      </c>
      <c r="AT9" s="14">
        <v>0.29496368742276002</v>
      </c>
      <c r="AU9" s="14">
        <v>0.31629659586682601</v>
      </c>
      <c r="AV9" s="14"/>
      <c r="AW9" s="14">
        <v>0.29684262748016399</v>
      </c>
      <c r="AX9" s="14">
        <v>0.46125103588025201</v>
      </c>
      <c r="AY9" s="14"/>
      <c r="AZ9" s="14">
        <v>0.40194633039707101</v>
      </c>
      <c r="BA9" s="14">
        <v>0</v>
      </c>
    </row>
    <row r="10" spans="2:53" ht="29" x14ac:dyDescent="0.35">
      <c r="B10" s="15" t="s">
        <v>167</v>
      </c>
      <c r="C10" s="14">
        <v>0.46949165162558698</v>
      </c>
      <c r="D10" s="14">
        <v>0.46021731800115101</v>
      </c>
      <c r="E10" s="14">
        <v>0.47922857990685702</v>
      </c>
      <c r="F10" s="14"/>
      <c r="G10" s="14">
        <v>0.42946406172678497</v>
      </c>
      <c r="H10" s="14">
        <v>0.46835747620040502</v>
      </c>
      <c r="I10" s="14">
        <v>0.44961117149346302</v>
      </c>
      <c r="J10" s="14">
        <v>0.49354493267397398</v>
      </c>
      <c r="K10" s="14">
        <v>0.48643672666892901</v>
      </c>
      <c r="L10" s="14">
        <v>0.48686255899587799</v>
      </c>
      <c r="M10" s="14"/>
      <c r="N10" s="14">
        <v>0.461334805061621</v>
      </c>
      <c r="O10" s="14">
        <v>0.51120745415986901</v>
      </c>
      <c r="P10" s="14">
        <v>0.44524033061222101</v>
      </c>
      <c r="Q10" s="14">
        <v>0.45766267219588003</v>
      </c>
      <c r="R10" s="14"/>
      <c r="S10" s="14">
        <v>0.46352007310325499</v>
      </c>
      <c r="T10" s="14">
        <v>0.48389961917722302</v>
      </c>
      <c r="U10" s="14">
        <v>0.42573608645889599</v>
      </c>
      <c r="V10" s="14">
        <v>0.440014674471155</v>
      </c>
      <c r="W10" s="14">
        <v>0.454961604439509</v>
      </c>
      <c r="X10" s="14">
        <v>0.452494962322881</v>
      </c>
      <c r="Y10" s="14">
        <v>0.46296340208696601</v>
      </c>
      <c r="Z10" s="14">
        <v>0.45809834731791299</v>
      </c>
      <c r="AA10" s="14">
        <v>0.55050868045209</v>
      </c>
      <c r="AB10" s="14"/>
      <c r="AC10" s="14">
        <v>0.48857231053091499</v>
      </c>
      <c r="AD10" s="14">
        <v>0.45133746268879599</v>
      </c>
      <c r="AE10" s="14">
        <v>0.478027857751611</v>
      </c>
      <c r="AF10" s="14">
        <v>0.440891233869878</v>
      </c>
      <c r="AG10" s="14">
        <v>0.36633990564957503</v>
      </c>
      <c r="AH10" s="14"/>
      <c r="AI10" s="14">
        <v>0.46552615039211998</v>
      </c>
      <c r="AJ10" s="14">
        <v>0.47911952382921003</v>
      </c>
      <c r="AK10" s="14">
        <v>0.517867257295336</v>
      </c>
      <c r="AL10" s="14">
        <v>0.497881704728248</v>
      </c>
      <c r="AM10" s="14">
        <v>0.41319840479806103</v>
      </c>
      <c r="AN10" s="14">
        <v>0.42715352978804599</v>
      </c>
      <c r="AO10" s="14"/>
      <c r="AP10" s="14">
        <v>0.46428126152964599</v>
      </c>
      <c r="AQ10" s="14">
        <v>0.47686713127385999</v>
      </c>
      <c r="AR10" s="14"/>
      <c r="AS10" s="14">
        <v>0.481280733224285</v>
      </c>
      <c r="AT10" s="14">
        <v>0.47020617249763802</v>
      </c>
      <c r="AU10" s="14">
        <v>0.46610751833487402</v>
      </c>
      <c r="AV10" s="14"/>
      <c r="AW10" s="14">
        <v>0.47384720102462402</v>
      </c>
      <c r="AX10" s="14">
        <v>0.42702495635443199</v>
      </c>
      <c r="AY10" s="14"/>
      <c r="AZ10" s="14">
        <v>0.59805366960292905</v>
      </c>
      <c r="BA10" s="14">
        <v>0</v>
      </c>
    </row>
    <row r="11" spans="2:53" ht="29" x14ac:dyDescent="0.35">
      <c r="B11" s="15" t="s">
        <v>168</v>
      </c>
      <c r="C11" s="14">
        <v>0.16954317289715901</v>
      </c>
      <c r="D11" s="14">
        <v>9.1981895086184498E-2</v>
      </c>
      <c r="E11" s="14">
        <v>0.24733084292999399</v>
      </c>
      <c r="F11" s="14"/>
      <c r="G11" s="14">
        <v>0</v>
      </c>
      <c r="H11" s="14">
        <v>0.14878215326882099</v>
      </c>
      <c r="I11" s="14">
        <v>0.17542400617199</v>
      </c>
      <c r="J11" s="14">
        <v>0.182382633360646</v>
      </c>
      <c r="K11" s="14">
        <v>0.140877146310041</v>
      </c>
      <c r="L11" s="14">
        <v>0.184027299783836</v>
      </c>
      <c r="M11" s="14"/>
      <c r="N11" s="14">
        <v>0.107024945886655</v>
      </c>
      <c r="O11" s="14">
        <v>0.17171639556802901</v>
      </c>
      <c r="P11" s="14">
        <v>0.16716770534356701</v>
      </c>
      <c r="Q11" s="14">
        <v>0.23551300718051099</v>
      </c>
      <c r="R11" s="14"/>
      <c r="S11" s="14">
        <v>0.118757554028858</v>
      </c>
      <c r="T11" s="14">
        <v>0.14275762635747299</v>
      </c>
      <c r="U11" s="14">
        <v>0.19980758492825801</v>
      </c>
      <c r="V11" s="14">
        <v>0.18141589188844001</v>
      </c>
      <c r="W11" s="14">
        <v>0.151231746904329</v>
      </c>
      <c r="X11" s="14">
        <v>0.20459586203237501</v>
      </c>
      <c r="Y11" s="14">
        <v>0.23058936847346001</v>
      </c>
      <c r="Z11" s="14">
        <v>0.22221056791229701</v>
      </c>
      <c r="AA11" s="14">
        <v>0.149841514668793</v>
      </c>
      <c r="AB11" s="14"/>
      <c r="AC11" s="14">
        <v>0.24875052735186701</v>
      </c>
      <c r="AD11" s="14">
        <v>0.17262669472438599</v>
      </c>
      <c r="AE11" s="14">
        <v>0.150911775968498</v>
      </c>
      <c r="AF11" s="14">
        <v>0.100985970425632</v>
      </c>
      <c r="AG11" s="14">
        <v>2.60554793040059E-2</v>
      </c>
      <c r="AH11" s="14"/>
      <c r="AI11" s="14">
        <v>0.139959001104806</v>
      </c>
      <c r="AJ11" s="14">
        <v>0.13195098863180599</v>
      </c>
      <c r="AK11" s="14">
        <v>0.17556570044165501</v>
      </c>
      <c r="AL11" s="14">
        <v>0.143075287346838</v>
      </c>
      <c r="AM11" s="14">
        <v>0.24397980314242401</v>
      </c>
      <c r="AN11" s="14">
        <v>0.19952964648070001</v>
      </c>
      <c r="AO11" s="14"/>
      <c r="AP11" s="14">
        <v>0.153062676590278</v>
      </c>
      <c r="AQ11" s="14">
        <v>0.186076483384359</v>
      </c>
      <c r="AR11" s="14"/>
      <c r="AS11" s="14">
        <v>0.14966434983980301</v>
      </c>
      <c r="AT11" s="14">
        <v>0.175011851792363</v>
      </c>
      <c r="AU11" s="14">
        <v>0.173276195115034</v>
      </c>
      <c r="AV11" s="14"/>
      <c r="AW11" s="14">
        <v>0.18099506849532501</v>
      </c>
      <c r="AX11" s="14">
        <v>0.100413871594925</v>
      </c>
      <c r="AY11" s="14"/>
      <c r="AZ11" s="14">
        <v>0</v>
      </c>
      <c r="BA11" s="14">
        <v>0.80527515855485599</v>
      </c>
    </row>
    <row r="12" spans="2:53" ht="29" x14ac:dyDescent="0.35">
      <c r="B12" s="15" t="s">
        <v>169</v>
      </c>
      <c r="C12" s="14">
        <v>4.0997498941545897E-2</v>
      </c>
      <c r="D12" s="14">
        <v>1.38816909727453E-2</v>
      </c>
      <c r="E12" s="14">
        <v>6.8174736262044996E-2</v>
      </c>
      <c r="F12" s="14"/>
      <c r="G12" s="14">
        <v>0</v>
      </c>
      <c r="H12" s="14">
        <v>4.7313498879383402E-2</v>
      </c>
      <c r="I12" s="14">
        <v>4.6643903723958699E-2</v>
      </c>
      <c r="J12" s="14">
        <v>3.61268385323869E-2</v>
      </c>
      <c r="K12" s="14">
        <v>1.7503276737185301E-2</v>
      </c>
      <c r="L12" s="14">
        <v>7.0132536380984503E-2</v>
      </c>
      <c r="M12" s="14"/>
      <c r="N12" s="14">
        <v>1.7794968197507401E-2</v>
      </c>
      <c r="O12" s="14">
        <v>2.1654407017680601E-2</v>
      </c>
      <c r="P12" s="14">
        <v>6.71048453231856E-2</v>
      </c>
      <c r="Q12" s="14">
        <v>6.1982937645227797E-2</v>
      </c>
      <c r="R12" s="14"/>
      <c r="S12" s="14">
        <v>2.7406594653886601E-2</v>
      </c>
      <c r="T12" s="14">
        <v>4.0707970978293297E-2</v>
      </c>
      <c r="U12" s="14">
        <v>5.9299622068055002E-2</v>
      </c>
      <c r="V12" s="14">
        <v>4.6067130412798002E-2</v>
      </c>
      <c r="W12" s="14">
        <v>3.4804960121187903E-2</v>
      </c>
      <c r="X12" s="14">
        <v>1.91156722900741E-2</v>
      </c>
      <c r="Y12" s="14">
        <v>5.3125982278224203E-2</v>
      </c>
      <c r="Z12" s="14">
        <v>5.3027475662629497E-2</v>
      </c>
      <c r="AA12" s="14">
        <v>4.6861252671779402E-2</v>
      </c>
      <c r="AB12" s="14"/>
      <c r="AC12" s="14">
        <v>6.2188861459889402E-2</v>
      </c>
      <c r="AD12" s="14">
        <v>5.9622680949581397E-2</v>
      </c>
      <c r="AE12" s="14">
        <v>2.1555450247357801E-2</v>
      </c>
      <c r="AF12" s="14">
        <v>1.78108910276931E-2</v>
      </c>
      <c r="AG12" s="14">
        <v>0</v>
      </c>
      <c r="AH12" s="14"/>
      <c r="AI12" s="14">
        <v>3.2132524337368198E-2</v>
      </c>
      <c r="AJ12" s="14">
        <v>2.5663126740507101E-2</v>
      </c>
      <c r="AK12" s="14">
        <v>1.9972270752659199E-2</v>
      </c>
      <c r="AL12" s="14">
        <v>4.1380869932010199E-2</v>
      </c>
      <c r="AM12" s="14">
        <v>7.5786480741318996E-2</v>
      </c>
      <c r="AN12" s="14">
        <v>0.108048536210132</v>
      </c>
      <c r="AO12" s="14"/>
      <c r="AP12" s="14">
        <v>3.26785441658686E-2</v>
      </c>
      <c r="AQ12" s="14">
        <v>5.0489614526034801E-2</v>
      </c>
      <c r="AR12" s="14"/>
      <c r="AS12" s="14">
        <v>2.9931751404404398E-2</v>
      </c>
      <c r="AT12" s="14">
        <v>4.7863842715561898E-2</v>
      </c>
      <c r="AU12" s="14">
        <v>4.1945332454168698E-2</v>
      </c>
      <c r="AV12" s="14"/>
      <c r="AW12" s="14">
        <v>4.4678191345073698E-2</v>
      </c>
      <c r="AX12" s="14">
        <v>1.1310136170391E-2</v>
      </c>
      <c r="AY12" s="14"/>
      <c r="AZ12" s="14">
        <v>0</v>
      </c>
      <c r="BA12" s="14">
        <v>0.19472484144514399</v>
      </c>
    </row>
    <row r="13" spans="2:53" x14ac:dyDescent="0.35">
      <c r="B13" s="15" t="s">
        <v>116</v>
      </c>
      <c r="C13" s="23">
        <v>4.4266872993129402E-3</v>
      </c>
      <c r="D13" s="23">
        <v>4.31439717054903E-3</v>
      </c>
      <c r="E13" s="23">
        <v>4.54335895207584E-3</v>
      </c>
      <c r="F13" s="23"/>
      <c r="G13" s="23">
        <v>0</v>
      </c>
      <c r="H13" s="23">
        <v>8.0568013631725499E-3</v>
      </c>
      <c r="I13" s="23">
        <v>3.7836616262965001E-3</v>
      </c>
      <c r="J13" s="23">
        <v>1.59118547579138E-3</v>
      </c>
      <c r="K13" s="23">
        <v>0</v>
      </c>
      <c r="L13" s="23">
        <v>7.1927198932918504E-2</v>
      </c>
      <c r="M13" s="23"/>
      <c r="N13" s="23">
        <v>1.90323018039794E-3</v>
      </c>
      <c r="O13" s="23">
        <v>2.1364111830122498E-3</v>
      </c>
      <c r="P13" s="23">
        <v>5.1488496556280098E-3</v>
      </c>
      <c r="Q13" s="23">
        <v>8.9466105872149197E-3</v>
      </c>
      <c r="R13" s="23"/>
      <c r="S13" s="23">
        <v>3.2074988688016799E-3</v>
      </c>
      <c r="T13" s="23">
        <v>0</v>
      </c>
      <c r="U13" s="23">
        <v>0</v>
      </c>
      <c r="V13" s="23">
        <v>5.9160240069183103E-3</v>
      </c>
      <c r="W13" s="23">
        <v>1.2113220387858699E-2</v>
      </c>
      <c r="X13" s="23">
        <v>1.55447247802732E-2</v>
      </c>
      <c r="Y13" s="23">
        <v>0</v>
      </c>
      <c r="Z13" s="23">
        <v>0</v>
      </c>
      <c r="AA13" s="23">
        <v>4.7341193606715596E-3</v>
      </c>
      <c r="AB13" s="23"/>
      <c r="AC13" s="23">
        <v>0</v>
      </c>
      <c r="AD13" s="23">
        <v>5.9256504788265498E-3</v>
      </c>
      <c r="AE13" s="23">
        <v>0</v>
      </c>
      <c r="AF13" s="23">
        <v>3.4161390338037401E-3</v>
      </c>
      <c r="AG13" s="23">
        <v>0</v>
      </c>
      <c r="AH13" s="23"/>
      <c r="AI13" s="23">
        <v>4.5676665239391201E-3</v>
      </c>
      <c r="AJ13" s="23">
        <v>0</v>
      </c>
      <c r="AK13" s="23">
        <v>0</v>
      </c>
      <c r="AL13" s="23">
        <v>3.5947818110103899E-3</v>
      </c>
      <c r="AM13" s="23">
        <v>0</v>
      </c>
      <c r="AN13" s="23">
        <v>8.2824850411278503E-3</v>
      </c>
      <c r="AO13" s="23"/>
      <c r="AP13" s="23">
        <v>2.0163864069589E-3</v>
      </c>
      <c r="AQ13" s="23">
        <v>7.15287986843472E-3</v>
      </c>
      <c r="AR13" s="23"/>
      <c r="AS13" s="23">
        <v>3.78168356951394E-3</v>
      </c>
      <c r="AT13" s="23">
        <v>1.19544455716769E-2</v>
      </c>
      <c r="AU13" s="23">
        <v>2.3743582290979099E-3</v>
      </c>
      <c r="AV13" s="23"/>
      <c r="AW13" s="23">
        <v>3.63691165481328E-3</v>
      </c>
      <c r="AX13" s="23">
        <v>0</v>
      </c>
      <c r="AY13" s="23"/>
      <c r="AZ13" s="23">
        <v>0</v>
      </c>
      <c r="BA13" s="23">
        <v>0</v>
      </c>
    </row>
    <row r="14" spans="2:53" x14ac:dyDescent="0.35">
      <c r="B14" s="16"/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BA19"/>
  <sheetViews>
    <sheetView showGridLines="0" topLeftCell="A1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177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171</v>
      </c>
      <c r="C9" s="14">
        <v>0.13844435094291699</v>
      </c>
      <c r="D9" s="14">
        <v>0.161859451800553</v>
      </c>
      <c r="E9" s="14">
        <v>0.115144751269149</v>
      </c>
      <c r="F9" s="14"/>
      <c r="G9" s="14">
        <v>5.8383768941911898E-2</v>
      </c>
      <c r="H9" s="14">
        <v>0.17798902444105599</v>
      </c>
      <c r="I9" s="14">
        <v>0.14419578286036799</v>
      </c>
      <c r="J9" s="14">
        <v>0.11439757092750499</v>
      </c>
      <c r="K9" s="14">
        <v>0.14290472548743799</v>
      </c>
      <c r="L9" s="14">
        <v>6.1818364403957E-2</v>
      </c>
      <c r="M9" s="14"/>
      <c r="N9" s="14">
        <v>0.17623993725051401</v>
      </c>
      <c r="O9" s="14">
        <v>0.10276427141514299</v>
      </c>
      <c r="P9" s="14">
        <v>0.167702000205073</v>
      </c>
      <c r="Q9" s="14">
        <v>0.110583083577713</v>
      </c>
      <c r="R9" s="14"/>
      <c r="S9" s="14">
        <v>0.214684651821408</v>
      </c>
      <c r="T9" s="14">
        <v>0.113683613631303</v>
      </c>
      <c r="U9" s="14">
        <v>0.120989822189256</v>
      </c>
      <c r="V9" s="14">
        <v>0.124700537555774</v>
      </c>
      <c r="W9" s="14">
        <v>0.16878470562287601</v>
      </c>
      <c r="X9" s="14">
        <v>0.15201765725121799</v>
      </c>
      <c r="Y9" s="14">
        <v>0.12094276947410899</v>
      </c>
      <c r="Z9" s="14">
        <v>8.9016563492458498E-2</v>
      </c>
      <c r="AA9" s="14">
        <v>0.10118073922163701</v>
      </c>
      <c r="AB9" s="14"/>
      <c r="AC9" s="14">
        <v>9.4998012294075507E-2</v>
      </c>
      <c r="AD9" s="14">
        <v>0.121921608545838</v>
      </c>
      <c r="AE9" s="14">
        <v>0.13950720894723301</v>
      </c>
      <c r="AF9" s="14">
        <v>0.23690798738864799</v>
      </c>
      <c r="AG9" s="14">
        <v>0.29971284373953</v>
      </c>
      <c r="AH9" s="14"/>
      <c r="AI9" s="14">
        <v>0.171375013205086</v>
      </c>
      <c r="AJ9" s="14">
        <v>0.15430539774639801</v>
      </c>
      <c r="AK9" s="14">
        <v>9.7227945417504999E-2</v>
      </c>
      <c r="AL9" s="14">
        <v>0.117544819356734</v>
      </c>
      <c r="AM9" s="14">
        <v>0.17090617252290599</v>
      </c>
      <c r="AN9" s="14">
        <v>6.9616829037212793E-2</v>
      </c>
      <c r="AO9" s="14"/>
      <c r="AP9" s="14">
        <v>0.149191247372706</v>
      </c>
      <c r="AQ9" s="14">
        <v>0.126131951879625</v>
      </c>
      <c r="AR9" s="14"/>
      <c r="AS9" s="14">
        <v>0.17867321063510799</v>
      </c>
      <c r="AT9" s="14">
        <v>0.14439503079013299</v>
      </c>
      <c r="AU9" s="14">
        <v>0.125857774670461</v>
      </c>
      <c r="AV9" s="14"/>
      <c r="AW9" s="14">
        <v>0.113949501038208</v>
      </c>
      <c r="AX9" s="14">
        <v>0.25364992103378498</v>
      </c>
      <c r="AY9" s="14"/>
      <c r="AZ9" s="14">
        <v>0.16454104225003499</v>
      </c>
      <c r="BA9" s="14">
        <v>4.4049740765972997E-2</v>
      </c>
    </row>
    <row r="10" spans="2:53" ht="29" x14ac:dyDescent="0.35">
      <c r="B10" s="15" t="s">
        <v>172</v>
      </c>
      <c r="C10" s="14">
        <v>0.358205936877595</v>
      </c>
      <c r="D10" s="14">
        <v>0.38513098650960098</v>
      </c>
      <c r="E10" s="14">
        <v>0.33063712947436202</v>
      </c>
      <c r="F10" s="14"/>
      <c r="G10" s="14">
        <v>0.68569963023940395</v>
      </c>
      <c r="H10" s="14">
        <v>0.41529441946578799</v>
      </c>
      <c r="I10" s="14">
        <v>0.360998233513737</v>
      </c>
      <c r="J10" s="14">
        <v>0.32074530892516701</v>
      </c>
      <c r="K10" s="14">
        <v>0.387458232628969</v>
      </c>
      <c r="L10" s="14">
        <v>0.165404119913484</v>
      </c>
      <c r="M10" s="14"/>
      <c r="N10" s="14">
        <v>0.39586988685725599</v>
      </c>
      <c r="O10" s="14">
        <v>0.36660717673125998</v>
      </c>
      <c r="P10" s="14">
        <v>0.37202479789967102</v>
      </c>
      <c r="Q10" s="14">
        <v>0.29574407489253401</v>
      </c>
      <c r="R10" s="14"/>
      <c r="S10" s="14">
        <v>0.37878610238068999</v>
      </c>
      <c r="T10" s="14">
        <v>0.39974081531849998</v>
      </c>
      <c r="U10" s="14">
        <v>0.32745951282547298</v>
      </c>
      <c r="V10" s="14">
        <v>0.296610486129464</v>
      </c>
      <c r="W10" s="14">
        <v>0.36064967543927501</v>
      </c>
      <c r="X10" s="14">
        <v>0.33834730655013001</v>
      </c>
      <c r="Y10" s="14">
        <v>0.35439103295782098</v>
      </c>
      <c r="Z10" s="14">
        <v>0.40201101167085801</v>
      </c>
      <c r="AA10" s="14">
        <v>0.357406688533004</v>
      </c>
      <c r="AB10" s="14"/>
      <c r="AC10" s="14">
        <v>0.31651616272501398</v>
      </c>
      <c r="AD10" s="14">
        <v>0.34516439473046101</v>
      </c>
      <c r="AE10" s="14">
        <v>0.366798145888456</v>
      </c>
      <c r="AF10" s="14">
        <v>0.40578881118494298</v>
      </c>
      <c r="AG10" s="14">
        <v>0.320743385390796</v>
      </c>
      <c r="AH10" s="14"/>
      <c r="AI10" s="14">
        <v>0.38045604896466501</v>
      </c>
      <c r="AJ10" s="14">
        <v>0.44465402608226601</v>
      </c>
      <c r="AK10" s="14">
        <v>0.34574155615305402</v>
      </c>
      <c r="AL10" s="14">
        <v>0.36090511132507003</v>
      </c>
      <c r="AM10" s="14">
        <v>0.25148854930415498</v>
      </c>
      <c r="AN10" s="14">
        <v>0.28747650646544398</v>
      </c>
      <c r="AO10" s="14"/>
      <c r="AP10" s="14">
        <v>0.38279987834026802</v>
      </c>
      <c r="AQ10" s="14">
        <v>0.33049288229152701</v>
      </c>
      <c r="AR10" s="14"/>
      <c r="AS10" s="14">
        <v>0.394420350268682</v>
      </c>
      <c r="AT10" s="14">
        <v>0.39050037259926501</v>
      </c>
      <c r="AU10" s="14">
        <v>0.338910065648245</v>
      </c>
      <c r="AV10" s="14"/>
      <c r="AW10" s="14">
        <v>0.35649747120759201</v>
      </c>
      <c r="AX10" s="14">
        <v>0.42833814346937199</v>
      </c>
      <c r="AY10" s="14"/>
      <c r="AZ10" s="14">
        <v>0.40575815845605101</v>
      </c>
      <c r="BA10" s="14">
        <v>0.18843170702875101</v>
      </c>
    </row>
    <row r="11" spans="2:53" ht="29" x14ac:dyDescent="0.35">
      <c r="B11" s="15" t="s">
        <v>173</v>
      </c>
      <c r="C11" s="14">
        <v>0.29998973145556201</v>
      </c>
      <c r="D11" s="14">
        <v>0.28671547770275602</v>
      </c>
      <c r="E11" s="14">
        <v>0.31356544362373001</v>
      </c>
      <c r="F11" s="14"/>
      <c r="G11" s="14">
        <v>0.255916600818684</v>
      </c>
      <c r="H11" s="14">
        <v>0.28758887896518098</v>
      </c>
      <c r="I11" s="14">
        <v>0.30065536610725202</v>
      </c>
      <c r="J11" s="14">
        <v>0.32307660218602402</v>
      </c>
      <c r="K11" s="14">
        <v>0.21933293826581299</v>
      </c>
      <c r="L11" s="14">
        <v>0.45039717554355801</v>
      </c>
      <c r="M11" s="14"/>
      <c r="N11" s="14">
        <v>0.27427999526675301</v>
      </c>
      <c r="O11" s="14">
        <v>0.35348566845877599</v>
      </c>
      <c r="P11" s="14">
        <v>0.25959280246942701</v>
      </c>
      <c r="Q11" s="14">
        <v>0.30964550693113402</v>
      </c>
      <c r="R11" s="14"/>
      <c r="S11" s="14">
        <v>0.26202564049710803</v>
      </c>
      <c r="T11" s="14">
        <v>0.30955962144233501</v>
      </c>
      <c r="U11" s="14">
        <v>0.32046011375149802</v>
      </c>
      <c r="V11" s="14">
        <v>0.292530071978925</v>
      </c>
      <c r="W11" s="14">
        <v>0.30021036463143702</v>
      </c>
      <c r="X11" s="14">
        <v>0.29080874233012699</v>
      </c>
      <c r="Y11" s="14">
        <v>0.27792607246988099</v>
      </c>
      <c r="Z11" s="14">
        <v>0.33964629195443802</v>
      </c>
      <c r="AA11" s="14">
        <v>0.33418715186659498</v>
      </c>
      <c r="AB11" s="14"/>
      <c r="AC11" s="14">
        <v>0.32751003566201797</v>
      </c>
      <c r="AD11" s="14">
        <v>0.32997755438187498</v>
      </c>
      <c r="AE11" s="14">
        <v>0.31300134591393097</v>
      </c>
      <c r="AF11" s="14">
        <v>0.23677706426725001</v>
      </c>
      <c r="AG11" s="14">
        <v>0.30281054228980597</v>
      </c>
      <c r="AH11" s="14"/>
      <c r="AI11" s="14">
        <v>0.28226554074391502</v>
      </c>
      <c r="AJ11" s="14">
        <v>0.25383955318780599</v>
      </c>
      <c r="AK11" s="14">
        <v>0.352222098785057</v>
      </c>
      <c r="AL11" s="14">
        <v>0.31094343419732701</v>
      </c>
      <c r="AM11" s="14">
        <v>0.301006779761609</v>
      </c>
      <c r="AN11" s="14">
        <v>0.35871461948674599</v>
      </c>
      <c r="AO11" s="14"/>
      <c r="AP11" s="14">
        <v>0.29575713223528399</v>
      </c>
      <c r="AQ11" s="14">
        <v>0.30571879476782599</v>
      </c>
      <c r="AR11" s="14"/>
      <c r="AS11" s="14">
        <v>0.30512053113577597</v>
      </c>
      <c r="AT11" s="14">
        <v>0.29978331715254503</v>
      </c>
      <c r="AU11" s="14">
        <v>0.29866989009391898</v>
      </c>
      <c r="AV11" s="14"/>
      <c r="AW11" s="14">
        <v>0.31960213766080298</v>
      </c>
      <c r="AX11" s="14">
        <v>0.207016309669764</v>
      </c>
      <c r="AY11" s="14"/>
      <c r="AZ11" s="14">
        <v>0.28542531419247502</v>
      </c>
      <c r="BA11" s="14">
        <v>0.35245060597790001</v>
      </c>
    </row>
    <row r="12" spans="2:53" ht="43.5" x14ac:dyDescent="0.35">
      <c r="B12" s="15" t="s">
        <v>174</v>
      </c>
      <c r="C12" s="14">
        <v>0.118835578703417</v>
      </c>
      <c r="D12" s="14">
        <v>9.41998134104991E-2</v>
      </c>
      <c r="E12" s="14">
        <v>0.14360625545941699</v>
      </c>
      <c r="F12" s="14"/>
      <c r="G12" s="14">
        <v>0</v>
      </c>
      <c r="H12" s="14">
        <v>7.4423413899184401E-2</v>
      </c>
      <c r="I12" s="14">
        <v>0.12172301825050399</v>
      </c>
      <c r="J12" s="14">
        <v>0.13688064027522201</v>
      </c>
      <c r="K12" s="14">
        <v>0.134085235720562</v>
      </c>
      <c r="L12" s="14">
        <v>6.4394233971469497E-2</v>
      </c>
      <c r="M12" s="14"/>
      <c r="N12" s="14">
        <v>0.105627372487581</v>
      </c>
      <c r="O12" s="14">
        <v>0.110100014946449</v>
      </c>
      <c r="P12" s="14">
        <v>0.13690433581702799</v>
      </c>
      <c r="Q12" s="14">
        <v>0.12409554822990999</v>
      </c>
      <c r="R12" s="14"/>
      <c r="S12" s="14">
        <v>7.6843577413770903E-2</v>
      </c>
      <c r="T12" s="14">
        <v>0.106423222203322</v>
      </c>
      <c r="U12" s="14">
        <v>0.16639347552736</v>
      </c>
      <c r="V12" s="14">
        <v>0.16644501682747301</v>
      </c>
      <c r="W12" s="14">
        <v>0.10609205255371799</v>
      </c>
      <c r="X12" s="14">
        <v>0.118835288378878</v>
      </c>
      <c r="Y12" s="14">
        <v>0.14190252170016801</v>
      </c>
      <c r="Z12" s="14">
        <v>0.10958592548740501</v>
      </c>
      <c r="AA12" s="14">
        <v>0.103328593919136</v>
      </c>
      <c r="AB12" s="14"/>
      <c r="AC12" s="14">
        <v>0.107652701075465</v>
      </c>
      <c r="AD12" s="14">
        <v>0.13879536159372699</v>
      </c>
      <c r="AE12" s="14">
        <v>0.128428170917495</v>
      </c>
      <c r="AF12" s="14">
        <v>7.0164216694769702E-2</v>
      </c>
      <c r="AG12" s="14">
        <v>5.5946658193459099E-2</v>
      </c>
      <c r="AH12" s="14"/>
      <c r="AI12" s="14">
        <v>0.10207472935461701</v>
      </c>
      <c r="AJ12" s="14">
        <v>0.111824260505791</v>
      </c>
      <c r="AK12" s="14">
        <v>0.11171293885811399</v>
      </c>
      <c r="AL12" s="14">
        <v>0.10798471788945301</v>
      </c>
      <c r="AM12" s="14">
        <v>0.17641261956403401</v>
      </c>
      <c r="AN12" s="14">
        <v>0.14717325846168999</v>
      </c>
      <c r="AO12" s="14"/>
      <c r="AP12" s="14">
        <v>0.106025162670272</v>
      </c>
      <c r="AQ12" s="14">
        <v>0.13363207154899101</v>
      </c>
      <c r="AR12" s="14"/>
      <c r="AS12" s="14">
        <v>5.0234494562492599E-2</v>
      </c>
      <c r="AT12" s="14">
        <v>9.0880484108614407E-2</v>
      </c>
      <c r="AU12" s="14">
        <v>0.14556470982660799</v>
      </c>
      <c r="AV12" s="14"/>
      <c r="AW12" s="14">
        <v>0.12109764146973</v>
      </c>
      <c r="AX12" s="14">
        <v>8.9197387493295005E-2</v>
      </c>
      <c r="AY12" s="14"/>
      <c r="AZ12" s="14">
        <v>8.9117405865197702E-2</v>
      </c>
      <c r="BA12" s="14">
        <v>0.23214282448825499</v>
      </c>
    </row>
    <row r="13" spans="2:53" ht="29" x14ac:dyDescent="0.35">
      <c r="B13" s="15" t="s">
        <v>175</v>
      </c>
      <c r="C13" s="14">
        <v>7.8253741709128397E-2</v>
      </c>
      <c r="D13" s="14">
        <v>6.6881311911994298E-2</v>
      </c>
      <c r="E13" s="14">
        <v>8.9711132985692194E-2</v>
      </c>
      <c r="F13" s="14"/>
      <c r="G13" s="14">
        <v>0</v>
      </c>
      <c r="H13" s="14">
        <v>4.1333327815263603E-2</v>
      </c>
      <c r="I13" s="14">
        <v>6.7193370437280006E-2</v>
      </c>
      <c r="J13" s="14">
        <v>9.6963135390066305E-2</v>
      </c>
      <c r="K13" s="14">
        <v>0.116218867897218</v>
      </c>
      <c r="L13" s="14">
        <v>0.18605890723461299</v>
      </c>
      <c r="M13" s="14"/>
      <c r="N13" s="14">
        <v>4.5896054579620101E-2</v>
      </c>
      <c r="O13" s="14">
        <v>6.5516645667451301E-2</v>
      </c>
      <c r="P13" s="14">
        <v>5.6591794297996302E-2</v>
      </c>
      <c r="Q13" s="14">
        <v>0.14494600880043501</v>
      </c>
      <c r="R13" s="14"/>
      <c r="S13" s="14">
        <v>5.7979888834428499E-2</v>
      </c>
      <c r="T13" s="14">
        <v>7.0592727404539299E-2</v>
      </c>
      <c r="U13" s="14">
        <v>6.4697075706413004E-2</v>
      </c>
      <c r="V13" s="14">
        <v>0.11460333488814201</v>
      </c>
      <c r="W13" s="14">
        <v>5.2149981364835001E-2</v>
      </c>
      <c r="X13" s="14">
        <v>8.9967399306394899E-2</v>
      </c>
      <c r="Y13" s="14">
        <v>9.4298689700935995E-2</v>
      </c>
      <c r="Z13" s="14">
        <v>5.9740207394839602E-2</v>
      </c>
      <c r="AA13" s="14">
        <v>9.6115826699273904E-2</v>
      </c>
      <c r="AB13" s="14"/>
      <c r="AC13" s="14">
        <v>0.14855197782370499</v>
      </c>
      <c r="AD13" s="14">
        <v>6.12626654144015E-2</v>
      </c>
      <c r="AE13" s="14">
        <v>4.7231248170445897E-2</v>
      </c>
      <c r="AF13" s="14">
        <v>4.6407364634136097E-2</v>
      </c>
      <c r="AG13" s="14">
        <v>2.07865703864096E-2</v>
      </c>
      <c r="AH13" s="14"/>
      <c r="AI13" s="14">
        <v>5.6570277677072199E-2</v>
      </c>
      <c r="AJ13" s="14">
        <v>3.5376762477739902E-2</v>
      </c>
      <c r="AK13" s="14">
        <v>8.8692151956303103E-2</v>
      </c>
      <c r="AL13" s="14">
        <v>0.102621917231416</v>
      </c>
      <c r="AM13" s="14">
        <v>0.100185878847297</v>
      </c>
      <c r="AN13" s="14">
        <v>0.113709423282616</v>
      </c>
      <c r="AO13" s="14"/>
      <c r="AP13" s="14">
        <v>6.3462921559439195E-2</v>
      </c>
      <c r="AQ13" s="14">
        <v>9.3787560899821806E-2</v>
      </c>
      <c r="AR13" s="14"/>
      <c r="AS13" s="14">
        <v>6.8337236193821399E-2</v>
      </c>
      <c r="AT13" s="14">
        <v>6.2276211052085299E-2</v>
      </c>
      <c r="AU13" s="14">
        <v>8.5647098369241101E-2</v>
      </c>
      <c r="AV13" s="14"/>
      <c r="AW13" s="14">
        <v>8.3970120177142907E-2</v>
      </c>
      <c r="AX13" s="14">
        <v>2.1798238333783301E-2</v>
      </c>
      <c r="AY13" s="14"/>
      <c r="AZ13" s="14">
        <v>5.3183027006837899E-2</v>
      </c>
      <c r="BA13" s="14">
        <v>0.173378992524929</v>
      </c>
    </row>
    <row r="14" spans="2:53" x14ac:dyDescent="0.35">
      <c r="B14" s="15" t="s">
        <v>176</v>
      </c>
      <c r="C14" s="23">
        <v>6.2706603113805897E-3</v>
      </c>
      <c r="D14" s="23">
        <v>5.2129586645956998E-3</v>
      </c>
      <c r="E14" s="23">
        <v>7.3352871876497996E-3</v>
      </c>
      <c r="F14" s="23"/>
      <c r="G14" s="23">
        <v>0</v>
      </c>
      <c r="H14" s="23">
        <v>3.3709354135267101E-3</v>
      </c>
      <c r="I14" s="23">
        <v>5.2342288308582299E-3</v>
      </c>
      <c r="J14" s="23">
        <v>7.9367422960158699E-3</v>
      </c>
      <c r="K14" s="23">
        <v>0</v>
      </c>
      <c r="L14" s="23">
        <v>7.1927198932918504E-2</v>
      </c>
      <c r="M14" s="23"/>
      <c r="N14" s="23">
        <v>2.0867535582765398E-3</v>
      </c>
      <c r="O14" s="23">
        <v>1.5262227809200899E-3</v>
      </c>
      <c r="P14" s="23">
        <v>7.1842693108047501E-3</v>
      </c>
      <c r="Q14" s="23">
        <v>1.4985777568273E-2</v>
      </c>
      <c r="R14" s="23"/>
      <c r="S14" s="23">
        <v>9.6801390525945892E-3</v>
      </c>
      <c r="T14" s="23">
        <v>0</v>
      </c>
      <c r="U14" s="23">
        <v>0</v>
      </c>
      <c r="V14" s="23">
        <v>5.1105526202214896E-3</v>
      </c>
      <c r="W14" s="23">
        <v>1.2113220387858699E-2</v>
      </c>
      <c r="X14" s="23">
        <v>1.00236061832515E-2</v>
      </c>
      <c r="Y14" s="23">
        <v>1.05389136970836E-2</v>
      </c>
      <c r="Z14" s="23">
        <v>0</v>
      </c>
      <c r="AA14" s="23">
        <v>7.7809997603544203E-3</v>
      </c>
      <c r="AB14" s="23"/>
      <c r="AC14" s="23">
        <v>4.7711104197229598E-3</v>
      </c>
      <c r="AD14" s="23">
        <v>2.8784153336974998E-3</v>
      </c>
      <c r="AE14" s="23">
        <v>5.0338801624398299E-3</v>
      </c>
      <c r="AF14" s="23">
        <v>3.9545558302534096E-3</v>
      </c>
      <c r="AG14" s="23">
        <v>0</v>
      </c>
      <c r="AH14" s="23"/>
      <c r="AI14" s="23">
        <v>7.2583900546448702E-3</v>
      </c>
      <c r="AJ14" s="23">
        <v>0</v>
      </c>
      <c r="AK14" s="23">
        <v>4.4033088299661096E-3</v>
      </c>
      <c r="AL14" s="23">
        <v>0</v>
      </c>
      <c r="AM14" s="23">
        <v>0</v>
      </c>
      <c r="AN14" s="23">
        <v>2.3309363266290999E-2</v>
      </c>
      <c r="AO14" s="23"/>
      <c r="AP14" s="23">
        <v>2.7636578220308298E-3</v>
      </c>
      <c r="AQ14" s="23">
        <v>1.02367386122092E-2</v>
      </c>
      <c r="AR14" s="23"/>
      <c r="AS14" s="23">
        <v>3.21417720412064E-3</v>
      </c>
      <c r="AT14" s="23">
        <v>1.21645842973582E-2</v>
      </c>
      <c r="AU14" s="23">
        <v>5.3504613915253902E-3</v>
      </c>
      <c r="AV14" s="23"/>
      <c r="AW14" s="23">
        <v>4.8831284465241697E-3</v>
      </c>
      <c r="AX14" s="23">
        <v>0</v>
      </c>
      <c r="AY14" s="23"/>
      <c r="AZ14" s="23">
        <v>1.9750522294035501E-3</v>
      </c>
      <c r="BA14" s="23">
        <v>9.5461292141924003E-3</v>
      </c>
    </row>
    <row r="15" spans="2:53" x14ac:dyDescent="0.35">
      <c r="B15" s="16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BA19"/>
  <sheetViews>
    <sheetView showGridLines="0" workbookViewId="0">
      <pane xSplit="2" topLeftCell="C1" activePane="topRight" state="frozen"/>
      <selection pane="topRight" activeCell="G12" sqref="G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178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171</v>
      </c>
      <c r="C9" s="14">
        <v>0.120563432079499</v>
      </c>
      <c r="D9" s="14">
        <v>0.132337033118474</v>
      </c>
      <c r="E9" s="14">
        <v>0.10889730490871601</v>
      </c>
      <c r="F9" s="14"/>
      <c r="G9" s="14">
        <v>5.8383768941911898E-2</v>
      </c>
      <c r="H9" s="14">
        <v>0.13419838495273201</v>
      </c>
      <c r="I9" s="14">
        <v>0.124762382528398</v>
      </c>
      <c r="J9" s="14">
        <v>0.112241186237931</v>
      </c>
      <c r="K9" s="14">
        <v>0.12534860380427101</v>
      </c>
      <c r="L9" s="14">
        <v>2.3454654728952501E-2</v>
      </c>
      <c r="M9" s="14"/>
      <c r="N9" s="14">
        <v>0.161627673506887</v>
      </c>
      <c r="O9" s="14">
        <v>0.107380982628539</v>
      </c>
      <c r="P9" s="14">
        <v>0.10344827051638</v>
      </c>
      <c r="Q9" s="14">
        <v>0.10638370530091</v>
      </c>
      <c r="R9" s="14"/>
      <c r="S9" s="14">
        <v>0.207331763390459</v>
      </c>
      <c r="T9" s="14">
        <v>0.103490755497957</v>
      </c>
      <c r="U9" s="14">
        <v>0.100004537647056</v>
      </c>
      <c r="V9" s="14">
        <v>7.6970080089577994E-2</v>
      </c>
      <c r="W9" s="14">
        <v>0.161383429002916</v>
      </c>
      <c r="X9" s="14">
        <v>0.106596920050155</v>
      </c>
      <c r="Y9" s="14">
        <v>0.12654656752899601</v>
      </c>
      <c r="Z9" s="14">
        <v>5.5445643960348998E-2</v>
      </c>
      <c r="AA9" s="14">
        <v>9.0447591328717394E-2</v>
      </c>
      <c r="AB9" s="14"/>
      <c r="AC9" s="14">
        <v>7.4007794160023593E-2</v>
      </c>
      <c r="AD9" s="14">
        <v>0.10506698325527</v>
      </c>
      <c r="AE9" s="14">
        <v>0.12845167864098</v>
      </c>
      <c r="AF9" s="14">
        <v>0.17752302827854399</v>
      </c>
      <c r="AG9" s="14">
        <v>0.28032097839452302</v>
      </c>
      <c r="AH9" s="14"/>
      <c r="AI9" s="14">
        <v>0.15538948412364301</v>
      </c>
      <c r="AJ9" s="14">
        <v>0.113592362435795</v>
      </c>
      <c r="AK9" s="14">
        <v>0.106294153527559</v>
      </c>
      <c r="AL9" s="14">
        <v>0.12609412893403699</v>
      </c>
      <c r="AM9" s="14">
        <v>0.108393809799063</v>
      </c>
      <c r="AN9" s="14">
        <v>5.4682419846910101E-2</v>
      </c>
      <c r="AO9" s="14"/>
      <c r="AP9" s="14">
        <v>0.14036702464731299</v>
      </c>
      <c r="AQ9" s="14">
        <v>9.8670161540806295E-2</v>
      </c>
      <c r="AR9" s="14"/>
      <c r="AS9" s="14">
        <v>0.163887453906399</v>
      </c>
      <c r="AT9" s="14">
        <v>0.12444243082164599</v>
      </c>
      <c r="AU9" s="14">
        <v>0.10775642594113</v>
      </c>
      <c r="AV9" s="14"/>
      <c r="AW9" s="14">
        <v>0.103376846422121</v>
      </c>
      <c r="AX9" s="14">
        <v>0.20029067754058999</v>
      </c>
      <c r="AY9" s="14"/>
      <c r="AZ9" s="14">
        <v>0.133903118362483</v>
      </c>
      <c r="BA9" s="14">
        <v>7.3359286435531301E-2</v>
      </c>
    </row>
    <row r="10" spans="2:53" ht="29" x14ac:dyDescent="0.35">
      <c r="B10" s="15" t="s">
        <v>172</v>
      </c>
      <c r="C10" s="14">
        <v>0.36297743931925103</v>
      </c>
      <c r="D10" s="14">
        <v>0.38336115080705802</v>
      </c>
      <c r="E10" s="14">
        <v>0.34195982652679302</v>
      </c>
      <c r="F10" s="14"/>
      <c r="G10" s="14">
        <v>0.49404890371103699</v>
      </c>
      <c r="H10" s="14">
        <v>0.43351007065670499</v>
      </c>
      <c r="I10" s="14">
        <v>0.37161261101512999</v>
      </c>
      <c r="J10" s="14">
        <v>0.31954095039133901</v>
      </c>
      <c r="K10" s="14">
        <v>0.35973776676126301</v>
      </c>
      <c r="L10" s="14">
        <v>0.2550259725356</v>
      </c>
      <c r="M10" s="14"/>
      <c r="N10" s="14">
        <v>0.38170484261342302</v>
      </c>
      <c r="O10" s="14">
        <v>0.35753853742977898</v>
      </c>
      <c r="P10" s="14">
        <v>0.43274320837857499</v>
      </c>
      <c r="Q10" s="14">
        <v>0.28872633573517098</v>
      </c>
      <c r="R10" s="14"/>
      <c r="S10" s="14">
        <v>0.36293771023323201</v>
      </c>
      <c r="T10" s="14">
        <v>0.36546943733964199</v>
      </c>
      <c r="U10" s="14">
        <v>0.34119360850839903</v>
      </c>
      <c r="V10" s="14">
        <v>0.36294905000748801</v>
      </c>
      <c r="W10" s="14">
        <v>0.38095479420868</v>
      </c>
      <c r="X10" s="14">
        <v>0.36671404334157798</v>
      </c>
      <c r="Y10" s="14">
        <v>0.29664487623778601</v>
      </c>
      <c r="Z10" s="14">
        <v>0.46986995720563601</v>
      </c>
      <c r="AA10" s="14">
        <v>0.371595504908448</v>
      </c>
      <c r="AB10" s="14"/>
      <c r="AC10" s="14">
        <v>0.32563671310294401</v>
      </c>
      <c r="AD10" s="14">
        <v>0.36400751198165898</v>
      </c>
      <c r="AE10" s="14">
        <v>0.374399676466735</v>
      </c>
      <c r="AF10" s="14">
        <v>0.435337549992663</v>
      </c>
      <c r="AG10" s="14">
        <v>0.308891552980397</v>
      </c>
      <c r="AH10" s="14"/>
      <c r="AI10" s="14">
        <v>0.38498470585207401</v>
      </c>
      <c r="AJ10" s="14">
        <v>0.45662887857629902</v>
      </c>
      <c r="AK10" s="14">
        <v>0.32512989114007701</v>
      </c>
      <c r="AL10" s="14">
        <v>0.32510701286286597</v>
      </c>
      <c r="AM10" s="14">
        <v>0.30745170081057799</v>
      </c>
      <c r="AN10" s="14">
        <v>0.32676309364108103</v>
      </c>
      <c r="AO10" s="14"/>
      <c r="AP10" s="14">
        <v>0.38525540058361701</v>
      </c>
      <c r="AQ10" s="14">
        <v>0.33721875725012801</v>
      </c>
      <c r="AR10" s="14"/>
      <c r="AS10" s="14">
        <v>0.393079611636522</v>
      </c>
      <c r="AT10" s="14">
        <v>0.39612019150217198</v>
      </c>
      <c r="AU10" s="14">
        <v>0.34507574215568698</v>
      </c>
      <c r="AV10" s="14"/>
      <c r="AW10" s="14">
        <v>0.35777095362786498</v>
      </c>
      <c r="AX10" s="14">
        <v>0.43240775519879998</v>
      </c>
      <c r="AY10" s="14"/>
      <c r="AZ10" s="14">
        <v>0.40473648462806</v>
      </c>
      <c r="BA10" s="14">
        <v>0.214904263120963</v>
      </c>
    </row>
    <row r="11" spans="2:53" ht="29" x14ac:dyDescent="0.35">
      <c r="B11" s="15" t="s">
        <v>173</v>
      </c>
      <c r="C11" s="14">
        <v>0.30641076989587401</v>
      </c>
      <c r="D11" s="14">
        <v>0.29700305117318998</v>
      </c>
      <c r="E11" s="14">
        <v>0.31612308065857297</v>
      </c>
      <c r="F11" s="14"/>
      <c r="G11" s="14">
        <v>0.33895242183150898</v>
      </c>
      <c r="H11" s="14">
        <v>0.29865220861067598</v>
      </c>
      <c r="I11" s="14">
        <v>0.30101712938532599</v>
      </c>
      <c r="J11" s="14">
        <v>0.33451921007823698</v>
      </c>
      <c r="K11" s="14">
        <v>0.25379699079763302</v>
      </c>
      <c r="L11" s="14">
        <v>0.28838906004870801</v>
      </c>
      <c r="M11" s="14"/>
      <c r="N11" s="14">
        <v>0.311399875690199</v>
      </c>
      <c r="O11" s="14">
        <v>0.34869504835695903</v>
      </c>
      <c r="P11" s="14">
        <v>0.25308941102924998</v>
      </c>
      <c r="Q11" s="14">
        <v>0.30457506194546702</v>
      </c>
      <c r="R11" s="14"/>
      <c r="S11" s="14">
        <v>0.27756875182176999</v>
      </c>
      <c r="T11" s="14">
        <v>0.36099591178388102</v>
      </c>
      <c r="U11" s="14">
        <v>0.31390812423043502</v>
      </c>
      <c r="V11" s="14">
        <v>0.23191001435344699</v>
      </c>
      <c r="W11" s="14">
        <v>0.29227233841830202</v>
      </c>
      <c r="X11" s="14">
        <v>0.30410850833006098</v>
      </c>
      <c r="Y11" s="14">
        <v>0.35646322474846598</v>
      </c>
      <c r="Z11" s="14">
        <v>0.25224730730787198</v>
      </c>
      <c r="AA11" s="14">
        <v>0.32576911701348699</v>
      </c>
      <c r="AB11" s="14"/>
      <c r="AC11" s="14">
        <v>0.32356778360625099</v>
      </c>
      <c r="AD11" s="14">
        <v>0.31814060784530201</v>
      </c>
      <c r="AE11" s="14">
        <v>0.309830196242109</v>
      </c>
      <c r="AF11" s="14">
        <v>0.27115571643162101</v>
      </c>
      <c r="AG11" s="14">
        <v>0.33041579259786102</v>
      </c>
      <c r="AH11" s="14"/>
      <c r="AI11" s="14">
        <v>0.31107177416480902</v>
      </c>
      <c r="AJ11" s="14">
        <v>0.246596971791185</v>
      </c>
      <c r="AK11" s="14">
        <v>0.31258428012614098</v>
      </c>
      <c r="AL11" s="14">
        <v>0.33166561856221</v>
      </c>
      <c r="AM11" s="14">
        <v>0.34140272142755601</v>
      </c>
      <c r="AN11" s="14">
        <v>0.33998715723633399</v>
      </c>
      <c r="AO11" s="14"/>
      <c r="AP11" s="14">
        <v>0.290640849512316</v>
      </c>
      <c r="AQ11" s="14">
        <v>0.32514163042362498</v>
      </c>
      <c r="AR11" s="14"/>
      <c r="AS11" s="14">
        <v>0.29831587683578498</v>
      </c>
      <c r="AT11" s="14">
        <v>0.30694565131018903</v>
      </c>
      <c r="AU11" s="14">
        <v>0.30843122597948602</v>
      </c>
      <c r="AV11" s="14"/>
      <c r="AW11" s="14">
        <v>0.31631572998367302</v>
      </c>
      <c r="AX11" s="14">
        <v>0.25119835844216498</v>
      </c>
      <c r="AY11" s="14"/>
      <c r="AZ11" s="14">
        <v>0.29860853056987502</v>
      </c>
      <c r="BA11" s="14">
        <v>0.33379284881778898</v>
      </c>
    </row>
    <row r="12" spans="2:53" ht="43.5" x14ac:dyDescent="0.35">
      <c r="B12" s="15" t="s">
        <v>174</v>
      </c>
      <c r="C12" s="14">
        <v>0.11997623718337599</v>
      </c>
      <c r="D12" s="14">
        <v>0.107148524252699</v>
      </c>
      <c r="E12" s="14">
        <v>0.13293052579381201</v>
      </c>
      <c r="F12" s="14"/>
      <c r="G12" s="14">
        <v>0.108614905515542</v>
      </c>
      <c r="H12" s="14">
        <v>7.5258262815059901E-2</v>
      </c>
      <c r="I12" s="14">
        <v>0.125859279720134</v>
      </c>
      <c r="J12" s="14">
        <v>0.12930048873517999</v>
      </c>
      <c r="K12" s="14">
        <v>0.1236044752402</v>
      </c>
      <c r="L12" s="14">
        <v>0.187985931838797</v>
      </c>
      <c r="M12" s="14"/>
      <c r="N12" s="14">
        <v>9.8055852007850497E-2</v>
      </c>
      <c r="O12" s="14">
        <v>0.11274414920881599</v>
      </c>
      <c r="P12" s="14">
        <v>0.119894846590633</v>
      </c>
      <c r="Q12" s="14">
        <v>0.14651350369247301</v>
      </c>
      <c r="R12" s="14"/>
      <c r="S12" s="14">
        <v>7.7865383541451505E-2</v>
      </c>
      <c r="T12" s="14">
        <v>0.111847053690892</v>
      </c>
      <c r="U12" s="14">
        <v>0.17531488818485899</v>
      </c>
      <c r="V12" s="14">
        <v>0.17492406718727699</v>
      </c>
      <c r="W12" s="14">
        <v>9.3902153408817204E-2</v>
      </c>
      <c r="X12" s="14">
        <v>0.11068486037816</v>
      </c>
      <c r="Y12" s="14">
        <v>0.107093218209702</v>
      </c>
      <c r="Z12" s="14">
        <v>0.13425577971789801</v>
      </c>
      <c r="AA12" s="14">
        <v>0.12226936862521599</v>
      </c>
      <c r="AB12" s="14"/>
      <c r="AC12" s="14">
        <v>0.12304062271919</v>
      </c>
      <c r="AD12" s="14">
        <v>0.131802374152098</v>
      </c>
      <c r="AE12" s="14">
        <v>0.121134351910889</v>
      </c>
      <c r="AF12" s="14">
        <v>6.7947099511215303E-2</v>
      </c>
      <c r="AG12" s="14">
        <v>4.6436673668636699E-2</v>
      </c>
      <c r="AH12" s="14"/>
      <c r="AI12" s="14">
        <v>8.7601865840071E-2</v>
      </c>
      <c r="AJ12" s="14">
        <v>0.12800903077557399</v>
      </c>
      <c r="AK12" s="14">
        <v>0.16469106584161</v>
      </c>
      <c r="AL12" s="14">
        <v>0.119296414631904</v>
      </c>
      <c r="AM12" s="14">
        <v>0.14458128721657901</v>
      </c>
      <c r="AN12" s="14">
        <v>0.117748017469685</v>
      </c>
      <c r="AO12" s="14"/>
      <c r="AP12" s="14">
        <v>0.112647466400221</v>
      </c>
      <c r="AQ12" s="14">
        <v>0.12860878672078599</v>
      </c>
      <c r="AR12" s="14"/>
      <c r="AS12" s="14">
        <v>8.7559895253528697E-2</v>
      </c>
      <c r="AT12" s="14">
        <v>9.7117218290912799E-2</v>
      </c>
      <c r="AU12" s="14">
        <v>0.13545990740080799</v>
      </c>
      <c r="AV12" s="14"/>
      <c r="AW12" s="14">
        <v>0.130449355822155</v>
      </c>
      <c r="AX12" s="14">
        <v>8.4186322804258806E-2</v>
      </c>
      <c r="AY12" s="14"/>
      <c r="AZ12" s="14">
        <v>9.86681269062194E-2</v>
      </c>
      <c r="BA12" s="14">
        <v>0.201949279338555</v>
      </c>
    </row>
    <row r="13" spans="2:53" ht="29" x14ac:dyDescent="0.35">
      <c r="B13" s="15" t="s">
        <v>175</v>
      </c>
      <c r="C13" s="14">
        <v>8.2772280107950902E-2</v>
      </c>
      <c r="D13" s="14">
        <v>7.4857760464741893E-2</v>
      </c>
      <c r="E13" s="14">
        <v>9.0773377088670004E-2</v>
      </c>
      <c r="F13" s="14"/>
      <c r="G13" s="14">
        <v>0</v>
      </c>
      <c r="H13" s="14">
        <v>5.50101375512995E-2</v>
      </c>
      <c r="I13" s="14">
        <v>6.8646439166352199E-2</v>
      </c>
      <c r="J13" s="14">
        <v>9.7203584184645697E-2</v>
      </c>
      <c r="K13" s="14">
        <v>0.137512163396634</v>
      </c>
      <c r="L13" s="14">
        <v>0.173217181915023</v>
      </c>
      <c r="M13" s="14"/>
      <c r="N13" s="14">
        <v>4.7211756181639801E-2</v>
      </c>
      <c r="O13" s="14">
        <v>6.8486788621194797E-2</v>
      </c>
      <c r="P13" s="14">
        <v>8.3639994174356802E-2</v>
      </c>
      <c r="Q13" s="14">
        <v>0.136205190518979</v>
      </c>
      <c r="R13" s="14"/>
      <c r="S13" s="14">
        <v>6.0541333848203802E-2</v>
      </c>
      <c r="T13" s="14">
        <v>5.8196841687629002E-2</v>
      </c>
      <c r="U13" s="14">
        <v>6.9578841429251206E-2</v>
      </c>
      <c r="V13" s="14">
        <v>0.15324678836221001</v>
      </c>
      <c r="W13" s="14">
        <v>5.93740645734257E-2</v>
      </c>
      <c r="X13" s="14">
        <v>9.8496580093728706E-2</v>
      </c>
      <c r="Y13" s="14">
        <v>0.102713199577966</v>
      </c>
      <c r="Z13" s="14">
        <v>7.6121628114399903E-2</v>
      </c>
      <c r="AA13" s="14">
        <v>8.2137418363776804E-2</v>
      </c>
      <c r="AB13" s="14"/>
      <c r="AC13" s="14">
        <v>0.147282405284309</v>
      </c>
      <c r="AD13" s="14">
        <v>7.8104107431973005E-2</v>
      </c>
      <c r="AE13" s="14">
        <v>6.3086119414495406E-2</v>
      </c>
      <c r="AF13" s="14">
        <v>4.0071464326555298E-2</v>
      </c>
      <c r="AG13" s="14">
        <v>3.3935002358583197E-2</v>
      </c>
      <c r="AH13" s="14"/>
      <c r="AI13" s="14">
        <v>5.3693779964759297E-2</v>
      </c>
      <c r="AJ13" s="14">
        <v>5.5172756421146302E-2</v>
      </c>
      <c r="AK13" s="14">
        <v>8.6897300534646504E-2</v>
      </c>
      <c r="AL13" s="14">
        <v>9.5639060239260401E-2</v>
      </c>
      <c r="AM13" s="14">
        <v>9.8170480746224004E-2</v>
      </c>
      <c r="AN13" s="14">
        <v>0.14508439858793201</v>
      </c>
      <c r="AO13" s="14"/>
      <c r="AP13" s="14">
        <v>6.6378758365462406E-2</v>
      </c>
      <c r="AQ13" s="14">
        <v>0.100123925452445</v>
      </c>
      <c r="AR13" s="14"/>
      <c r="AS13" s="14">
        <v>5.3942985163644902E-2</v>
      </c>
      <c r="AT13" s="14">
        <v>6.3209923777722304E-2</v>
      </c>
      <c r="AU13" s="14">
        <v>9.6315743588795494E-2</v>
      </c>
      <c r="AV13" s="14"/>
      <c r="AW13" s="14">
        <v>8.6753669863013805E-2</v>
      </c>
      <c r="AX13" s="14">
        <v>2.82677284555444E-2</v>
      </c>
      <c r="AY13" s="14"/>
      <c r="AZ13" s="14">
        <v>6.1228744876497397E-2</v>
      </c>
      <c r="BA13" s="14">
        <v>0.16484091419389801</v>
      </c>
    </row>
    <row r="14" spans="2:53" x14ac:dyDescent="0.35">
      <c r="B14" s="15" t="s">
        <v>176</v>
      </c>
      <c r="C14" s="23">
        <v>7.2998414140487602E-3</v>
      </c>
      <c r="D14" s="23">
        <v>5.2924801838379202E-3</v>
      </c>
      <c r="E14" s="23">
        <v>9.3158850234362194E-3</v>
      </c>
      <c r="F14" s="23"/>
      <c r="G14" s="23">
        <v>0</v>
      </c>
      <c r="H14" s="23">
        <v>3.3709354135267101E-3</v>
      </c>
      <c r="I14" s="23">
        <v>8.1021581846595202E-3</v>
      </c>
      <c r="J14" s="23">
        <v>7.19458037266803E-3</v>
      </c>
      <c r="K14" s="23">
        <v>0</v>
      </c>
      <c r="L14" s="23">
        <v>7.1927198932918504E-2</v>
      </c>
      <c r="M14" s="23"/>
      <c r="N14" s="23">
        <v>0</v>
      </c>
      <c r="O14" s="23">
        <v>5.15449375471198E-3</v>
      </c>
      <c r="P14" s="23">
        <v>7.1842693108047501E-3</v>
      </c>
      <c r="Q14" s="23">
        <v>1.7596202807000399E-2</v>
      </c>
      <c r="R14" s="23"/>
      <c r="S14" s="23">
        <v>1.3755057164883899E-2</v>
      </c>
      <c r="T14" s="23">
        <v>0</v>
      </c>
      <c r="U14" s="23">
        <v>0</v>
      </c>
      <c r="V14" s="23">
        <v>0</v>
      </c>
      <c r="W14" s="23">
        <v>1.2113220387858699E-2</v>
      </c>
      <c r="X14" s="23">
        <v>1.3399087806316899E-2</v>
      </c>
      <c r="Y14" s="23">
        <v>1.05389136970836E-2</v>
      </c>
      <c r="Z14" s="23">
        <v>1.20596836938449E-2</v>
      </c>
      <c r="AA14" s="23">
        <v>7.7809997603544203E-3</v>
      </c>
      <c r="AB14" s="23"/>
      <c r="AC14" s="23">
        <v>6.4646811272813902E-3</v>
      </c>
      <c r="AD14" s="23">
        <v>2.8784153336974998E-3</v>
      </c>
      <c r="AE14" s="23">
        <v>3.0979773247910699E-3</v>
      </c>
      <c r="AF14" s="23">
        <v>7.9651414594010695E-3</v>
      </c>
      <c r="AG14" s="23">
        <v>0</v>
      </c>
      <c r="AH14" s="23"/>
      <c r="AI14" s="23">
        <v>7.2583900546448702E-3</v>
      </c>
      <c r="AJ14" s="23">
        <v>0</v>
      </c>
      <c r="AK14" s="23">
        <v>4.4033088299661096E-3</v>
      </c>
      <c r="AL14" s="23">
        <v>2.1977647697227999E-3</v>
      </c>
      <c r="AM14" s="23">
        <v>0</v>
      </c>
      <c r="AN14" s="23">
        <v>1.5734913218057801E-2</v>
      </c>
      <c r="AO14" s="23"/>
      <c r="AP14" s="23">
        <v>4.7105004910709498E-3</v>
      </c>
      <c r="AQ14" s="23">
        <v>1.02367386122092E-2</v>
      </c>
      <c r="AR14" s="23"/>
      <c r="AS14" s="23">
        <v>3.21417720412064E-3</v>
      </c>
      <c r="AT14" s="23">
        <v>1.21645842973582E-2</v>
      </c>
      <c r="AU14" s="23">
        <v>6.9609549340938397E-3</v>
      </c>
      <c r="AV14" s="23"/>
      <c r="AW14" s="23">
        <v>5.3334442811716898E-3</v>
      </c>
      <c r="AX14" s="23">
        <v>3.6491575586411699E-3</v>
      </c>
      <c r="AY14" s="23"/>
      <c r="AZ14" s="23">
        <v>2.8549946568647102E-3</v>
      </c>
      <c r="BA14" s="23">
        <v>1.11534080932638E-2</v>
      </c>
    </row>
    <row r="15" spans="2:53" x14ac:dyDescent="0.35">
      <c r="B15" s="16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BA3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195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58" x14ac:dyDescent="0.35">
      <c r="B9" s="15" t="s">
        <v>179</v>
      </c>
      <c r="C9" s="14">
        <v>0.75909755828776104</v>
      </c>
      <c r="D9" s="14">
        <v>0.72595302428534103</v>
      </c>
      <c r="E9" s="14">
        <v>0.79202619925600204</v>
      </c>
      <c r="F9" s="14"/>
      <c r="G9" s="14">
        <v>0.78928836633876398</v>
      </c>
      <c r="H9" s="14">
        <v>0.70212360058856604</v>
      </c>
      <c r="I9" s="14">
        <v>0.74086909028528003</v>
      </c>
      <c r="J9" s="14">
        <v>0.81018847307624398</v>
      </c>
      <c r="K9" s="14">
        <v>0.78313531127826297</v>
      </c>
      <c r="L9" s="14">
        <v>0.67480903324449104</v>
      </c>
      <c r="M9" s="14"/>
      <c r="N9" s="14">
        <v>0.81171227212619101</v>
      </c>
      <c r="O9" s="14">
        <v>0.81996909540226504</v>
      </c>
      <c r="P9" s="14">
        <v>0.70520165898342302</v>
      </c>
      <c r="Q9" s="14">
        <v>0.68623252959666503</v>
      </c>
      <c r="R9" s="14"/>
      <c r="S9" s="14">
        <v>0.70318989782169805</v>
      </c>
      <c r="T9" s="14">
        <v>0.78807204536985898</v>
      </c>
      <c r="U9" s="14">
        <v>0.81231868606695401</v>
      </c>
      <c r="V9" s="14">
        <v>0.78136512470771802</v>
      </c>
      <c r="W9" s="14">
        <v>0.73297058870901999</v>
      </c>
      <c r="X9" s="14">
        <v>0.75015415549068898</v>
      </c>
      <c r="Y9" s="14">
        <v>0.76481927620319701</v>
      </c>
      <c r="Z9" s="14">
        <v>0.75825220815671202</v>
      </c>
      <c r="AA9" s="14">
        <v>0.75322180055863497</v>
      </c>
      <c r="AB9" s="14"/>
      <c r="AC9" s="14">
        <v>0.74288407559199299</v>
      </c>
      <c r="AD9" s="14">
        <v>0.77552953393347601</v>
      </c>
      <c r="AE9" s="14">
        <v>0.79436308286295498</v>
      </c>
      <c r="AF9" s="14">
        <v>0.71770193358763301</v>
      </c>
      <c r="AG9" s="14">
        <v>0.84229797603252299</v>
      </c>
      <c r="AH9" s="14"/>
      <c r="AI9" s="14">
        <v>0.71081132160691396</v>
      </c>
      <c r="AJ9" s="14">
        <v>0.75818182128414902</v>
      </c>
      <c r="AK9" s="14">
        <v>0.79906081337488299</v>
      </c>
      <c r="AL9" s="14">
        <v>0.80448442385847097</v>
      </c>
      <c r="AM9" s="14">
        <v>0.74649016430099802</v>
      </c>
      <c r="AN9" s="14">
        <v>0.78093411956793801</v>
      </c>
      <c r="AO9" s="14"/>
      <c r="AP9" s="14">
        <v>0.74985241680020198</v>
      </c>
      <c r="AQ9" s="14">
        <v>0.76872064626922898</v>
      </c>
      <c r="AR9" s="14"/>
      <c r="AS9" s="14">
        <v>0.72742375544055304</v>
      </c>
      <c r="AT9" s="14">
        <v>0.74280674108931499</v>
      </c>
      <c r="AU9" s="14">
        <v>0.77244198081549598</v>
      </c>
      <c r="AV9" s="14"/>
      <c r="AW9" s="14">
        <v>0.77446289309097205</v>
      </c>
      <c r="AX9" s="14">
        <v>0.71701513532556105</v>
      </c>
      <c r="AY9" s="14"/>
      <c r="AZ9" s="14">
        <v>0.75988130143893595</v>
      </c>
      <c r="BA9" s="14">
        <v>0.76707313447489001</v>
      </c>
    </row>
    <row r="10" spans="2:53" ht="58" x14ac:dyDescent="0.35">
      <c r="B10" s="15" t="s">
        <v>180</v>
      </c>
      <c r="C10" s="14">
        <v>0.63665487483142202</v>
      </c>
      <c r="D10" s="14">
        <v>0.62504711168073501</v>
      </c>
      <c r="E10" s="14">
        <v>0.64791655633580503</v>
      </c>
      <c r="F10" s="14"/>
      <c r="G10" s="14">
        <v>0.59683706951470505</v>
      </c>
      <c r="H10" s="14">
        <v>0.53476875834580495</v>
      </c>
      <c r="I10" s="14">
        <v>0.60029001228527101</v>
      </c>
      <c r="J10" s="14">
        <v>0.71184399184634595</v>
      </c>
      <c r="K10" s="14">
        <v>0.72400349612191295</v>
      </c>
      <c r="L10" s="14">
        <v>0.67897118806830703</v>
      </c>
      <c r="M10" s="14"/>
      <c r="N10" s="14">
        <v>0.69626209345173395</v>
      </c>
      <c r="O10" s="14">
        <v>0.66863460733258495</v>
      </c>
      <c r="P10" s="14">
        <v>0.57095270421375699</v>
      </c>
      <c r="Q10" s="14">
        <v>0.59711032090933502</v>
      </c>
      <c r="R10" s="14"/>
      <c r="S10" s="14">
        <v>0.63404405731992297</v>
      </c>
      <c r="T10" s="14">
        <v>0.65847375172759504</v>
      </c>
      <c r="U10" s="14">
        <v>0.68756132256525304</v>
      </c>
      <c r="V10" s="14">
        <v>0.64467263868747904</v>
      </c>
      <c r="W10" s="14">
        <v>0.62927518241285096</v>
      </c>
      <c r="X10" s="14">
        <v>0.63873015395483801</v>
      </c>
      <c r="Y10" s="14">
        <v>0.566327974048768</v>
      </c>
      <c r="Z10" s="14">
        <v>0.60340021398339405</v>
      </c>
      <c r="AA10" s="14">
        <v>0.63744059865410796</v>
      </c>
      <c r="AB10" s="14"/>
      <c r="AC10" s="14">
        <v>0.60951774395004998</v>
      </c>
      <c r="AD10" s="14">
        <v>0.625956976478108</v>
      </c>
      <c r="AE10" s="14">
        <v>0.65681797492014105</v>
      </c>
      <c r="AF10" s="14">
        <v>0.66848099780403902</v>
      </c>
      <c r="AG10" s="14">
        <v>0.74163697685985297</v>
      </c>
      <c r="AH10" s="14"/>
      <c r="AI10" s="14">
        <v>0.59584943393644596</v>
      </c>
      <c r="AJ10" s="14">
        <v>0.65209871882552395</v>
      </c>
      <c r="AK10" s="14">
        <v>0.71040417131495204</v>
      </c>
      <c r="AL10" s="14">
        <v>0.66868582507349095</v>
      </c>
      <c r="AM10" s="14">
        <v>0.60604244982383204</v>
      </c>
      <c r="AN10" s="14">
        <v>0.686955822069515</v>
      </c>
      <c r="AO10" s="14"/>
      <c r="AP10" s="14">
        <v>0.64449442355069098</v>
      </c>
      <c r="AQ10" s="14">
        <v>0.62666553058423902</v>
      </c>
      <c r="AR10" s="14"/>
      <c r="AS10" s="14">
        <v>0.524810407864858</v>
      </c>
      <c r="AT10" s="14">
        <v>0.54854223696980797</v>
      </c>
      <c r="AU10" s="14">
        <v>0.69282231178084397</v>
      </c>
      <c r="AV10" s="14"/>
      <c r="AW10" s="14">
        <v>0.63368346432188505</v>
      </c>
      <c r="AX10" s="14">
        <v>0.64760992283700802</v>
      </c>
      <c r="AY10" s="14"/>
      <c r="AZ10" s="14">
        <v>0.64848629461640395</v>
      </c>
      <c r="BA10" s="14">
        <v>0.60349906527539798</v>
      </c>
    </row>
    <row r="11" spans="2:53" ht="58" x14ac:dyDescent="0.35">
      <c r="B11" s="15" t="s">
        <v>181</v>
      </c>
      <c r="C11" s="14">
        <v>0.62266380730067805</v>
      </c>
      <c r="D11" s="14">
        <v>0.59277594806560296</v>
      </c>
      <c r="E11" s="14">
        <v>0.65317127771498995</v>
      </c>
      <c r="F11" s="14"/>
      <c r="G11" s="14">
        <v>0.70545197503024704</v>
      </c>
      <c r="H11" s="14">
        <v>0.56732372513801899</v>
      </c>
      <c r="I11" s="14">
        <v>0.60273994558018495</v>
      </c>
      <c r="J11" s="14">
        <v>0.67198242637707395</v>
      </c>
      <c r="K11" s="14">
        <v>0.67018589467912904</v>
      </c>
      <c r="L11" s="14">
        <v>0.44496061033725998</v>
      </c>
      <c r="M11" s="14"/>
      <c r="N11" s="14">
        <v>0.68284689931999398</v>
      </c>
      <c r="O11" s="14">
        <v>0.68188904465890299</v>
      </c>
      <c r="P11" s="14">
        <v>0.58072844801124002</v>
      </c>
      <c r="Q11" s="14">
        <v>0.53422694130635295</v>
      </c>
      <c r="R11" s="14"/>
      <c r="S11" s="14">
        <v>0.567356274592273</v>
      </c>
      <c r="T11" s="14">
        <v>0.65462308444680095</v>
      </c>
      <c r="U11" s="14">
        <v>0.68003187089725103</v>
      </c>
      <c r="V11" s="14">
        <v>0.62372330329203596</v>
      </c>
      <c r="W11" s="14">
        <v>0.56876250515123705</v>
      </c>
      <c r="X11" s="14">
        <v>0.56265231636951096</v>
      </c>
      <c r="Y11" s="14">
        <v>0.66762883417681895</v>
      </c>
      <c r="Z11" s="14">
        <v>0.64680547865089699</v>
      </c>
      <c r="AA11" s="14">
        <v>0.64598436286187699</v>
      </c>
      <c r="AB11" s="14"/>
      <c r="AC11" s="14">
        <v>0.55994999389172795</v>
      </c>
      <c r="AD11" s="14">
        <v>0.63838700760719702</v>
      </c>
      <c r="AE11" s="14">
        <v>0.64703039620231595</v>
      </c>
      <c r="AF11" s="14">
        <v>0.66225005000704096</v>
      </c>
      <c r="AG11" s="14">
        <v>0.70110910795346804</v>
      </c>
      <c r="AH11" s="14"/>
      <c r="AI11" s="14">
        <v>0.60655600214494698</v>
      </c>
      <c r="AJ11" s="14">
        <v>0.59604132113488495</v>
      </c>
      <c r="AK11" s="14">
        <v>0.65351738574648</v>
      </c>
      <c r="AL11" s="14">
        <v>0.65417944531193195</v>
      </c>
      <c r="AM11" s="14">
        <v>0.68028200008696504</v>
      </c>
      <c r="AN11" s="14">
        <v>0.65032947171099798</v>
      </c>
      <c r="AO11" s="14"/>
      <c r="AP11" s="14">
        <v>0.63258966845275</v>
      </c>
      <c r="AQ11" s="14">
        <v>0.61028257061207802</v>
      </c>
      <c r="AR11" s="14"/>
      <c r="AS11" s="14">
        <v>0.551416094913316</v>
      </c>
      <c r="AT11" s="14">
        <v>0.59654774763954799</v>
      </c>
      <c r="AU11" s="14">
        <v>0.64956705171567197</v>
      </c>
      <c r="AV11" s="14"/>
      <c r="AW11" s="14">
        <v>0.63158871815704298</v>
      </c>
      <c r="AX11" s="14">
        <v>0.58364029789863303</v>
      </c>
      <c r="AY11" s="14"/>
      <c r="AZ11" s="14">
        <v>0.63619653249087504</v>
      </c>
      <c r="BA11" s="14">
        <v>0.58530527447422498</v>
      </c>
    </row>
    <row r="12" spans="2:53" ht="43.5" x14ac:dyDescent="0.35">
      <c r="B12" s="15" t="s">
        <v>182</v>
      </c>
      <c r="C12" s="14">
        <v>0.60546970258744104</v>
      </c>
      <c r="D12" s="14">
        <v>0.58773172580410404</v>
      </c>
      <c r="E12" s="14">
        <v>0.62283463052880506</v>
      </c>
      <c r="F12" s="14"/>
      <c r="G12" s="14">
        <v>0.62228969188131</v>
      </c>
      <c r="H12" s="14">
        <v>0.54008078877213805</v>
      </c>
      <c r="I12" s="14">
        <v>0.58773659137604495</v>
      </c>
      <c r="J12" s="14">
        <v>0.65530654223344498</v>
      </c>
      <c r="K12" s="14">
        <v>0.64931898561328905</v>
      </c>
      <c r="L12" s="14">
        <v>0.49904700584419398</v>
      </c>
      <c r="M12" s="14"/>
      <c r="N12" s="14">
        <v>0.67995605457227803</v>
      </c>
      <c r="O12" s="14">
        <v>0.65832780370759003</v>
      </c>
      <c r="P12" s="14">
        <v>0.53290452487367501</v>
      </c>
      <c r="Q12" s="14">
        <v>0.53606091400072697</v>
      </c>
      <c r="R12" s="14"/>
      <c r="S12" s="14">
        <v>0.57570961076694405</v>
      </c>
      <c r="T12" s="14">
        <v>0.67281390367340599</v>
      </c>
      <c r="U12" s="14">
        <v>0.68675218144156702</v>
      </c>
      <c r="V12" s="14">
        <v>0.61901962085990703</v>
      </c>
      <c r="W12" s="14">
        <v>0.563678082362569</v>
      </c>
      <c r="X12" s="14">
        <v>0.58470130540557397</v>
      </c>
      <c r="Y12" s="14">
        <v>0.58804866349610196</v>
      </c>
      <c r="Z12" s="14">
        <v>0.54174704581698296</v>
      </c>
      <c r="AA12" s="14">
        <v>0.56789413118038801</v>
      </c>
      <c r="AB12" s="14"/>
      <c r="AC12" s="14">
        <v>0.50841145364764995</v>
      </c>
      <c r="AD12" s="14">
        <v>0.61398367756751304</v>
      </c>
      <c r="AE12" s="14">
        <v>0.67348261690632105</v>
      </c>
      <c r="AF12" s="14">
        <v>0.64212952563775705</v>
      </c>
      <c r="AG12" s="14">
        <v>0.78012950634169498</v>
      </c>
      <c r="AH12" s="14"/>
      <c r="AI12" s="14">
        <v>0.59560749510209199</v>
      </c>
      <c r="AJ12" s="14">
        <v>0.621134586549006</v>
      </c>
      <c r="AK12" s="14">
        <v>0.67651492729309703</v>
      </c>
      <c r="AL12" s="14">
        <v>0.55300611576735303</v>
      </c>
      <c r="AM12" s="14">
        <v>0.61472193050727597</v>
      </c>
      <c r="AN12" s="14">
        <v>0.60972760791122205</v>
      </c>
      <c r="AO12" s="14"/>
      <c r="AP12" s="14">
        <v>0.59068990875869598</v>
      </c>
      <c r="AQ12" s="14">
        <v>0.62082337523488695</v>
      </c>
      <c r="AR12" s="14"/>
      <c r="AS12" s="14">
        <v>0.64189465767863496</v>
      </c>
      <c r="AT12" s="14">
        <v>0.60176055341758405</v>
      </c>
      <c r="AU12" s="14">
        <v>0.59676143986075902</v>
      </c>
      <c r="AV12" s="14"/>
      <c r="AW12" s="14">
        <v>0.61395883607290103</v>
      </c>
      <c r="AX12" s="14">
        <v>0.575536630030132</v>
      </c>
      <c r="AY12" s="14"/>
      <c r="AZ12" s="14">
        <v>0.61392159110354005</v>
      </c>
      <c r="BA12" s="14">
        <v>0.58669110947177405</v>
      </c>
    </row>
    <row r="13" spans="2:53" ht="58" x14ac:dyDescent="0.35">
      <c r="B13" s="15" t="s">
        <v>183</v>
      </c>
      <c r="C13" s="14">
        <v>0.59669243240150904</v>
      </c>
      <c r="D13" s="14">
        <v>0.57479704205932403</v>
      </c>
      <c r="E13" s="14">
        <v>0.61820848002846696</v>
      </c>
      <c r="F13" s="14"/>
      <c r="G13" s="14">
        <v>0.649816338998496</v>
      </c>
      <c r="H13" s="14">
        <v>0.49809468859477801</v>
      </c>
      <c r="I13" s="14">
        <v>0.59278660662732996</v>
      </c>
      <c r="J13" s="14">
        <v>0.64166174185212599</v>
      </c>
      <c r="K13" s="14">
        <v>0.64372632059866497</v>
      </c>
      <c r="L13" s="14">
        <v>0.48364520078240703</v>
      </c>
      <c r="M13" s="14"/>
      <c r="N13" s="14">
        <v>0.67410751212216902</v>
      </c>
      <c r="O13" s="14">
        <v>0.661192065213692</v>
      </c>
      <c r="P13" s="14">
        <v>0.545877922151771</v>
      </c>
      <c r="Q13" s="14">
        <v>0.491239347796049</v>
      </c>
      <c r="R13" s="14"/>
      <c r="S13" s="14">
        <v>0.61081637098993702</v>
      </c>
      <c r="T13" s="14">
        <v>0.63173997351250499</v>
      </c>
      <c r="U13" s="14">
        <v>0.64977978700380601</v>
      </c>
      <c r="V13" s="14">
        <v>0.63747809819724999</v>
      </c>
      <c r="W13" s="14">
        <v>0.55489053971411395</v>
      </c>
      <c r="X13" s="14">
        <v>0.55973294284868003</v>
      </c>
      <c r="Y13" s="14">
        <v>0.57482143572950695</v>
      </c>
      <c r="Z13" s="14">
        <v>0.53858403131166399</v>
      </c>
      <c r="AA13" s="14">
        <v>0.55735991750130798</v>
      </c>
      <c r="AB13" s="14"/>
      <c r="AC13" s="14">
        <v>0.53016201805604302</v>
      </c>
      <c r="AD13" s="14">
        <v>0.60421793629209197</v>
      </c>
      <c r="AE13" s="14">
        <v>0.65690652063406396</v>
      </c>
      <c r="AF13" s="14">
        <v>0.63093881779227001</v>
      </c>
      <c r="AG13" s="14">
        <v>0.65592213141139499</v>
      </c>
      <c r="AH13" s="14"/>
      <c r="AI13" s="14">
        <v>0.57351567672129899</v>
      </c>
      <c r="AJ13" s="14">
        <v>0.60579960228446705</v>
      </c>
      <c r="AK13" s="14">
        <v>0.62864866396740204</v>
      </c>
      <c r="AL13" s="14">
        <v>0.56186135609991805</v>
      </c>
      <c r="AM13" s="14">
        <v>0.64943690138681298</v>
      </c>
      <c r="AN13" s="14">
        <v>0.64671935850426399</v>
      </c>
      <c r="AO13" s="14"/>
      <c r="AP13" s="14">
        <v>0.61327786821224295</v>
      </c>
      <c r="AQ13" s="14">
        <v>0.57673642886329601</v>
      </c>
      <c r="AR13" s="14"/>
      <c r="AS13" s="14">
        <v>0.491043746121058</v>
      </c>
      <c r="AT13" s="14">
        <v>0.60427330016357905</v>
      </c>
      <c r="AU13" s="14">
        <v>0.62289001119948295</v>
      </c>
      <c r="AV13" s="14"/>
      <c r="AW13" s="14">
        <v>0.61759167698091699</v>
      </c>
      <c r="AX13" s="14">
        <v>0.54888218523144106</v>
      </c>
      <c r="AY13" s="14"/>
      <c r="AZ13" s="14">
        <v>0.60458997090692401</v>
      </c>
      <c r="BA13" s="14">
        <v>0.57716696973855897</v>
      </c>
    </row>
    <row r="14" spans="2:53" ht="43.5" x14ac:dyDescent="0.35">
      <c r="B14" s="15" t="s">
        <v>184</v>
      </c>
      <c r="C14" s="14">
        <v>0.499110808354297</v>
      </c>
      <c r="D14" s="14">
        <v>0.47267026445850402</v>
      </c>
      <c r="E14" s="14">
        <v>0.52507982521506502</v>
      </c>
      <c r="F14" s="14"/>
      <c r="G14" s="14">
        <v>0.48629628678708298</v>
      </c>
      <c r="H14" s="14">
        <v>0.38952838758118602</v>
      </c>
      <c r="I14" s="14">
        <v>0.47514631054707002</v>
      </c>
      <c r="J14" s="14">
        <v>0.54866777147608703</v>
      </c>
      <c r="K14" s="14">
        <v>0.62692597684213103</v>
      </c>
      <c r="L14" s="14">
        <v>0.51330820474664896</v>
      </c>
      <c r="M14" s="14"/>
      <c r="N14" s="14">
        <v>0.56108344319588199</v>
      </c>
      <c r="O14" s="14">
        <v>0.52560763611719197</v>
      </c>
      <c r="P14" s="14">
        <v>0.48425952870232902</v>
      </c>
      <c r="Q14" s="14">
        <v>0.41846841866133</v>
      </c>
      <c r="R14" s="14"/>
      <c r="S14" s="14">
        <v>0.48051612779695602</v>
      </c>
      <c r="T14" s="14">
        <v>0.52682852432199601</v>
      </c>
      <c r="U14" s="14">
        <v>0.51227832289257902</v>
      </c>
      <c r="V14" s="14">
        <v>0.49514739957469001</v>
      </c>
      <c r="W14" s="14">
        <v>0.50566887699818497</v>
      </c>
      <c r="X14" s="14">
        <v>0.53249475552862602</v>
      </c>
      <c r="Y14" s="14">
        <v>0.45363691459199201</v>
      </c>
      <c r="Z14" s="14">
        <v>0.486250036483932</v>
      </c>
      <c r="AA14" s="14">
        <v>0.49073979432234799</v>
      </c>
      <c r="AB14" s="14"/>
      <c r="AC14" s="14">
        <v>0.479472503743334</v>
      </c>
      <c r="AD14" s="14">
        <v>0.49297453531431401</v>
      </c>
      <c r="AE14" s="14">
        <v>0.50627564029008199</v>
      </c>
      <c r="AF14" s="14">
        <v>0.53994775882952195</v>
      </c>
      <c r="AG14" s="14">
        <v>0.58355277297326902</v>
      </c>
      <c r="AH14" s="14"/>
      <c r="AI14" s="14">
        <v>0.46741292495178899</v>
      </c>
      <c r="AJ14" s="14">
        <v>0.48790227089655203</v>
      </c>
      <c r="AK14" s="14">
        <v>0.551827020849886</v>
      </c>
      <c r="AL14" s="14">
        <v>0.55611525454731503</v>
      </c>
      <c r="AM14" s="14">
        <v>0.54479362189971903</v>
      </c>
      <c r="AN14" s="14">
        <v>0.49729644145112101</v>
      </c>
      <c r="AO14" s="14"/>
      <c r="AP14" s="14">
        <v>0.50271799585843002</v>
      </c>
      <c r="AQ14" s="14">
        <v>0.49410579940481603</v>
      </c>
      <c r="AR14" s="14"/>
      <c r="AS14" s="14">
        <v>0.28093801665727902</v>
      </c>
      <c r="AT14" s="14">
        <v>0.43404481849735499</v>
      </c>
      <c r="AU14" s="14">
        <v>0.57708466616436105</v>
      </c>
      <c r="AV14" s="14"/>
      <c r="AW14" s="14">
        <v>0.51604775179128404</v>
      </c>
      <c r="AX14" s="14">
        <v>0.45596759466820302</v>
      </c>
      <c r="AY14" s="14"/>
      <c r="AZ14" s="14">
        <v>0.50465841032570602</v>
      </c>
      <c r="BA14" s="14">
        <v>0.48648927628484701</v>
      </c>
    </row>
    <row r="15" spans="2:53" ht="58" x14ac:dyDescent="0.35">
      <c r="B15" s="15" t="s">
        <v>185</v>
      </c>
      <c r="C15" s="14">
        <v>0.45498321928811403</v>
      </c>
      <c r="D15" s="14">
        <v>0.46662332982703097</v>
      </c>
      <c r="E15" s="14">
        <v>0.44280850316354298</v>
      </c>
      <c r="F15" s="14"/>
      <c r="G15" s="14">
        <v>0.74725954127199201</v>
      </c>
      <c r="H15" s="14">
        <v>0.33502922536217</v>
      </c>
      <c r="I15" s="14">
        <v>0.44266372805406301</v>
      </c>
      <c r="J15" s="14">
        <v>0.50920692461865602</v>
      </c>
      <c r="K15" s="14">
        <v>0.51298652199321704</v>
      </c>
      <c r="L15" s="14">
        <v>0.45971113116884099</v>
      </c>
      <c r="M15" s="14"/>
      <c r="N15" s="14">
        <v>0.56450058736881104</v>
      </c>
      <c r="O15" s="14">
        <v>0.49463248226270501</v>
      </c>
      <c r="P15" s="14">
        <v>0.36627122623050701</v>
      </c>
      <c r="Q15" s="14">
        <v>0.37329345031012601</v>
      </c>
      <c r="R15" s="14"/>
      <c r="S15" s="14">
        <v>0.46637636966520801</v>
      </c>
      <c r="T15" s="14">
        <v>0.50895951565965802</v>
      </c>
      <c r="U15" s="14">
        <v>0.47976054697938297</v>
      </c>
      <c r="V15" s="14">
        <v>0.42547531713388898</v>
      </c>
      <c r="W15" s="14">
        <v>0.386912731590623</v>
      </c>
      <c r="X15" s="14">
        <v>0.44998494337403999</v>
      </c>
      <c r="Y15" s="14">
        <v>0.43560560783472502</v>
      </c>
      <c r="Z15" s="14">
        <v>0.41615806071718697</v>
      </c>
      <c r="AA15" s="14">
        <v>0.46132684105937799</v>
      </c>
      <c r="AB15" s="14"/>
      <c r="AC15" s="14">
        <v>0.38508776126995298</v>
      </c>
      <c r="AD15" s="14">
        <v>0.39673783571730697</v>
      </c>
      <c r="AE15" s="14">
        <v>0.51431566900709202</v>
      </c>
      <c r="AF15" s="14">
        <v>0.53155656384861105</v>
      </c>
      <c r="AG15" s="14">
        <v>0.62280482339334597</v>
      </c>
      <c r="AH15" s="14"/>
      <c r="AI15" s="14">
        <v>0.47745577144710799</v>
      </c>
      <c r="AJ15" s="14">
        <v>0.47265370189883299</v>
      </c>
      <c r="AK15" s="14">
        <v>0.51442380253904196</v>
      </c>
      <c r="AL15" s="14">
        <v>0.41743365950591699</v>
      </c>
      <c r="AM15" s="14">
        <v>0.41673748991884701</v>
      </c>
      <c r="AN15" s="14">
        <v>0.465907413613872</v>
      </c>
      <c r="AO15" s="14"/>
      <c r="AP15" s="14">
        <v>0.475964213161854</v>
      </c>
      <c r="AQ15" s="14">
        <v>0.43098626781436</v>
      </c>
      <c r="AR15" s="14"/>
      <c r="AS15" s="14">
        <v>0.31440253937989499</v>
      </c>
      <c r="AT15" s="14">
        <v>0.38972758549862901</v>
      </c>
      <c r="AU15" s="14">
        <v>0.51212606972429697</v>
      </c>
      <c r="AV15" s="14"/>
      <c r="AW15" s="14">
        <v>0.455404195526594</v>
      </c>
      <c r="AX15" s="14">
        <v>0.466117444760765</v>
      </c>
      <c r="AY15" s="14"/>
      <c r="AZ15" s="14">
        <v>0.48489102211434099</v>
      </c>
      <c r="BA15" s="14">
        <v>0.35042360815492402</v>
      </c>
    </row>
    <row r="16" spans="2:53" ht="43.5" x14ac:dyDescent="0.35">
      <c r="B16" s="15" t="s">
        <v>186</v>
      </c>
      <c r="C16" s="14">
        <v>0.40091354096860898</v>
      </c>
      <c r="D16" s="14">
        <v>0.39544954479940903</v>
      </c>
      <c r="E16" s="14">
        <v>0.405799626359378</v>
      </c>
      <c r="F16" s="14"/>
      <c r="G16" s="14">
        <v>0.43642200379707002</v>
      </c>
      <c r="H16" s="14">
        <v>0.33737912273175402</v>
      </c>
      <c r="I16" s="14">
        <v>0.39434888680493302</v>
      </c>
      <c r="J16" s="14">
        <v>0.44671522648378598</v>
      </c>
      <c r="K16" s="14">
        <v>0.40142493765343901</v>
      </c>
      <c r="L16" s="14">
        <v>0.291412758609359</v>
      </c>
      <c r="M16" s="14"/>
      <c r="N16" s="14">
        <v>0.46441717449179698</v>
      </c>
      <c r="O16" s="14">
        <v>0.41603127925365402</v>
      </c>
      <c r="P16" s="14">
        <v>0.369461043052349</v>
      </c>
      <c r="Q16" s="14">
        <v>0.34401559575900198</v>
      </c>
      <c r="R16" s="14"/>
      <c r="S16" s="14">
        <v>0.36379685224771802</v>
      </c>
      <c r="T16" s="14">
        <v>0.44019551273923102</v>
      </c>
      <c r="U16" s="14">
        <v>0.452007628917652</v>
      </c>
      <c r="V16" s="14">
        <v>0.42500927288343499</v>
      </c>
      <c r="W16" s="14">
        <v>0.37511766300466798</v>
      </c>
      <c r="X16" s="14">
        <v>0.418317092827588</v>
      </c>
      <c r="Y16" s="14">
        <v>0.350423559532131</v>
      </c>
      <c r="Z16" s="14">
        <v>0.35988811308959701</v>
      </c>
      <c r="AA16" s="14">
        <v>0.39753322038295402</v>
      </c>
      <c r="AB16" s="14"/>
      <c r="AC16" s="14">
        <v>0.35200062462014797</v>
      </c>
      <c r="AD16" s="14">
        <v>0.33933891510740899</v>
      </c>
      <c r="AE16" s="14">
        <v>0.45362551149969399</v>
      </c>
      <c r="AF16" s="14">
        <v>0.45487980892785002</v>
      </c>
      <c r="AG16" s="14">
        <v>0.55362810486564995</v>
      </c>
      <c r="AH16" s="14"/>
      <c r="AI16" s="14">
        <v>0.41642320751149903</v>
      </c>
      <c r="AJ16" s="14">
        <v>0.35514540780801501</v>
      </c>
      <c r="AK16" s="14">
        <v>0.45987715157789899</v>
      </c>
      <c r="AL16" s="14">
        <v>0.35970713774789798</v>
      </c>
      <c r="AM16" s="14">
        <v>0.437941723711328</v>
      </c>
      <c r="AN16" s="14">
        <v>0.478453533878472</v>
      </c>
      <c r="AO16" s="14"/>
      <c r="AP16" s="14">
        <v>0.41158127893116397</v>
      </c>
      <c r="AQ16" s="14">
        <v>0.38764995791224899</v>
      </c>
      <c r="AR16" s="14"/>
      <c r="AS16" s="14">
        <v>0.33631100586262802</v>
      </c>
      <c r="AT16" s="14">
        <v>0.34793681079234201</v>
      </c>
      <c r="AU16" s="14">
        <v>0.43397219100474699</v>
      </c>
      <c r="AV16" s="14"/>
      <c r="AW16" s="14">
        <v>0.40432495051713901</v>
      </c>
      <c r="AX16" s="14">
        <v>0.404358373374261</v>
      </c>
      <c r="AY16" s="14"/>
      <c r="AZ16" s="14">
        <v>0.40225600542144202</v>
      </c>
      <c r="BA16" s="14">
        <v>0.401904207943104</v>
      </c>
    </row>
    <row r="17" spans="2:53" ht="43.5" x14ac:dyDescent="0.35">
      <c r="B17" s="15" t="s">
        <v>187</v>
      </c>
      <c r="C17" s="14">
        <v>0.39412540407882302</v>
      </c>
      <c r="D17" s="14">
        <v>0.391693561697327</v>
      </c>
      <c r="E17" s="14">
        <v>0.39694065285636898</v>
      </c>
      <c r="F17" s="14"/>
      <c r="G17" s="14">
        <v>0.20297950098732401</v>
      </c>
      <c r="H17" s="14">
        <v>0.33010147376719201</v>
      </c>
      <c r="I17" s="14">
        <v>0.408143209811829</v>
      </c>
      <c r="J17" s="14">
        <v>0.40215850269560599</v>
      </c>
      <c r="K17" s="14">
        <v>0.42251998783127598</v>
      </c>
      <c r="L17" s="14">
        <v>0.35690039484561797</v>
      </c>
      <c r="M17" s="14"/>
      <c r="N17" s="14">
        <v>0.42895736516522698</v>
      </c>
      <c r="O17" s="14">
        <v>0.39348238277704001</v>
      </c>
      <c r="P17" s="14">
        <v>0.36006902892764497</v>
      </c>
      <c r="Q17" s="14">
        <v>0.38598234254160801</v>
      </c>
      <c r="R17" s="14"/>
      <c r="S17" s="14">
        <v>0.44440948833848298</v>
      </c>
      <c r="T17" s="14">
        <v>0.36305361557739302</v>
      </c>
      <c r="U17" s="14">
        <v>0.42688050040561298</v>
      </c>
      <c r="V17" s="14">
        <v>0.38016037735944702</v>
      </c>
      <c r="W17" s="14">
        <v>0.396001941247274</v>
      </c>
      <c r="X17" s="14">
        <v>0.35428920646762102</v>
      </c>
      <c r="Y17" s="14">
        <v>0.38138777434304599</v>
      </c>
      <c r="Z17" s="14">
        <v>0.35390836921698798</v>
      </c>
      <c r="AA17" s="14">
        <v>0.411770224971587</v>
      </c>
      <c r="AB17" s="14"/>
      <c r="AC17" s="14">
        <v>0.36638461125869198</v>
      </c>
      <c r="AD17" s="14">
        <v>0.39256561166931703</v>
      </c>
      <c r="AE17" s="14">
        <v>0.37503624885282</v>
      </c>
      <c r="AF17" s="14">
        <v>0.48940340949111899</v>
      </c>
      <c r="AG17" s="14">
        <v>0.492606044349153</v>
      </c>
      <c r="AH17" s="14"/>
      <c r="AI17" s="14">
        <v>0.38206535881899301</v>
      </c>
      <c r="AJ17" s="14">
        <v>0.419082680040332</v>
      </c>
      <c r="AK17" s="14">
        <v>0.41498193239165698</v>
      </c>
      <c r="AL17" s="14">
        <v>0.37650547223306902</v>
      </c>
      <c r="AM17" s="14">
        <v>0.36327551158527899</v>
      </c>
      <c r="AN17" s="14">
        <v>0.47633690397358802</v>
      </c>
      <c r="AO17" s="14"/>
      <c r="AP17" s="14">
        <v>0.405670868209765</v>
      </c>
      <c r="AQ17" s="14">
        <v>0.38121274856794601</v>
      </c>
      <c r="AR17" s="14"/>
      <c r="AS17" s="14">
        <v>0.31615623832272299</v>
      </c>
      <c r="AT17" s="14">
        <v>0.37766806960823601</v>
      </c>
      <c r="AU17" s="14">
        <v>0.41998136889624799</v>
      </c>
      <c r="AV17" s="14"/>
      <c r="AW17" s="14">
        <v>0.39284352829785602</v>
      </c>
      <c r="AX17" s="14">
        <v>0.42114598965709599</v>
      </c>
      <c r="AY17" s="14"/>
      <c r="AZ17" s="14">
        <v>0.40646164404726098</v>
      </c>
      <c r="BA17" s="14">
        <v>0.35124006194811302</v>
      </c>
    </row>
    <row r="18" spans="2:53" x14ac:dyDescent="0.35">
      <c r="B18" s="15" t="s">
        <v>80</v>
      </c>
      <c r="C18" s="14">
        <v>2.26104979198463E-2</v>
      </c>
      <c r="D18" s="14">
        <v>9.4197341453495804E-3</v>
      </c>
      <c r="E18" s="14">
        <v>3.5830213307964702E-2</v>
      </c>
      <c r="F18" s="14"/>
      <c r="G18" s="14">
        <v>0</v>
      </c>
      <c r="H18" s="14">
        <v>1.1035634961120901E-2</v>
      </c>
      <c r="I18" s="14">
        <v>2.4325889997556301E-2</v>
      </c>
      <c r="J18" s="14">
        <v>2.60312999386717E-2</v>
      </c>
      <c r="K18" s="14">
        <v>1.6516835693504199E-2</v>
      </c>
      <c r="L18" s="14">
        <v>6.4394233971469497E-2</v>
      </c>
      <c r="M18" s="14"/>
      <c r="N18" s="14">
        <v>3.5984672079049599E-3</v>
      </c>
      <c r="O18" s="14">
        <v>1.3285386070628701E-2</v>
      </c>
      <c r="P18" s="14">
        <v>2.53340298914243E-2</v>
      </c>
      <c r="Q18" s="14">
        <v>5.0680979713271998E-2</v>
      </c>
      <c r="R18" s="14"/>
      <c r="S18" s="14">
        <v>1.23066714118401E-2</v>
      </c>
      <c r="T18" s="14">
        <v>1.20350456954468E-2</v>
      </c>
      <c r="U18" s="14">
        <v>3.0976954348335899E-2</v>
      </c>
      <c r="V18" s="14">
        <v>4.2274557421879203E-2</v>
      </c>
      <c r="W18" s="14">
        <v>1.08445978625029E-2</v>
      </c>
      <c r="X18" s="14">
        <v>2.7568822003265599E-2</v>
      </c>
      <c r="Y18" s="14">
        <v>2.66506049156774E-2</v>
      </c>
      <c r="Z18" s="14">
        <v>3.45869272895728E-2</v>
      </c>
      <c r="AA18" s="14">
        <v>2.1812454765928E-2</v>
      </c>
      <c r="AB18" s="14"/>
      <c r="AC18" s="14">
        <v>2.51108519383865E-2</v>
      </c>
      <c r="AD18" s="14">
        <v>2.0519279845254201E-2</v>
      </c>
      <c r="AE18" s="14">
        <v>1.6096905237808701E-2</v>
      </c>
      <c r="AF18" s="14">
        <v>2.63597412233702E-3</v>
      </c>
      <c r="AG18" s="14">
        <v>0</v>
      </c>
      <c r="AH18" s="14"/>
      <c r="AI18" s="14">
        <v>1.24785837175017E-2</v>
      </c>
      <c r="AJ18" s="14">
        <v>2.70292724189247E-3</v>
      </c>
      <c r="AK18" s="14">
        <v>8.9987566322030296E-3</v>
      </c>
      <c r="AL18" s="14">
        <v>1.68935630912577E-2</v>
      </c>
      <c r="AM18" s="14">
        <v>6.2883161363257403E-2</v>
      </c>
      <c r="AN18" s="14">
        <v>8.7445527058112496E-2</v>
      </c>
      <c r="AO18" s="14"/>
      <c r="AP18" s="14">
        <v>2.10866479023822E-2</v>
      </c>
      <c r="AQ18" s="14">
        <v>2.4397479119106402E-2</v>
      </c>
      <c r="AR18" s="14"/>
      <c r="AS18" s="14">
        <v>1.5873923610156101E-2</v>
      </c>
      <c r="AT18" s="14">
        <v>2.0222112936338001E-2</v>
      </c>
      <c r="AU18" s="14">
        <v>2.51303041183038E-2</v>
      </c>
      <c r="AV18" s="14"/>
      <c r="AW18" s="14">
        <v>2.1097498173511298E-2</v>
      </c>
      <c r="AX18" s="14">
        <v>6.5425164280091402E-3</v>
      </c>
      <c r="AY18" s="14"/>
      <c r="AZ18" s="14">
        <v>1.04140975235166E-2</v>
      </c>
      <c r="BA18" s="14">
        <v>5.7774087378068502E-2</v>
      </c>
    </row>
    <row r="19" spans="2:53" ht="43.5" x14ac:dyDescent="0.35">
      <c r="B19" s="15" t="s">
        <v>188</v>
      </c>
      <c r="C19" s="14">
        <v>1.2444013299235299E-3</v>
      </c>
      <c r="D19" s="14">
        <v>0</v>
      </c>
      <c r="E19" s="14">
        <v>2.4906723655531999E-3</v>
      </c>
      <c r="F19" s="14"/>
      <c r="G19" s="14">
        <v>0</v>
      </c>
      <c r="H19" s="14">
        <v>3.96986740031555E-3</v>
      </c>
      <c r="I19" s="14">
        <v>1.4905283247896E-3</v>
      </c>
      <c r="J19" s="14">
        <v>0</v>
      </c>
      <c r="K19" s="14">
        <v>0</v>
      </c>
      <c r="L19" s="14">
        <v>0</v>
      </c>
      <c r="M19" s="14"/>
      <c r="N19" s="14">
        <v>0</v>
      </c>
      <c r="O19" s="14">
        <v>0</v>
      </c>
      <c r="P19" s="14">
        <v>2.7041455523795E-3</v>
      </c>
      <c r="Q19" s="14">
        <v>2.6104244072203699E-3</v>
      </c>
      <c r="R19" s="14"/>
      <c r="S19" s="14">
        <v>7.7879485898106502E-3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/>
      <c r="AC19" s="14">
        <v>0</v>
      </c>
      <c r="AD19" s="14">
        <v>3.0501155610393E-3</v>
      </c>
      <c r="AE19" s="14">
        <v>0</v>
      </c>
      <c r="AF19" s="14">
        <v>0</v>
      </c>
      <c r="AG19" s="14">
        <v>0</v>
      </c>
      <c r="AH19" s="14"/>
      <c r="AI19" s="14">
        <v>1.8544701668059601E-3</v>
      </c>
      <c r="AJ19" s="14">
        <v>0</v>
      </c>
      <c r="AK19" s="14">
        <v>0</v>
      </c>
      <c r="AL19" s="14">
        <v>3.8526732185918001E-3</v>
      </c>
      <c r="AM19" s="14">
        <v>0</v>
      </c>
      <c r="AN19" s="14">
        <v>0</v>
      </c>
      <c r="AO19" s="14"/>
      <c r="AP19" s="14">
        <v>1.1224233560977899E-3</v>
      </c>
      <c r="AQ19" s="14">
        <v>1.3856194832708301E-3</v>
      </c>
      <c r="AR19" s="14"/>
      <c r="AS19" s="14">
        <v>0</v>
      </c>
      <c r="AT19" s="14">
        <v>3.4452535247035299E-3</v>
      </c>
      <c r="AU19" s="14">
        <v>9.2846581563050905E-4</v>
      </c>
      <c r="AV19" s="14"/>
      <c r="AW19" s="14">
        <v>1.6557417327585399E-3</v>
      </c>
      <c r="AX19" s="14">
        <v>0</v>
      </c>
      <c r="AY19" s="14"/>
      <c r="AZ19" s="14">
        <v>7.5577789187493904E-4</v>
      </c>
      <c r="BA19" s="14">
        <v>3.0921623362342599E-3</v>
      </c>
    </row>
    <row r="20" spans="2:53" ht="29" x14ac:dyDescent="0.35">
      <c r="B20" s="15" t="s">
        <v>189</v>
      </c>
      <c r="C20" s="14">
        <v>1.2444013299235299E-3</v>
      </c>
      <c r="D20" s="14">
        <v>0</v>
      </c>
      <c r="E20" s="14">
        <v>2.4906723655531999E-3</v>
      </c>
      <c r="F20" s="14"/>
      <c r="G20" s="14">
        <v>0</v>
      </c>
      <c r="H20" s="14">
        <v>3.96986740031555E-3</v>
      </c>
      <c r="I20" s="14">
        <v>1.4905283247896E-3</v>
      </c>
      <c r="J20" s="14">
        <v>0</v>
      </c>
      <c r="K20" s="14">
        <v>0</v>
      </c>
      <c r="L20" s="14">
        <v>0</v>
      </c>
      <c r="M20" s="14"/>
      <c r="N20" s="14">
        <v>0</v>
      </c>
      <c r="O20" s="14">
        <v>0</v>
      </c>
      <c r="P20" s="14">
        <v>2.7041455523795E-3</v>
      </c>
      <c r="Q20" s="14">
        <v>2.6104244072203699E-3</v>
      </c>
      <c r="R20" s="14"/>
      <c r="S20" s="14">
        <v>7.7879485898106502E-3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/>
      <c r="AC20" s="14">
        <v>0</v>
      </c>
      <c r="AD20" s="14">
        <v>3.0501155610393E-3</v>
      </c>
      <c r="AE20" s="14">
        <v>0</v>
      </c>
      <c r="AF20" s="14">
        <v>0</v>
      </c>
      <c r="AG20" s="14">
        <v>0</v>
      </c>
      <c r="AH20" s="14"/>
      <c r="AI20" s="14">
        <v>1.8544701668059601E-3</v>
      </c>
      <c r="AJ20" s="14">
        <v>0</v>
      </c>
      <c r="AK20" s="14">
        <v>0</v>
      </c>
      <c r="AL20" s="14">
        <v>3.8526732185918001E-3</v>
      </c>
      <c r="AM20" s="14">
        <v>0</v>
      </c>
      <c r="AN20" s="14">
        <v>0</v>
      </c>
      <c r="AO20" s="14"/>
      <c r="AP20" s="14">
        <v>1.1224233560977899E-3</v>
      </c>
      <c r="AQ20" s="14">
        <v>1.3856194832708301E-3</v>
      </c>
      <c r="AR20" s="14"/>
      <c r="AS20" s="14">
        <v>0</v>
      </c>
      <c r="AT20" s="14">
        <v>3.4452535247035299E-3</v>
      </c>
      <c r="AU20" s="14">
        <v>9.2846581563050905E-4</v>
      </c>
      <c r="AV20" s="14"/>
      <c r="AW20" s="14">
        <v>1.6557417327585399E-3</v>
      </c>
      <c r="AX20" s="14">
        <v>0</v>
      </c>
      <c r="AY20" s="14"/>
      <c r="AZ20" s="14">
        <v>7.5577789187493904E-4</v>
      </c>
      <c r="BA20" s="14">
        <v>3.0921623362342599E-3</v>
      </c>
    </row>
    <row r="21" spans="2:53" ht="29" x14ac:dyDescent="0.35">
      <c r="B21" s="15" t="s">
        <v>190</v>
      </c>
      <c r="C21" s="14">
        <v>1.2444013299235299E-3</v>
      </c>
      <c r="D21" s="14">
        <v>0</v>
      </c>
      <c r="E21" s="14">
        <v>2.4906723655531999E-3</v>
      </c>
      <c r="F21" s="14"/>
      <c r="G21" s="14">
        <v>0</v>
      </c>
      <c r="H21" s="14">
        <v>3.96986740031555E-3</v>
      </c>
      <c r="I21" s="14">
        <v>1.4905283247896E-3</v>
      </c>
      <c r="J21" s="14">
        <v>0</v>
      </c>
      <c r="K21" s="14">
        <v>0</v>
      </c>
      <c r="L21" s="14">
        <v>0</v>
      </c>
      <c r="M21" s="14"/>
      <c r="N21" s="14">
        <v>0</v>
      </c>
      <c r="O21" s="14">
        <v>0</v>
      </c>
      <c r="P21" s="14">
        <v>2.7041455523795E-3</v>
      </c>
      <c r="Q21" s="14">
        <v>2.6104244072203699E-3</v>
      </c>
      <c r="R21" s="14"/>
      <c r="S21" s="14">
        <v>7.7879485898106502E-3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/>
      <c r="AC21" s="14">
        <v>0</v>
      </c>
      <c r="AD21" s="14">
        <v>3.0501155610393E-3</v>
      </c>
      <c r="AE21" s="14">
        <v>0</v>
      </c>
      <c r="AF21" s="14">
        <v>0</v>
      </c>
      <c r="AG21" s="14">
        <v>0</v>
      </c>
      <c r="AH21" s="14"/>
      <c r="AI21" s="14">
        <v>1.8544701668059601E-3</v>
      </c>
      <c r="AJ21" s="14">
        <v>0</v>
      </c>
      <c r="AK21" s="14">
        <v>0</v>
      </c>
      <c r="AL21" s="14">
        <v>3.8526732185918001E-3</v>
      </c>
      <c r="AM21" s="14">
        <v>0</v>
      </c>
      <c r="AN21" s="14">
        <v>0</v>
      </c>
      <c r="AO21" s="14"/>
      <c r="AP21" s="14">
        <v>1.1224233560977899E-3</v>
      </c>
      <c r="AQ21" s="14">
        <v>1.3856194832708301E-3</v>
      </c>
      <c r="AR21" s="14"/>
      <c r="AS21" s="14">
        <v>0</v>
      </c>
      <c r="AT21" s="14">
        <v>3.4452535247035299E-3</v>
      </c>
      <c r="AU21" s="14">
        <v>9.2846581563050905E-4</v>
      </c>
      <c r="AV21" s="14"/>
      <c r="AW21" s="14">
        <v>1.6557417327585399E-3</v>
      </c>
      <c r="AX21" s="14">
        <v>0</v>
      </c>
      <c r="AY21" s="14"/>
      <c r="AZ21" s="14">
        <v>7.5577789187493904E-4</v>
      </c>
      <c r="BA21" s="14">
        <v>3.0921623362342599E-3</v>
      </c>
    </row>
    <row r="22" spans="2:53" ht="43.5" x14ac:dyDescent="0.35">
      <c r="B22" s="15" t="s">
        <v>191</v>
      </c>
      <c r="C22" s="14">
        <v>1.2444013299235299E-3</v>
      </c>
      <c r="D22" s="14">
        <v>0</v>
      </c>
      <c r="E22" s="14">
        <v>2.4906723655531999E-3</v>
      </c>
      <c r="F22" s="14"/>
      <c r="G22" s="14">
        <v>0</v>
      </c>
      <c r="H22" s="14">
        <v>3.96986740031555E-3</v>
      </c>
      <c r="I22" s="14">
        <v>1.4905283247896E-3</v>
      </c>
      <c r="J22" s="14">
        <v>0</v>
      </c>
      <c r="K22" s="14">
        <v>0</v>
      </c>
      <c r="L22" s="14">
        <v>0</v>
      </c>
      <c r="M22" s="14"/>
      <c r="N22" s="14">
        <v>0</v>
      </c>
      <c r="O22" s="14">
        <v>0</v>
      </c>
      <c r="P22" s="14">
        <v>2.7041455523795E-3</v>
      </c>
      <c r="Q22" s="14">
        <v>2.6104244072203699E-3</v>
      </c>
      <c r="R22" s="14"/>
      <c r="S22" s="14">
        <v>7.7879485898106502E-3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/>
      <c r="AC22" s="14">
        <v>0</v>
      </c>
      <c r="AD22" s="14">
        <v>3.0501155610393E-3</v>
      </c>
      <c r="AE22" s="14">
        <v>0</v>
      </c>
      <c r="AF22" s="14">
        <v>0</v>
      </c>
      <c r="AG22" s="14">
        <v>0</v>
      </c>
      <c r="AH22" s="14"/>
      <c r="AI22" s="14">
        <v>1.8544701668059601E-3</v>
      </c>
      <c r="AJ22" s="14">
        <v>0</v>
      </c>
      <c r="AK22" s="14">
        <v>0</v>
      </c>
      <c r="AL22" s="14">
        <v>3.8526732185918001E-3</v>
      </c>
      <c r="AM22" s="14">
        <v>0</v>
      </c>
      <c r="AN22" s="14">
        <v>0</v>
      </c>
      <c r="AO22" s="14"/>
      <c r="AP22" s="14">
        <v>1.1224233560977899E-3</v>
      </c>
      <c r="AQ22" s="14">
        <v>1.3856194832708301E-3</v>
      </c>
      <c r="AR22" s="14"/>
      <c r="AS22" s="14">
        <v>0</v>
      </c>
      <c r="AT22" s="14">
        <v>3.4452535247035299E-3</v>
      </c>
      <c r="AU22" s="14">
        <v>9.2846581563050905E-4</v>
      </c>
      <c r="AV22" s="14"/>
      <c r="AW22" s="14">
        <v>1.6557417327585399E-3</v>
      </c>
      <c r="AX22" s="14">
        <v>0</v>
      </c>
      <c r="AY22" s="14"/>
      <c r="AZ22" s="14">
        <v>7.5577789187493904E-4</v>
      </c>
      <c r="BA22" s="14">
        <v>3.0921623362342599E-3</v>
      </c>
    </row>
    <row r="23" spans="2:53" ht="43.5" x14ac:dyDescent="0.35">
      <c r="B23" s="15" t="s">
        <v>192</v>
      </c>
      <c r="C23" s="14">
        <v>6.5111265753191501E-4</v>
      </c>
      <c r="D23" s="14">
        <v>0</v>
      </c>
      <c r="E23" s="14">
        <v>1.30320360801632E-3</v>
      </c>
      <c r="F23" s="14"/>
      <c r="G23" s="14">
        <v>0</v>
      </c>
      <c r="H23" s="14">
        <v>0</v>
      </c>
      <c r="I23" s="14">
        <v>1.4905283247896E-3</v>
      </c>
      <c r="J23" s="14">
        <v>0</v>
      </c>
      <c r="K23" s="14">
        <v>0</v>
      </c>
      <c r="L23" s="14">
        <v>0</v>
      </c>
      <c r="M23" s="14"/>
      <c r="N23" s="14">
        <v>0</v>
      </c>
      <c r="O23" s="14">
        <v>0</v>
      </c>
      <c r="P23" s="14">
        <v>0</v>
      </c>
      <c r="Q23" s="14">
        <v>2.6104244072203699E-3</v>
      </c>
      <c r="R23" s="14"/>
      <c r="S23" s="14">
        <v>4.0749168142926702E-3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/>
      <c r="AC23" s="14">
        <v>0</v>
      </c>
      <c r="AD23" s="14">
        <v>3.0501155610393E-3</v>
      </c>
      <c r="AE23" s="14">
        <v>0</v>
      </c>
      <c r="AF23" s="14">
        <v>0</v>
      </c>
      <c r="AG23" s="14">
        <v>0</v>
      </c>
      <c r="AH23" s="14"/>
      <c r="AI23" s="14">
        <v>1.8544701668059601E-3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/>
      <c r="AP23" s="14">
        <v>0</v>
      </c>
      <c r="AQ23" s="14">
        <v>1.3856194832708301E-3</v>
      </c>
      <c r="AR23" s="14"/>
      <c r="AS23" s="14">
        <v>0</v>
      </c>
      <c r="AT23" s="14">
        <v>3.4452535247035299E-3</v>
      </c>
      <c r="AU23" s="14">
        <v>0</v>
      </c>
      <c r="AV23" s="14"/>
      <c r="AW23" s="14">
        <v>8.6633980041564505E-4</v>
      </c>
      <c r="AX23" s="14">
        <v>0</v>
      </c>
      <c r="AY23" s="14"/>
      <c r="AZ23" s="14">
        <v>0</v>
      </c>
      <c r="BA23" s="14">
        <v>3.0921623362342599E-3</v>
      </c>
    </row>
    <row r="24" spans="2:53" ht="58" x14ac:dyDescent="0.35">
      <c r="B24" s="15" t="s">
        <v>193</v>
      </c>
      <c r="C24" s="14">
        <v>6.5111265753191501E-4</v>
      </c>
      <c r="D24" s="14">
        <v>0</v>
      </c>
      <c r="E24" s="14">
        <v>1.30320360801632E-3</v>
      </c>
      <c r="F24" s="14"/>
      <c r="G24" s="14">
        <v>0</v>
      </c>
      <c r="H24" s="14">
        <v>0</v>
      </c>
      <c r="I24" s="14">
        <v>1.4905283247896E-3</v>
      </c>
      <c r="J24" s="14">
        <v>0</v>
      </c>
      <c r="K24" s="14">
        <v>0</v>
      </c>
      <c r="L24" s="14">
        <v>0</v>
      </c>
      <c r="M24" s="14"/>
      <c r="N24" s="14">
        <v>0</v>
      </c>
      <c r="O24" s="14">
        <v>0</v>
      </c>
      <c r="P24" s="14">
        <v>0</v>
      </c>
      <c r="Q24" s="14">
        <v>2.6104244072203699E-3</v>
      </c>
      <c r="R24" s="14"/>
      <c r="S24" s="14">
        <v>4.0749168142926702E-3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/>
      <c r="AC24" s="14">
        <v>0</v>
      </c>
      <c r="AD24" s="14">
        <v>3.0501155610393E-3</v>
      </c>
      <c r="AE24" s="14">
        <v>0</v>
      </c>
      <c r="AF24" s="14">
        <v>0</v>
      </c>
      <c r="AG24" s="14">
        <v>0</v>
      </c>
      <c r="AH24" s="14"/>
      <c r="AI24" s="14">
        <v>1.8544701668059601E-3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/>
      <c r="AP24" s="14">
        <v>0</v>
      </c>
      <c r="AQ24" s="14">
        <v>1.3856194832708301E-3</v>
      </c>
      <c r="AR24" s="14"/>
      <c r="AS24" s="14">
        <v>0</v>
      </c>
      <c r="AT24" s="14">
        <v>3.4452535247035299E-3</v>
      </c>
      <c r="AU24" s="14">
        <v>0</v>
      </c>
      <c r="AV24" s="14"/>
      <c r="AW24" s="14">
        <v>8.6633980041564505E-4</v>
      </c>
      <c r="AX24" s="14">
        <v>0</v>
      </c>
      <c r="AY24" s="14"/>
      <c r="AZ24" s="14">
        <v>0</v>
      </c>
      <c r="BA24" s="14">
        <v>3.0921623362342599E-3</v>
      </c>
    </row>
    <row r="25" spans="2:53" x14ac:dyDescent="0.35">
      <c r="B25" s="15" t="s">
        <v>194</v>
      </c>
      <c r="C25" s="23">
        <v>4.0382116852382497E-3</v>
      </c>
      <c r="D25" s="23">
        <v>4.6246640437224299E-3</v>
      </c>
      <c r="E25" s="23">
        <v>3.4553618641279798E-3</v>
      </c>
      <c r="F25" s="23"/>
      <c r="G25" s="23">
        <v>0</v>
      </c>
      <c r="H25" s="23">
        <v>5.3329514389261704E-3</v>
      </c>
      <c r="I25" s="23">
        <v>2.9713492692727298E-3</v>
      </c>
      <c r="J25" s="23">
        <v>3.6278917980870099E-3</v>
      </c>
      <c r="K25" s="23">
        <v>9.2343815647045295E-3</v>
      </c>
      <c r="L25" s="23">
        <v>0</v>
      </c>
      <c r="M25" s="23"/>
      <c r="N25" s="23">
        <v>4.1539757494962496E-3</v>
      </c>
      <c r="O25" s="23">
        <v>4.93541207574443E-3</v>
      </c>
      <c r="P25" s="23">
        <v>0</v>
      </c>
      <c r="Q25" s="23">
        <v>6.5803553297451804E-3</v>
      </c>
      <c r="R25" s="23"/>
      <c r="S25" s="23">
        <v>1.9609889265924801E-3</v>
      </c>
      <c r="T25" s="23">
        <v>6.83211120374181E-3</v>
      </c>
      <c r="U25" s="23">
        <v>8.4902110100567602E-3</v>
      </c>
      <c r="V25" s="23">
        <v>0</v>
      </c>
      <c r="W25" s="23">
        <v>1.44084907051858E-2</v>
      </c>
      <c r="X25" s="23">
        <v>0</v>
      </c>
      <c r="Y25" s="23">
        <v>0</v>
      </c>
      <c r="Z25" s="23">
        <v>0</v>
      </c>
      <c r="AA25" s="23">
        <v>3.7263802098519701E-3</v>
      </c>
      <c r="AB25" s="23"/>
      <c r="AC25" s="23">
        <v>9.1481649027580596E-3</v>
      </c>
      <c r="AD25" s="23">
        <v>5.1154099932918303E-3</v>
      </c>
      <c r="AE25" s="23">
        <v>1.10655985825212E-3</v>
      </c>
      <c r="AF25" s="23">
        <v>0</v>
      </c>
      <c r="AG25" s="23">
        <v>2.0295637469083899E-2</v>
      </c>
      <c r="AH25" s="23"/>
      <c r="AI25" s="23">
        <v>7.2701673864849301E-3</v>
      </c>
      <c r="AJ25" s="23">
        <v>0</v>
      </c>
      <c r="AK25" s="23">
        <v>0</v>
      </c>
      <c r="AL25" s="23">
        <v>9.6472820844738898E-3</v>
      </c>
      <c r="AM25" s="23">
        <v>0</v>
      </c>
      <c r="AN25" s="23">
        <v>0</v>
      </c>
      <c r="AO25" s="23"/>
      <c r="AP25" s="23">
        <v>3.3560424853672499E-3</v>
      </c>
      <c r="AQ25" s="23">
        <v>4.8185684886876403E-3</v>
      </c>
      <c r="AR25" s="23"/>
      <c r="AS25" s="23">
        <v>6.4998155246100602E-3</v>
      </c>
      <c r="AT25" s="23">
        <v>0</v>
      </c>
      <c r="AU25" s="23">
        <v>4.5698989329124801E-3</v>
      </c>
      <c r="AV25" s="23"/>
      <c r="AW25" s="23">
        <v>5.3730540559395398E-3</v>
      </c>
      <c r="AX25" s="23">
        <v>0</v>
      </c>
      <c r="AY25" s="23"/>
      <c r="AZ25" s="23">
        <v>1.0251075023995099E-3</v>
      </c>
      <c r="BA25" s="23">
        <v>1.53560235714562E-2</v>
      </c>
    </row>
    <row r="26" spans="2:53" x14ac:dyDescent="0.35">
      <c r="B26" s="16"/>
    </row>
    <row r="27" spans="2:53" x14ac:dyDescent="0.35">
      <c r="B27" t="s">
        <v>84</v>
      </c>
    </row>
    <row r="28" spans="2:53" x14ac:dyDescent="0.35">
      <c r="B28" t="s">
        <v>85</v>
      </c>
    </row>
    <row r="30" spans="2:53" x14ac:dyDescent="0.35">
      <c r="B30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H19"/>
  <sheetViews>
    <sheetView showGridLines="0" workbookViewId="0">
      <pane xSplit="2" topLeftCell="C1" activePane="topRight" state="frozen"/>
      <selection pane="topRight" activeCell="D10" sqref="D10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35" t="s">
        <v>202</v>
      </c>
      <c r="E2" s="32"/>
      <c r="F2" s="32"/>
      <c r="G2" s="32"/>
      <c r="H2" s="32"/>
    </row>
    <row r="6" spans="2:8" ht="50" customHeight="1" x14ac:dyDescent="0.35">
      <c r="B6" s="17" t="s">
        <v>14</v>
      </c>
      <c r="C6" s="17" t="s">
        <v>196</v>
      </c>
      <c r="D6" s="17" t="s">
        <v>197</v>
      </c>
      <c r="E6" s="17" t="s">
        <v>198</v>
      </c>
      <c r="F6" s="17" t="s">
        <v>199</v>
      </c>
      <c r="G6" s="17" t="s">
        <v>200</v>
      </c>
    </row>
    <row r="7" spans="2:8" x14ac:dyDescent="0.35">
      <c r="B7" s="15" t="s">
        <v>76</v>
      </c>
      <c r="C7" s="14">
        <v>0.28383265573945199</v>
      </c>
      <c r="D7" s="14">
        <v>0.43563419710950302</v>
      </c>
      <c r="E7" s="14">
        <v>0.57059795313673201</v>
      </c>
      <c r="F7" s="14">
        <v>0.58530668780682205</v>
      </c>
      <c r="G7" s="14">
        <v>0.63007000642575395</v>
      </c>
    </row>
    <row r="8" spans="2:8" x14ac:dyDescent="0.35">
      <c r="B8" s="15" t="s">
        <v>77</v>
      </c>
      <c r="C8" s="14">
        <v>0.41224883216819402</v>
      </c>
      <c r="D8" s="14">
        <v>0.38222797730656499</v>
      </c>
      <c r="E8" s="14">
        <v>0.35583832276301097</v>
      </c>
      <c r="F8" s="14">
        <v>0.369315063067014</v>
      </c>
      <c r="G8" s="14">
        <v>0.327650641432784</v>
      </c>
    </row>
    <row r="9" spans="2:8" x14ac:dyDescent="0.35">
      <c r="B9" s="15" t="s">
        <v>201</v>
      </c>
      <c r="C9" s="14">
        <v>0.22862799551975299</v>
      </c>
      <c r="D9" s="14">
        <v>0.133046576687844</v>
      </c>
      <c r="E9" s="14">
        <v>5.9493313774567999E-2</v>
      </c>
      <c r="F9" s="14">
        <v>3.3978369926528099E-2</v>
      </c>
      <c r="G9" s="14">
        <v>3.0063481528576401E-2</v>
      </c>
    </row>
    <row r="10" spans="2:8" x14ac:dyDescent="0.35">
      <c r="B10" s="15" t="s">
        <v>79</v>
      </c>
      <c r="C10" s="14">
        <v>4.3263819704541399E-2</v>
      </c>
      <c r="D10" s="14">
        <v>3.2545587572858997E-2</v>
      </c>
      <c r="E10" s="14">
        <v>7.9681359010388801E-3</v>
      </c>
      <c r="F10" s="14">
        <v>6.6309789119566899E-3</v>
      </c>
      <c r="G10" s="14">
        <v>5.8086092148003903E-3</v>
      </c>
    </row>
    <row r="11" spans="2:8" x14ac:dyDescent="0.35">
      <c r="B11" s="20" t="s">
        <v>116</v>
      </c>
      <c r="C11" s="18">
        <v>3.2026696868059097E-2</v>
      </c>
      <c r="D11" s="18">
        <v>1.6545661323229599E-2</v>
      </c>
      <c r="E11" s="18">
        <v>6.1022744246495104E-3</v>
      </c>
      <c r="F11" s="18">
        <v>4.7689002876785402E-3</v>
      </c>
      <c r="G11" s="18">
        <v>6.4072613980857103E-3</v>
      </c>
    </row>
    <row r="12" spans="2:8" x14ac:dyDescent="0.35">
      <c r="B12" s="20" t="s">
        <v>81</v>
      </c>
      <c r="C12" s="18">
        <v>0.69608148790764601</v>
      </c>
      <c r="D12" s="18">
        <v>0.81786217441606801</v>
      </c>
      <c r="E12" s="18">
        <v>0.92643627589974398</v>
      </c>
      <c r="F12" s="18">
        <v>0.95462175087383705</v>
      </c>
      <c r="G12" s="18">
        <v>0.95772064785853706</v>
      </c>
    </row>
    <row r="13" spans="2:8" x14ac:dyDescent="0.35">
      <c r="B13" s="16"/>
      <c r="C13" s="16"/>
      <c r="D13" s="16"/>
      <c r="E13" s="16"/>
      <c r="F13" s="16"/>
      <c r="G13" s="16"/>
    </row>
    <row r="14" spans="2:8" x14ac:dyDescent="0.35">
      <c r="B14" t="s">
        <v>84</v>
      </c>
    </row>
    <row r="15" spans="2:8" x14ac:dyDescent="0.35">
      <c r="B15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BA19"/>
  <sheetViews>
    <sheetView showGridLines="0" topLeftCell="A6" workbookViewId="0">
      <pane xSplit="2" topLeftCell="BA1" activePane="topRight" state="frozen"/>
      <selection activeCell="B14" sqref="B14:BA14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203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0.57059795313673201</v>
      </c>
      <c r="D9" s="14">
        <v>0.594640836059666</v>
      </c>
      <c r="E9" s="14">
        <v>0.54708904858674801</v>
      </c>
      <c r="F9" s="14"/>
      <c r="G9" s="14">
        <v>0.74213583656684701</v>
      </c>
      <c r="H9" s="14">
        <v>0.52950791876356795</v>
      </c>
      <c r="I9" s="14">
        <v>0.55658209266444103</v>
      </c>
      <c r="J9" s="14">
        <v>0.59367733386316102</v>
      </c>
      <c r="K9" s="14">
        <v>0.63502092163077795</v>
      </c>
      <c r="L9" s="14">
        <v>0.46871162729505</v>
      </c>
      <c r="M9" s="14"/>
      <c r="N9" s="14">
        <v>0.61867657147903599</v>
      </c>
      <c r="O9" s="14">
        <v>0.58169820796356797</v>
      </c>
      <c r="P9" s="14">
        <v>0.56605652732420597</v>
      </c>
      <c r="Q9" s="14">
        <v>0.50971790785119897</v>
      </c>
      <c r="R9" s="14"/>
      <c r="S9" s="14">
        <v>0.61519212894575104</v>
      </c>
      <c r="T9" s="14">
        <v>0.57403391066554299</v>
      </c>
      <c r="U9" s="14">
        <v>0.52882881818132998</v>
      </c>
      <c r="V9" s="14">
        <v>0.51823075662640095</v>
      </c>
      <c r="W9" s="14">
        <v>0.61133194579197303</v>
      </c>
      <c r="X9" s="14">
        <v>0.58160320783622499</v>
      </c>
      <c r="Y9" s="14">
        <v>0.59270681882934995</v>
      </c>
      <c r="Z9" s="14">
        <v>0.52201709748342695</v>
      </c>
      <c r="AA9" s="14">
        <v>0.55291891432569096</v>
      </c>
      <c r="AB9" s="14"/>
      <c r="AC9" s="14">
        <v>0.54558950172368503</v>
      </c>
      <c r="AD9" s="14">
        <v>0.55330308181140098</v>
      </c>
      <c r="AE9" s="14">
        <v>0.56430036754343005</v>
      </c>
      <c r="AF9" s="14">
        <v>0.65962995601723595</v>
      </c>
      <c r="AG9" s="14">
        <v>0.638599364811687</v>
      </c>
      <c r="AH9" s="14"/>
      <c r="AI9" s="14">
        <v>0.61596184547813104</v>
      </c>
      <c r="AJ9" s="14">
        <v>0.62499842908576497</v>
      </c>
      <c r="AK9" s="14">
        <v>0.508809865862489</v>
      </c>
      <c r="AL9" s="14">
        <v>0.559922236329916</v>
      </c>
      <c r="AM9" s="14">
        <v>0.51583799759472204</v>
      </c>
      <c r="AN9" s="14">
        <v>0.45955316766719201</v>
      </c>
      <c r="AO9" s="14"/>
      <c r="AP9" s="14">
        <v>0.58822937800837305</v>
      </c>
      <c r="AQ9" s="14">
        <v>0.55193222308969503</v>
      </c>
      <c r="AR9" s="14"/>
      <c r="AS9" s="14">
        <v>0.54704163997114796</v>
      </c>
      <c r="AT9" s="14">
        <v>0.54399124817070499</v>
      </c>
      <c r="AU9" s="14">
        <v>0.58480525352370005</v>
      </c>
      <c r="AV9" s="14"/>
      <c r="AW9" s="14">
        <v>0.56507595024475998</v>
      </c>
      <c r="AX9" s="14">
        <v>0.68744066456428998</v>
      </c>
      <c r="AY9" s="14"/>
      <c r="AZ9" s="14">
        <v>0.59228581701044503</v>
      </c>
      <c r="BA9" s="14">
        <v>0.49654626092216497</v>
      </c>
    </row>
    <row r="10" spans="2:53" x14ac:dyDescent="0.35">
      <c r="B10" s="15" t="s">
        <v>77</v>
      </c>
      <c r="C10" s="14">
        <v>0.35583832276301097</v>
      </c>
      <c r="D10" s="14">
        <v>0.34063764354926701</v>
      </c>
      <c r="E10" s="14">
        <v>0.37042663232217499</v>
      </c>
      <c r="F10" s="14"/>
      <c r="G10" s="14">
        <v>0.25786416343315299</v>
      </c>
      <c r="H10" s="14">
        <v>0.37608372631549303</v>
      </c>
      <c r="I10" s="14">
        <v>0.36394277057598201</v>
      </c>
      <c r="J10" s="14">
        <v>0.344854204921763</v>
      </c>
      <c r="K10" s="14">
        <v>0.30791868295889002</v>
      </c>
      <c r="L10" s="14">
        <v>0.46689413873348001</v>
      </c>
      <c r="M10" s="14"/>
      <c r="N10" s="14">
        <v>0.32658459110141003</v>
      </c>
      <c r="O10" s="14">
        <v>0.34447416028036798</v>
      </c>
      <c r="P10" s="14">
        <v>0.34345312187031302</v>
      </c>
      <c r="Q10" s="14">
        <v>0.41070076233194203</v>
      </c>
      <c r="R10" s="14"/>
      <c r="S10" s="14">
        <v>0.30906063870304401</v>
      </c>
      <c r="T10" s="14">
        <v>0.35994411032023998</v>
      </c>
      <c r="U10" s="14">
        <v>0.364454295000535</v>
      </c>
      <c r="V10" s="14">
        <v>0.42078516083717399</v>
      </c>
      <c r="W10" s="14">
        <v>0.31183548571862302</v>
      </c>
      <c r="X10" s="14">
        <v>0.347665486880538</v>
      </c>
      <c r="Y10" s="14">
        <v>0.33925959128372701</v>
      </c>
      <c r="Z10" s="14">
        <v>0.41284369506822</v>
      </c>
      <c r="AA10" s="14">
        <v>0.37444133314824202</v>
      </c>
      <c r="AB10" s="14"/>
      <c r="AC10" s="14">
        <v>0.38861405072982302</v>
      </c>
      <c r="AD10" s="14">
        <v>0.39076635620938499</v>
      </c>
      <c r="AE10" s="14">
        <v>0.36047637493573798</v>
      </c>
      <c r="AF10" s="14">
        <v>0.26174179776548401</v>
      </c>
      <c r="AG10" s="14">
        <v>0.31543626594324797</v>
      </c>
      <c r="AH10" s="14"/>
      <c r="AI10" s="14">
        <v>0.323241311267286</v>
      </c>
      <c r="AJ10" s="14">
        <v>0.32740931819496299</v>
      </c>
      <c r="AK10" s="14">
        <v>0.406323438976327</v>
      </c>
      <c r="AL10" s="14">
        <v>0.33769490721290601</v>
      </c>
      <c r="AM10" s="14">
        <v>0.42515113993718201</v>
      </c>
      <c r="AN10" s="14">
        <v>0.42850351905456202</v>
      </c>
      <c r="AO10" s="14"/>
      <c r="AP10" s="14">
        <v>0.344492818531838</v>
      </c>
      <c r="AQ10" s="14">
        <v>0.368390267874317</v>
      </c>
      <c r="AR10" s="14"/>
      <c r="AS10" s="14">
        <v>0.36819033020938102</v>
      </c>
      <c r="AT10" s="14">
        <v>0.38291239765153001</v>
      </c>
      <c r="AU10" s="14">
        <v>0.34450829264247401</v>
      </c>
      <c r="AV10" s="14"/>
      <c r="AW10" s="14">
        <v>0.36880820367446099</v>
      </c>
      <c r="AX10" s="14">
        <v>0.25492777002873002</v>
      </c>
      <c r="AY10" s="14"/>
      <c r="AZ10" s="14">
        <v>0.34314264668877298</v>
      </c>
      <c r="BA10" s="14">
        <v>0.40513450055355299</v>
      </c>
    </row>
    <row r="11" spans="2:53" x14ac:dyDescent="0.35">
      <c r="B11" s="15" t="s">
        <v>201</v>
      </c>
      <c r="C11" s="14">
        <v>5.9493313774567999E-2</v>
      </c>
      <c r="D11" s="14">
        <v>5.68253573715857E-2</v>
      </c>
      <c r="E11" s="14">
        <v>6.2221083091330801E-2</v>
      </c>
      <c r="F11" s="14"/>
      <c r="G11" s="14">
        <v>0</v>
      </c>
      <c r="H11" s="14">
        <v>7.1523723157275301E-2</v>
      </c>
      <c r="I11" s="14">
        <v>6.5372143536075095E-2</v>
      </c>
      <c r="J11" s="14">
        <v>4.8999677015242098E-2</v>
      </c>
      <c r="K11" s="14">
        <v>4.9067390033300198E-2</v>
      </c>
      <c r="L11" s="14">
        <v>6.4394233971469497E-2</v>
      </c>
      <c r="M11" s="14"/>
      <c r="N11" s="14">
        <v>4.87634946179763E-2</v>
      </c>
      <c r="O11" s="14">
        <v>5.8103074261967903E-2</v>
      </c>
      <c r="P11" s="14">
        <v>7.6591475991066596E-2</v>
      </c>
      <c r="Q11" s="14">
        <v>5.8174964313024498E-2</v>
      </c>
      <c r="R11" s="14"/>
      <c r="S11" s="14">
        <v>6.24415261981403E-2</v>
      </c>
      <c r="T11" s="14">
        <v>4.9005462574104201E-2</v>
      </c>
      <c r="U11" s="14">
        <v>8.0072804764338798E-2</v>
      </c>
      <c r="V11" s="14">
        <v>6.09840825364249E-2</v>
      </c>
      <c r="W11" s="14">
        <v>7.20662360088965E-2</v>
      </c>
      <c r="X11" s="14">
        <v>6.2111135549438201E-2</v>
      </c>
      <c r="Y11" s="14">
        <v>6.1830900085929098E-2</v>
      </c>
      <c r="Z11" s="14">
        <v>4.7510114688996602E-2</v>
      </c>
      <c r="AA11" s="14">
        <v>4.3671225641683603E-2</v>
      </c>
      <c r="AB11" s="14"/>
      <c r="AC11" s="14">
        <v>5.3251755045684301E-2</v>
      </c>
      <c r="AD11" s="14">
        <v>4.5300243086260197E-2</v>
      </c>
      <c r="AE11" s="14">
        <v>7.04660480714977E-2</v>
      </c>
      <c r="AF11" s="14">
        <v>6.0081784453449097E-2</v>
      </c>
      <c r="AG11" s="14">
        <v>4.5964369245064703E-2</v>
      </c>
      <c r="AH11" s="14"/>
      <c r="AI11" s="14">
        <v>4.8451767134714101E-2</v>
      </c>
      <c r="AJ11" s="14">
        <v>3.9881796266749599E-2</v>
      </c>
      <c r="AK11" s="14">
        <v>6.6843516464901498E-2</v>
      </c>
      <c r="AL11" s="14">
        <v>8.8697656103606901E-2</v>
      </c>
      <c r="AM11" s="14">
        <v>5.5951201243874898E-2</v>
      </c>
      <c r="AN11" s="14">
        <v>7.9213989898502798E-2</v>
      </c>
      <c r="AO11" s="14"/>
      <c r="AP11" s="14">
        <v>5.69949313699726E-2</v>
      </c>
      <c r="AQ11" s="14">
        <v>6.1300241620131798E-2</v>
      </c>
      <c r="AR11" s="14"/>
      <c r="AS11" s="14">
        <v>7.0912726488796096E-2</v>
      </c>
      <c r="AT11" s="14">
        <v>5.9933271266927698E-2</v>
      </c>
      <c r="AU11" s="14">
        <v>5.6289858345574803E-2</v>
      </c>
      <c r="AV11" s="14"/>
      <c r="AW11" s="14">
        <v>5.5950846001145603E-2</v>
      </c>
      <c r="AX11" s="14">
        <v>5.0371159601888399E-2</v>
      </c>
      <c r="AY11" s="14"/>
      <c r="AZ11" s="14">
        <v>5.3544110403390702E-2</v>
      </c>
      <c r="BA11" s="14">
        <v>7.8022187591701903E-2</v>
      </c>
    </row>
    <row r="12" spans="2:53" x14ac:dyDescent="0.35">
      <c r="B12" s="15" t="s">
        <v>79</v>
      </c>
      <c r="C12" s="14">
        <v>7.9681359010388801E-3</v>
      </c>
      <c r="D12" s="14">
        <v>3.3115314243239201E-3</v>
      </c>
      <c r="E12" s="14">
        <v>1.26361890016677E-2</v>
      </c>
      <c r="F12" s="14"/>
      <c r="G12" s="14">
        <v>0</v>
      </c>
      <c r="H12" s="14">
        <v>6.2970510346827598E-3</v>
      </c>
      <c r="I12" s="14">
        <v>7.2874422904119496E-3</v>
      </c>
      <c r="J12" s="14">
        <v>1.03207419141805E-2</v>
      </c>
      <c r="K12" s="14">
        <v>7.99300537703161E-3</v>
      </c>
      <c r="L12" s="14">
        <v>0</v>
      </c>
      <c r="M12" s="14"/>
      <c r="N12" s="14">
        <v>2.6086475961121401E-3</v>
      </c>
      <c r="O12" s="14">
        <v>1.17019623137011E-2</v>
      </c>
      <c r="P12" s="14">
        <v>1.1139581238074099E-2</v>
      </c>
      <c r="Q12" s="14">
        <v>7.1786649421995202E-3</v>
      </c>
      <c r="R12" s="14"/>
      <c r="S12" s="14">
        <v>1.23239168034551E-2</v>
      </c>
      <c r="T12" s="14">
        <v>9.5074255824609301E-3</v>
      </c>
      <c r="U12" s="14">
        <v>1.8578960308461699E-2</v>
      </c>
      <c r="V12" s="14">
        <v>0</v>
      </c>
      <c r="W12" s="14">
        <v>4.7663324805076301E-3</v>
      </c>
      <c r="X12" s="14">
        <v>3.3754816230654899E-3</v>
      </c>
      <c r="Y12" s="14">
        <v>3.5490135815875999E-3</v>
      </c>
      <c r="Z12" s="14">
        <v>1.76290927593565E-2</v>
      </c>
      <c r="AA12" s="14">
        <v>4.7341211555225202E-3</v>
      </c>
      <c r="AB12" s="14"/>
      <c r="AC12" s="14">
        <v>2.1397273958096898E-3</v>
      </c>
      <c r="AD12" s="14">
        <v>7.0170245152465704E-3</v>
      </c>
      <c r="AE12" s="14">
        <v>3.8405949498035701E-3</v>
      </c>
      <c r="AF12" s="14">
        <v>1.8546461763830801E-2</v>
      </c>
      <c r="AG12" s="14">
        <v>0</v>
      </c>
      <c r="AH12" s="14"/>
      <c r="AI12" s="14">
        <v>9.0833910554828506E-3</v>
      </c>
      <c r="AJ12" s="14">
        <v>7.7104564525226401E-3</v>
      </c>
      <c r="AK12" s="14">
        <v>1.14002900604148E-2</v>
      </c>
      <c r="AL12" s="14">
        <v>5.5534941249673099E-3</v>
      </c>
      <c r="AM12" s="14">
        <v>0</v>
      </c>
      <c r="AN12" s="14">
        <v>0</v>
      </c>
      <c r="AO12" s="14"/>
      <c r="AP12" s="14">
        <v>3.68412799817252E-3</v>
      </c>
      <c r="AQ12" s="14">
        <v>1.2813924782352701E-2</v>
      </c>
      <c r="AR12" s="14"/>
      <c r="AS12" s="14">
        <v>4.5545219060788402E-3</v>
      </c>
      <c r="AT12" s="14">
        <v>7.8192293356972396E-3</v>
      </c>
      <c r="AU12" s="14">
        <v>8.9308894028372904E-3</v>
      </c>
      <c r="AV12" s="14"/>
      <c r="AW12" s="14">
        <v>5.7596999684990701E-3</v>
      </c>
      <c r="AX12" s="14">
        <v>7.2604058050910799E-3</v>
      </c>
      <c r="AY12" s="14"/>
      <c r="AZ12" s="14">
        <v>6.9977109483972998E-3</v>
      </c>
      <c r="BA12" s="14">
        <v>1.1754044354554001E-2</v>
      </c>
    </row>
    <row r="13" spans="2:53" x14ac:dyDescent="0.35">
      <c r="B13" s="15" t="s">
        <v>116</v>
      </c>
      <c r="C13" s="18">
        <v>6.1022744246495104E-3</v>
      </c>
      <c r="D13" s="18">
        <v>4.5846315951581004E-3</v>
      </c>
      <c r="E13" s="18">
        <v>7.6270469980791499E-3</v>
      </c>
      <c r="F13" s="18"/>
      <c r="G13" s="18">
        <v>0</v>
      </c>
      <c r="H13" s="18">
        <v>1.65875807289818E-2</v>
      </c>
      <c r="I13" s="18">
        <v>6.81555093308997E-3</v>
      </c>
      <c r="J13" s="18">
        <v>2.1480422856535301E-3</v>
      </c>
      <c r="K13" s="18">
        <v>0</v>
      </c>
      <c r="L13" s="18">
        <v>0</v>
      </c>
      <c r="M13" s="18"/>
      <c r="N13" s="18">
        <v>3.3666952054657402E-3</v>
      </c>
      <c r="O13" s="18">
        <v>4.02259518039486E-3</v>
      </c>
      <c r="P13" s="18">
        <v>2.7592935763404501E-3</v>
      </c>
      <c r="Q13" s="18">
        <v>1.4227700561634899E-2</v>
      </c>
      <c r="R13" s="18"/>
      <c r="S13" s="18">
        <v>9.8178934960912903E-4</v>
      </c>
      <c r="T13" s="18">
        <v>7.5090908576521797E-3</v>
      </c>
      <c r="U13" s="18">
        <v>8.0651217453341292E-3</v>
      </c>
      <c r="V13" s="18">
        <v>0</v>
      </c>
      <c r="W13" s="18">
        <v>0</v>
      </c>
      <c r="X13" s="18">
        <v>5.2446881107329297E-3</v>
      </c>
      <c r="Y13" s="18">
        <v>2.6536762194060001E-3</v>
      </c>
      <c r="Z13" s="18">
        <v>0</v>
      </c>
      <c r="AA13" s="18">
        <v>2.4234405728861499E-2</v>
      </c>
      <c r="AB13" s="18"/>
      <c r="AC13" s="18">
        <v>1.0404965104997801E-2</v>
      </c>
      <c r="AD13" s="18">
        <v>3.6132943777069599E-3</v>
      </c>
      <c r="AE13" s="18">
        <v>9.1661449953013801E-4</v>
      </c>
      <c r="AF13" s="18">
        <v>0</v>
      </c>
      <c r="AG13" s="18">
        <v>0</v>
      </c>
      <c r="AH13" s="18"/>
      <c r="AI13" s="18">
        <v>3.26168506438576E-3</v>
      </c>
      <c r="AJ13" s="18">
        <v>0</v>
      </c>
      <c r="AK13" s="18">
        <v>6.6228886358677599E-3</v>
      </c>
      <c r="AL13" s="18">
        <v>8.1317062286041398E-3</v>
      </c>
      <c r="AM13" s="18">
        <v>3.0596612242215901E-3</v>
      </c>
      <c r="AN13" s="18">
        <v>3.2729323379742201E-2</v>
      </c>
      <c r="AO13" s="18"/>
      <c r="AP13" s="18">
        <v>6.59874409164324E-3</v>
      </c>
      <c r="AQ13" s="18">
        <v>5.5633426335043598E-3</v>
      </c>
      <c r="AR13" s="18"/>
      <c r="AS13" s="18">
        <v>9.3007814245962706E-3</v>
      </c>
      <c r="AT13" s="18">
        <v>5.3438535751398298E-3</v>
      </c>
      <c r="AU13" s="18">
        <v>5.4657060854135398E-3</v>
      </c>
      <c r="AV13" s="18"/>
      <c r="AW13" s="18">
        <v>4.4053001111343396E-3</v>
      </c>
      <c r="AX13" s="18">
        <v>0</v>
      </c>
      <c r="AY13" s="18"/>
      <c r="AZ13" s="18">
        <v>4.0297149489938499E-3</v>
      </c>
      <c r="BA13" s="18">
        <v>8.5430065780256904E-3</v>
      </c>
    </row>
    <row r="14" spans="2:53" x14ac:dyDescent="0.35">
      <c r="B14" s="26" t="s">
        <v>81</v>
      </c>
      <c r="C14" s="27">
        <v>0.92643627589974398</v>
      </c>
      <c r="D14" s="27">
        <v>0.93527847960893196</v>
      </c>
      <c r="E14" s="27">
        <v>0.91751568090892199</v>
      </c>
      <c r="F14" s="27"/>
      <c r="G14" s="27">
        <v>1</v>
      </c>
      <c r="H14" s="27">
        <v>0.90559164507905998</v>
      </c>
      <c r="I14" s="27">
        <v>0.92052486324042304</v>
      </c>
      <c r="J14" s="27">
        <v>0.93853153878492401</v>
      </c>
      <c r="K14" s="27">
        <v>0.94293960458966797</v>
      </c>
      <c r="L14" s="27">
        <v>0.93560576602852996</v>
      </c>
      <c r="M14" s="27"/>
      <c r="N14" s="27">
        <v>0.94526116258044601</v>
      </c>
      <c r="O14" s="27">
        <v>0.92617236824393601</v>
      </c>
      <c r="P14" s="27">
        <v>0.90950964919451904</v>
      </c>
      <c r="Q14" s="27">
        <v>0.92041867018314105</v>
      </c>
      <c r="R14" s="27"/>
      <c r="S14" s="27">
        <v>0.92425276764879605</v>
      </c>
      <c r="T14" s="27">
        <v>0.93397802098578298</v>
      </c>
      <c r="U14" s="27">
        <v>0.89328311318186504</v>
      </c>
      <c r="V14" s="27">
        <v>0.93901591746357504</v>
      </c>
      <c r="W14" s="27">
        <v>0.92316743151059599</v>
      </c>
      <c r="X14" s="27">
        <v>0.92926869471676299</v>
      </c>
      <c r="Y14" s="27">
        <v>0.93196641011307702</v>
      </c>
      <c r="Z14" s="27">
        <v>0.934860792551647</v>
      </c>
      <c r="AA14" s="27">
        <v>0.92736024747393198</v>
      </c>
      <c r="AB14" s="27"/>
      <c r="AC14" s="27">
        <v>0.93420355245350795</v>
      </c>
      <c r="AD14" s="27">
        <v>0.94406943802078602</v>
      </c>
      <c r="AE14" s="27">
        <v>0.92477674247916797</v>
      </c>
      <c r="AF14" s="27">
        <v>0.92137175378271996</v>
      </c>
      <c r="AG14" s="27">
        <v>0.95403563075493503</v>
      </c>
      <c r="AH14" s="27"/>
      <c r="AI14" s="27">
        <v>0.93920315674541699</v>
      </c>
      <c r="AJ14" s="27">
        <v>0.95240774728072797</v>
      </c>
      <c r="AK14" s="27">
        <v>0.91513330483881605</v>
      </c>
      <c r="AL14" s="27">
        <v>0.89761714354282196</v>
      </c>
      <c r="AM14" s="27">
        <v>0.94098913753190405</v>
      </c>
      <c r="AN14" s="27">
        <v>0.88805668672175497</v>
      </c>
      <c r="AO14" s="27"/>
      <c r="AP14" s="27">
        <v>0.93272219654021205</v>
      </c>
      <c r="AQ14" s="27">
        <v>0.92032249096401098</v>
      </c>
      <c r="AR14" s="27"/>
      <c r="AS14" s="27">
        <v>0.91523197018052904</v>
      </c>
      <c r="AT14" s="27">
        <v>0.92690364582223495</v>
      </c>
      <c r="AU14" s="27">
        <v>0.92931354616617401</v>
      </c>
      <c r="AV14" s="27"/>
      <c r="AW14" s="27">
        <v>0.93388415391922097</v>
      </c>
      <c r="AX14" s="27">
        <v>0.94236843459302</v>
      </c>
      <c r="AY14" s="27"/>
      <c r="AZ14" s="27">
        <v>0.93542846369921795</v>
      </c>
      <c r="BA14" s="27">
        <v>0.90168076147571796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BA19"/>
  <sheetViews>
    <sheetView showGridLines="0" workbookViewId="0">
      <pane xSplit="2" topLeftCell="C1" activePane="topRight" state="frozen"/>
      <selection activeCell="B14" sqref="B14:BA14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204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0.43563419710950302</v>
      </c>
      <c r="D9" s="14">
        <v>0.47185225182164098</v>
      </c>
      <c r="E9" s="14">
        <v>0.39980953624360999</v>
      </c>
      <c r="F9" s="14"/>
      <c r="G9" s="14">
        <v>0.50128178045639804</v>
      </c>
      <c r="H9" s="14">
        <v>0.478395332459221</v>
      </c>
      <c r="I9" s="14">
        <v>0.43940277319677901</v>
      </c>
      <c r="J9" s="14">
        <v>0.39695280073181199</v>
      </c>
      <c r="K9" s="14">
        <v>0.47165733437664598</v>
      </c>
      <c r="L9" s="14">
        <v>0.43157814706911202</v>
      </c>
      <c r="M9" s="14"/>
      <c r="N9" s="14">
        <v>0.45963657198192998</v>
      </c>
      <c r="O9" s="14">
        <v>0.39289036268104099</v>
      </c>
      <c r="P9" s="14">
        <v>0.42776343694468799</v>
      </c>
      <c r="Q9" s="14">
        <v>0.459477401644445</v>
      </c>
      <c r="R9" s="14"/>
      <c r="S9" s="14">
        <v>0.59205592833451903</v>
      </c>
      <c r="T9" s="14">
        <v>0.41394102521024301</v>
      </c>
      <c r="U9" s="14">
        <v>0.343776448218714</v>
      </c>
      <c r="V9" s="14">
        <v>0.38741587469237798</v>
      </c>
      <c r="W9" s="14">
        <v>0.45665127905469699</v>
      </c>
      <c r="X9" s="14">
        <v>0.42232718631496302</v>
      </c>
      <c r="Y9" s="14">
        <v>0.42246215495302802</v>
      </c>
      <c r="Z9" s="14">
        <v>0.361100352744602</v>
      </c>
      <c r="AA9" s="14">
        <v>0.416104906068686</v>
      </c>
      <c r="AB9" s="14"/>
      <c r="AC9" s="14">
        <v>0.41179513437382897</v>
      </c>
      <c r="AD9" s="14">
        <v>0.37676709464248198</v>
      </c>
      <c r="AE9" s="14">
        <v>0.419604063504803</v>
      </c>
      <c r="AF9" s="14">
        <v>0.55657079631824602</v>
      </c>
      <c r="AG9" s="14">
        <v>0.64544795646394204</v>
      </c>
      <c r="AH9" s="14"/>
      <c r="AI9" s="14">
        <v>0.51111543788538605</v>
      </c>
      <c r="AJ9" s="14">
        <v>0.44919292310009701</v>
      </c>
      <c r="AK9" s="14">
        <v>0.34315457310210401</v>
      </c>
      <c r="AL9" s="14">
        <v>0.43637340836788102</v>
      </c>
      <c r="AM9" s="14">
        <v>0.34568945897301201</v>
      </c>
      <c r="AN9" s="14">
        <v>0.364236546887313</v>
      </c>
      <c r="AO9" s="14"/>
      <c r="AP9" s="14">
        <v>0.46415656012538198</v>
      </c>
      <c r="AQ9" s="14">
        <v>0.40427967864041497</v>
      </c>
      <c r="AR9" s="14"/>
      <c r="AS9" s="14">
        <v>0.421857860452647</v>
      </c>
      <c r="AT9" s="14">
        <v>0.43290134579405398</v>
      </c>
      <c r="AU9" s="14">
        <v>0.44014998066727001</v>
      </c>
      <c r="AV9" s="14"/>
      <c r="AW9" s="14">
        <v>0.41242689774470698</v>
      </c>
      <c r="AX9" s="14">
        <v>0.61766678178880796</v>
      </c>
      <c r="AY9" s="14"/>
      <c r="AZ9" s="14">
        <v>0.46264627893874199</v>
      </c>
      <c r="BA9" s="14">
        <v>0.33889269781346099</v>
      </c>
    </row>
    <row r="10" spans="2:53" x14ac:dyDescent="0.35">
      <c r="B10" s="15" t="s">
        <v>77</v>
      </c>
      <c r="C10" s="14">
        <v>0.38222797730656499</v>
      </c>
      <c r="D10" s="14">
        <v>0.398228443174169</v>
      </c>
      <c r="E10" s="14">
        <v>0.36658529308114002</v>
      </c>
      <c r="F10" s="14"/>
      <c r="G10" s="14">
        <v>0.32587532562742499</v>
      </c>
      <c r="H10" s="14">
        <v>0.348923119781194</v>
      </c>
      <c r="I10" s="14">
        <v>0.391606916717055</v>
      </c>
      <c r="J10" s="14">
        <v>0.38652639897576602</v>
      </c>
      <c r="K10" s="14">
        <v>0.36308450357179201</v>
      </c>
      <c r="L10" s="14">
        <v>0.49118589363983001</v>
      </c>
      <c r="M10" s="14"/>
      <c r="N10" s="14">
        <v>0.36061863980429099</v>
      </c>
      <c r="O10" s="14">
        <v>0.42454560109431999</v>
      </c>
      <c r="P10" s="14">
        <v>0.37225493370146401</v>
      </c>
      <c r="Q10" s="14">
        <v>0.37482218957592001</v>
      </c>
      <c r="R10" s="14"/>
      <c r="S10" s="14">
        <v>0.31047054946726399</v>
      </c>
      <c r="T10" s="14">
        <v>0.370410808622821</v>
      </c>
      <c r="U10" s="14">
        <v>0.414371560086019</v>
      </c>
      <c r="V10" s="14">
        <v>0.39822157665249303</v>
      </c>
      <c r="W10" s="14">
        <v>0.33873624204580299</v>
      </c>
      <c r="X10" s="14">
        <v>0.39778830621997202</v>
      </c>
      <c r="Y10" s="14">
        <v>0.37834112632674999</v>
      </c>
      <c r="Z10" s="14">
        <v>0.45215815559588002</v>
      </c>
      <c r="AA10" s="14">
        <v>0.44102667275246599</v>
      </c>
      <c r="AB10" s="14"/>
      <c r="AC10" s="14">
        <v>0.43185474388719097</v>
      </c>
      <c r="AD10" s="14">
        <v>0.41399827693220997</v>
      </c>
      <c r="AE10" s="14">
        <v>0.37371506342847599</v>
      </c>
      <c r="AF10" s="14">
        <v>0.31124646526225602</v>
      </c>
      <c r="AG10" s="14">
        <v>0.29161461792871701</v>
      </c>
      <c r="AH10" s="14"/>
      <c r="AI10" s="14">
        <v>0.32593294518170901</v>
      </c>
      <c r="AJ10" s="14">
        <v>0.38802206074303702</v>
      </c>
      <c r="AK10" s="14">
        <v>0.45729433192593</v>
      </c>
      <c r="AL10" s="14">
        <v>0.37807614071309897</v>
      </c>
      <c r="AM10" s="14">
        <v>0.453602097665529</v>
      </c>
      <c r="AN10" s="14">
        <v>0.43446134152736499</v>
      </c>
      <c r="AO10" s="14"/>
      <c r="AP10" s="14">
        <v>0.36926135765253998</v>
      </c>
      <c r="AQ10" s="14">
        <v>0.398049072411857</v>
      </c>
      <c r="AR10" s="14"/>
      <c r="AS10" s="14">
        <v>0.37371140891745702</v>
      </c>
      <c r="AT10" s="14">
        <v>0.38114253747374099</v>
      </c>
      <c r="AU10" s="14">
        <v>0.38484104215443399</v>
      </c>
      <c r="AV10" s="14"/>
      <c r="AW10" s="14">
        <v>0.40531468321212699</v>
      </c>
      <c r="AX10" s="14">
        <v>0.30462797243228201</v>
      </c>
      <c r="AY10" s="14"/>
      <c r="AZ10" s="14">
        <v>0.371555457425503</v>
      </c>
      <c r="BA10" s="14">
        <v>0.421906411942846</v>
      </c>
    </row>
    <row r="11" spans="2:53" x14ac:dyDescent="0.35">
      <c r="B11" s="15" t="s">
        <v>201</v>
      </c>
      <c r="C11" s="14">
        <v>0.133046576687844</v>
      </c>
      <c r="D11" s="14">
        <v>0.10636488080937</v>
      </c>
      <c r="E11" s="14">
        <v>0.15987859771461299</v>
      </c>
      <c r="F11" s="14"/>
      <c r="G11" s="14">
        <v>0.17284289391617699</v>
      </c>
      <c r="H11" s="14">
        <v>0.137974060443014</v>
      </c>
      <c r="I11" s="14">
        <v>0.11459145421044301</v>
      </c>
      <c r="J11" s="14">
        <v>0.156448826318274</v>
      </c>
      <c r="K11" s="14">
        <v>0.14293316404659201</v>
      </c>
      <c r="L11" s="14">
        <v>7.7235959291058906E-2</v>
      </c>
      <c r="M11" s="14"/>
      <c r="N11" s="14">
        <v>0.138816244229648</v>
      </c>
      <c r="O11" s="14">
        <v>0.141589039426715</v>
      </c>
      <c r="P11" s="14">
        <v>0.14897245424273001</v>
      </c>
      <c r="Q11" s="14">
        <v>0.101919261048591</v>
      </c>
      <c r="R11" s="14"/>
      <c r="S11" s="14">
        <v>7.1476100224923095E-2</v>
      </c>
      <c r="T11" s="14">
        <v>0.147266686535337</v>
      </c>
      <c r="U11" s="14">
        <v>0.18521833445477701</v>
      </c>
      <c r="V11" s="14">
        <v>0.162591756385704</v>
      </c>
      <c r="W11" s="14">
        <v>0.17273528177311001</v>
      </c>
      <c r="X11" s="14">
        <v>0.134427862369496</v>
      </c>
      <c r="Y11" s="14">
        <v>0.14384016114652801</v>
      </c>
      <c r="Z11" s="14">
        <v>0.150211925397261</v>
      </c>
      <c r="AA11" s="14">
        <v>8.2453630937721706E-2</v>
      </c>
      <c r="AB11" s="14"/>
      <c r="AC11" s="14">
        <v>0.111626904210961</v>
      </c>
      <c r="AD11" s="14">
        <v>0.162727233039935</v>
      </c>
      <c r="AE11" s="14">
        <v>0.15262150155145099</v>
      </c>
      <c r="AF11" s="14">
        <v>0.108099820901174</v>
      </c>
      <c r="AG11" s="14">
        <v>3.10022537117427E-2</v>
      </c>
      <c r="AH11" s="14"/>
      <c r="AI11" s="14">
        <v>0.121993273762387</v>
      </c>
      <c r="AJ11" s="14">
        <v>0.129425752543469</v>
      </c>
      <c r="AK11" s="14">
        <v>0.140754657077658</v>
      </c>
      <c r="AL11" s="14">
        <v>0.11777472112739799</v>
      </c>
      <c r="AM11" s="14">
        <v>0.17692482062957601</v>
      </c>
      <c r="AN11" s="14">
        <v>0.122369670986592</v>
      </c>
      <c r="AO11" s="14"/>
      <c r="AP11" s="14">
        <v>0.11375526137467</v>
      </c>
      <c r="AQ11" s="14">
        <v>0.153984953000566</v>
      </c>
      <c r="AR11" s="14"/>
      <c r="AS11" s="14">
        <v>0.17014558417915401</v>
      </c>
      <c r="AT11" s="14">
        <v>0.133435749961898</v>
      </c>
      <c r="AU11" s="14">
        <v>0.12294686362023401</v>
      </c>
      <c r="AV11" s="14"/>
      <c r="AW11" s="14">
        <v>0.13715834116936301</v>
      </c>
      <c r="AX11" s="14">
        <v>6.4626911909638901E-2</v>
      </c>
      <c r="AY11" s="14"/>
      <c r="AZ11" s="14">
        <v>0.127075082079282</v>
      </c>
      <c r="BA11" s="14">
        <v>0.15583399988904301</v>
      </c>
    </row>
    <row r="12" spans="2:53" x14ac:dyDescent="0.35">
      <c r="B12" s="15" t="s">
        <v>79</v>
      </c>
      <c r="C12" s="14">
        <v>3.2545587572858997E-2</v>
      </c>
      <c r="D12" s="14">
        <v>1.3723598436054101E-2</v>
      </c>
      <c r="E12" s="14">
        <v>5.0444665661428099E-2</v>
      </c>
      <c r="F12" s="14"/>
      <c r="G12" s="14">
        <v>0</v>
      </c>
      <c r="H12" s="14">
        <v>1.53980146664252E-2</v>
      </c>
      <c r="I12" s="14">
        <v>3.2996503216871802E-2</v>
      </c>
      <c r="J12" s="14">
        <v>4.5749923739629599E-2</v>
      </c>
      <c r="K12" s="14">
        <v>2.23249980049707E-2</v>
      </c>
      <c r="L12" s="14">
        <v>0</v>
      </c>
      <c r="M12" s="14"/>
      <c r="N12" s="14">
        <v>3.1478648656213297E-2</v>
      </c>
      <c r="O12" s="14">
        <v>2.3834184987341699E-2</v>
      </c>
      <c r="P12" s="14">
        <v>4.0028915439227299E-2</v>
      </c>
      <c r="Q12" s="14">
        <v>3.6543926331679299E-2</v>
      </c>
      <c r="R12" s="14"/>
      <c r="S12" s="14">
        <v>2.13026006812971E-2</v>
      </c>
      <c r="T12" s="14">
        <v>4.2758652461471099E-2</v>
      </c>
      <c r="U12" s="14">
        <v>4.3377821582450397E-2</v>
      </c>
      <c r="V12" s="14">
        <v>4.0042128294639601E-2</v>
      </c>
      <c r="W12" s="14">
        <v>2.44714617906749E-2</v>
      </c>
      <c r="X12" s="14">
        <v>2.7471507710310501E-2</v>
      </c>
      <c r="Y12" s="14">
        <v>4.7766084515802998E-2</v>
      </c>
      <c r="Z12" s="14">
        <v>2.7512275224101101E-2</v>
      </c>
      <c r="AA12" s="14">
        <v>1.8792576730064899E-2</v>
      </c>
      <c r="AB12" s="14"/>
      <c r="AC12" s="14">
        <v>1.96268843007644E-2</v>
      </c>
      <c r="AD12" s="14">
        <v>3.1808682666497397E-2</v>
      </c>
      <c r="AE12" s="14">
        <v>4.1025635819007901E-2</v>
      </c>
      <c r="AF12" s="14">
        <v>1.6981997055836699E-2</v>
      </c>
      <c r="AG12" s="14">
        <v>3.1935171895597497E-2</v>
      </c>
      <c r="AH12" s="14"/>
      <c r="AI12" s="14">
        <v>3.0989328367345099E-2</v>
      </c>
      <c r="AJ12" s="14">
        <v>2.6867583920659199E-2</v>
      </c>
      <c r="AK12" s="14">
        <v>4.68668200053231E-2</v>
      </c>
      <c r="AL12" s="14">
        <v>4.00275975641394E-2</v>
      </c>
      <c r="AM12" s="14">
        <v>2.3783622731883801E-2</v>
      </c>
      <c r="AN12" s="14">
        <v>2.3470250932798999E-2</v>
      </c>
      <c r="AO12" s="14"/>
      <c r="AP12" s="14">
        <v>3.3287780369732303E-2</v>
      </c>
      <c r="AQ12" s="14">
        <v>3.0455283069807201E-2</v>
      </c>
      <c r="AR12" s="14"/>
      <c r="AS12" s="14">
        <v>1.2771377324439901E-2</v>
      </c>
      <c r="AT12" s="14">
        <v>2.6606402240205398E-2</v>
      </c>
      <c r="AU12" s="14">
        <v>3.9623705643701101E-2</v>
      </c>
      <c r="AV12" s="14"/>
      <c r="AW12" s="14">
        <v>2.7968570835641499E-2</v>
      </c>
      <c r="AX12" s="14">
        <v>1.03335590087645E-2</v>
      </c>
      <c r="AY12" s="14"/>
      <c r="AZ12" s="14">
        <v>2.6394278038662101E-2</v>
      </c>
      <c r="BA12" s="14">
        <v>5.6165954431749501E-2</v>
      </c>
    </row>
    <row r="13" spans="2:53" x14ac:dyDescent="0.35">
      <c r="B13" s="15" t="s">
        <v>116</v>
      </c>
      <c r="C13" s="18">
        <v>1.6545661323229599E-2</v>
      </c>
      <c r="D13" s="18">
        <v>9.8308257587665995E-3</v>
      </c>
      <c r="E13" s="18">
        <v>2.3281907299209099E-2</v>
      </c>
      <c r="F13" s="18"/>
      <c r="G13" s="18">
        <v>0</v>
      </c>
      <c r="H13" s="18">
        <v>1.93094726501464E-2</v>
      </c>
      <c r="I13" s="18">
        <v>2.1402352658850699E-2</v>
      </c>
      <c r="J13" s="18">
        <v>1.4322050234518499E-2</v>
      </c>
      <c r="K13" s="18">
        <v>0</v>
      </c>
      <c r="L13" s="18">
        <v>0</v>
      </c>
      <c r="M13" s="18"/>
      <c r="N13" s="18">
        <v>9.4498953279183208E-3</v>
      </c>
      <c r="O13" s="18">
        <v>1.7140811810582E-2</v>
      </c>
      <c r="P13" s="18">
        <v>1.0980259671891399E-2</v>
      </c>
      <c r="Q13" s="18">
        <v>2.7237221399364301E-2</v>
      </c>
      <c r="R13" s="18"/>
      <c r="S13" s="18">
        <v>4.6948212919968799E-3</v>
      </c>
      <c r="T13" s="18">
        <v>2.56228271701281E-2</v>
      </c>
      <c r="U13" s="18">
        <v>1.3255835658039099E-2</v>
      </c>
      <c r="V13" s="18">
        <v>1.1728663974784901E-2</v>
      </c>
      <c r="W13" s="18">
        <v>7.4057353357157001E-3</v>
      </c>
      <c r="X13" s="18">
        <v>1.7985137385259E-2</v>
      </c>
      <c r="Y13" s="18">
        <v>7.5904730578917404E-3</v>
      </c>
      <c r="Z13" s="18">
        <v>9.0172910381561694E-3</v>
      </c>
      <c r="AA13" s="18">
        <v>4.1622213511060803E-2</v>
      </c>
      <c r="AB13" s="18"/>
      <c r="AC13" s="18">
        <v>2.5096333227254401E-2</v>
      </c>
      <c r="AD13" s="18">
        <v>1.4698712718875601E-2</v>
      </c>
      <c r="AE13" s="18">
        <v>1.3033735696262301E-2</v>
      </c>
      <c r="AF13" s="18">
        <v>7.1009204624877999E-3</v>
      </c>
      <c r="AG13" s="18">
        <v>0</v>
      </c>
      <c r="AH13" s="18"/>
      <c r="AI13" s="18">
        <v>9.9690148031733195E-3</v>
      </c>
      <c r="AJ13" s="18">
        <v>6.49167969273781E-3</v>
      </c>
      <c r="AK13" s="18">
        <v>1.1929617888985699E-2</v>
      </c>
      <c r="AL13" s="18">
        <v>2.77481322274825E-2</v>
      </c>
      <c r="AM13" s="18">
        <v>0</v>
      </c>
      <c r="AN13" s="18">
        <v>5.5462189665930701E-2</v>
      </c>
      <c r="AO13" s="18"/>
      <c r="AP13" s="18">
        <v>1.9539040477675199E-2</v>
      </c>
      <c r="AQ13" s="18">
        <v>1.3231012877355199E-2</v>
      </c>
      <c r="AR13" s="18"/>
      <c r="AS13" s="18">
        <v>2.15137691263016E-2</v>
      </c>
      <c r="AT13" s="18">
        <v>2.59139645301017E-2</v>
      </c>
      <c r="AU13" s="18">
        <v>1.24384079143607E-2</v>
      </c>
      <c r="AV13" s="18"/>
      <c r="AW13" s="18">
        <v>1.7131507038161801E-2</v>
      </c>
      <c r="AX13" s="18">
        <v>2.7447748605060199E-3</v>
      </c>
      <c r="AY13" s="18"/>
      <c r="AZ13" s="18">
        <v>1.23289035178119E-2</v>
      </c>
      <c r="BA13" s="18">
        <v>2.72009359229014E-2</v>
      </c>
    </row>
    <row r="14" spans="2:53" x14ac:dyDescent="0.35">
      <c r="B14" s="26" t="s">
        <v>81</v>
      </c>
      <c r="C14" s="27">
        <v>0.81786217441606801</v>
      </c>
      <c r="D14" s="27">
        <v>0.87008069499580998</v>
      </c>
      <c r="E14" s="27">
        <v>0.76639482932475</v>
      </c>
      <c r="F14" s="27"/>
      <c r="G14" s="27">
        <v>0.82715710608382298</v>
      </c>
      <c r="H14" s="27">
        <v>0.827318452240415</v>
      </c>
      <c r="I14" s="27">
        <v>0.83100968991383395</v>
      </c>
      <c r="J14" s="27">
        <v>0.78347919970757796</v>
      </c>
      <c r="K14" s="27">
        <v>0.83474183794843804</v>
      </c>
      <c r="L14" s="27">
        <v>0.92276404070894102</v>
      </c>
      <c r="M14" s="27"/>
      <c r="N14" s="27">
        <v>0.82025521178622096</v>
      </c>
      <c r="O14" s="27">
        <v>0.81743596377536099</v>
      </c>
      <c r="P14" s="27">
        <v>0.800018370646152</v>
      </c>
      <c r="Q14" s="27">
        <v>0.83429959122036501</v>
      </c>
      <c r="R14" s="27"/>
      <c r="S14" s="27">
        <v>0.90252647780178297</v>
      </c>
      <c r="T14" s="27">
        <v>0.78435183383306295</v>
      </c>
      <c r="U14" s="27">
        <v>0.75814800830473295</v>
      </c>
      <c r="V14" s="27">
        <v>0.78563745134487095</v>
      </c>
      <c r="W14" s="27">
        <v>0.79538752110050004</v>
      </c>
      <c r="X14" s="27">
        <v>0.82011549253493499</v>
      </c>
      <c r="Y14" s="27">
        <v>0.80080328127977796</v>
      </c>
      <c r="Z14" s="27">
        <v>0.81325850834048197</v>
      </c>
      <c r="AA14" s="27">
        <v>0.85713157882115298</v>
      </c>
      <c r="AB14" s="27"/>
      <c r="AC14" s="27">
        <v>0.84364987826102</v>
      </c>
      <c r="AD14" s="27">
        <v>0.79076537157469196</v>
      </c>
      <c r="AE14" s="27">
        <v>0.793319126933279</v>
      </c>
      <c r="AF14" s="27">
        <v>0.86781726158050199</v>
      </c>
      <c r="AG14" s="27">
        <v>0.93706257439266005</v>
      </c>
      <c r="AH14" s="27"/>
      <c r="AI14" s="27">
        <v>0.83704838306709495</v>
      </c>
      <c r="AJ14" s="27">
        <v>0.83721498384313398</v>
      </c>
      <c r="AK14" s="27">
        <v>0.80044890502803301</v>
      </c>
      <c r="AL14" s="27">
        <v>0.81444954908098</v>
      </c>
      <c r="AM14" s="27">
        <v>0.79929155663854001</v>
      </c>
      <c r="AN14" s="27">
        <v>0.79869788841467904</v>
      </c>
      <c r="AO14" s="27"/>
      <c r="AP14" s="27">
        <v>0.83341791777792196</v>
      </c>
      <c r="AQ14" s="27">
        <v>0.80232875105227197</v>
      </c>
      <c r="AR14" s="27"/>
      <c r="AS14" s="27">
        <v>0.79556926937010397</v>
      </c>
      <c r="AT14" s="27">
        <v>0.81404388326779498</v>
      </c>
      <c r="AU14" s="27">
        <v>0.824991022821704</v>
      </c>
      <c r="AV14" s="27"/>
      <c r="AW14" s="27">
        <v>0.81774158095683402</v>
      </c>
      <c r="AX14" s="27">
        <v>0.92229475422109097</v>
      </c>
      <c r="AY14" s="27"/>
      <c r="AZ14" s="27">
        <v>0.834201736364244</v>
      </c>
      <c r="BA14" s="27">
        <v>0.76079910975630605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BA19"/>
  <sheetViews>
    <sheetView showGridLines="0" workbookViewId="0">
      <pane xSplit="2" topLeftCell="C1" activePane="topRight" state="frozen"/>
      <selection activeCell="B14" sqref="B14:BA14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205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0.28383265573945199</v>
      </c>
      <c r="D9" s="14">
        <v>0.30800892019478399</v>
      </c>
      <c r="E9" s="14">
        <v>0.25991223990685097</v>
      </c>
      <c r="F9" s="14"/>
      <c r="G9" s="14">
        <v>0.46842595976940599</v>
      </c>
      <c r="H9" s="14">
        <v>0.275563850573606</v>
      </c>
      <c r="I9" s="14">
        <v>0.33789770162660099</v>
      </c>
      <c r="J9" s="14">
        <v>0.22747638921920099</v>
      </c>
      <c r="K9" s="14">
        <v>0.19885637466535699</v>
      </c>
      <c r="L9" s="14">
        <v>0.37819379192434299</v>
      </c>
      <c r="M9" s="14"/>
      <c r="N9" s="14">
        <v>0.330569920174693</v>
      </c>
      <c r="O9" s="14">
        <v>0.24515331041542801</v>
      </c>
      <c r="P9" s="14">
        <v>0.23349857192704401</v>
      </c>
      <c r="Q9" s="14">
        <v>0.31460828325291901</v>
      </c>
      <c r="R9" s="14"/>
      <c r="S9" s="14">
        <v>0.41198158327234902</v>
      </c>
      <c r="T9" s="14">
        <v>0.28318607351932301</v>
      </c>
      <c r="U9" s="14">
        <v>0.25986950947519799</v>
      </c>
      <c r="V9" s="14">
        <v>0.23324899195447699</v>
      </c>
      <c r="W9" s="14">
        <v>0.273042543504322</v>
      </c>
      <c r="X9" s="14">
        <v>0.32453129519644702</v>
      </c>
      <c r="Y9" s="14">
        <v>0.20884472606375001</v>
      </c>
      <c r="Z9" s="14">
        <v>0.21671618979482099</v>
      </c>
      <c r="AA9" s="14">
        <v>0.24800668072733101</v>
      </c>
      <c r="AB9" s="14"/>
      <c r="AC9" s="14">
        <v>0.21931459629268299</v>
      </c>
      <c r="AD9" s="14">
        <v>0.20846445294795399</v>
      </c>
      <c r="AE9" s="14">
        <v>0.289040537586358</v>
      </c>
      <c r="AF9" s="14">
        <v>0.49078547807742801</v>
      </c>
      <c r="AG9" s="14">
        <v>0.44298982204399601</v>
      </c>
      <c r="AH9" s="14"/>
      <c r="AI9" s="14">
        <v>0.35569083573294602</v>
      </c>
      <c r="AJ9" s="14">
        <v>0.30384746007977598</v>
      </c>
      <c r="AK9" s="14">
        <v>0.27555338215595199</v>
      </c>
      <c r="AL9" s="14">
        <v>0.205287919686894</v>
      </c>
      <c r="AM9" s="14">
        <v>0.29922368042407599</v>
      </c>
      <c r="AN9" s="14">
        <v>0.20436132816673899</v>
      </c>
      <c r="AO9" s="14"/>
      <c r="AP9" s="14">
        <v>0.31620141389980899</v>
      </c>
      <c r="AQ9" s="14">
        <v>0.24832799041388101</v>
      </c>
      <c r="AR9" s="14"/>
      <c r="AS9" s="14">
        <v>0.29330288828809797</v>
      </c>
      <c r="AT9" s="14">
        <v>0.30937501674214102</v>
      </c>
      <c r="AU9" s="14">
        <v>0.27373113217763201</v>
      </c>
      <c r="AV9" s="14"/>
      <c r="AW9" s="14">
        <v>0.25228305226811998</v>
      </c>
      <c r="AX9" s="14">
        <v>0.45815389637417497</v>
      </c>
      <c r="AY9" s="14"/>
      <c r="AZ9" s="14">
        <v>0.303447826169498</v>
      </c>
      <c r="BA9" s="14">
        <v>0.209046037257513</v>
      </c>
    </row>
    <row r="10" spans="2:53" x14ac:dyDescent="0.35">
      <c r="B10" s="15" t="s">
        <v>77</v>
      </c>
      <c r="C10" s="14">
        <v>0.41224883216819402</v>
      </c>
      <c r="D10" s="14">
        <v>0.440548272838512</v>
      </c>
      <c r="E10" s="14">
        <v>0.38432644458488902</v>
      </c>
      <c r="F10" s="14"/>
      <c r="G10" s="14">
        <v>0.26323550665539103</v>
      </c>
      <c r="H10" s="14">
        <v>0.42125391127123102</v>
      </c>
      <c r="I10" s="14">
        <v>0.39749263040009802</v>
      </c>
      <c r="J10" s="14">
        <v>0.40459167493731701</v>
      </c>
      <c r="K10" s="14">
        <v>0.50500647244873398</v>
      </c>
      <c r="L10" s="14">
        <v>0.38952677885521197</v>
      </c>
      <c r="M10" s="14"/>
      <c r="N10" s="14">
        <v>0.417298090589589</v>
      </c>
      <c r="O10" s="14">
        <v>0.40975893345610098</v>
      </c>
      <c r="P10" s="14">
        <v>0.43996142278309303</v>
      </c>
      <c r="Q10" s="14">
        <v>0.386582948432311</v>
      </c>
      <c r="R10" s="14"/>
      <c r="S10" s="14">
        <v>0.399558562819882</v>
      </c>
      <c r="T10" s="14">
        <v>0.43046542828930701</v>
      </c>
      <c r="U10" s="14">
        <v>0.41451799824574997</v>
      </c>
      <c r="V10" s="14">
        <v>0.39260589198101797</v>
      </c>
      <c r="W10" s="14">
        <v>0.36984929161059299</v>
      </c>
      <c r="X10" s="14">
        <v>0.35874568980058502</v>
      </c>
      <c r="Y10" s="14">
        <v>0.428444909309947</v>
      </c>
      <c r="Z10" s="14">
        <v>0.48733927914694197</v>
      </c>
      <c r="AA10" s="14">
        <v>0.44970931571517397</v>
      </c>
      <c r="AB10" s="14"/>
      <c r="AC10" s="14">
        <v>0.421371770982435</v>
      </c>
      <c r="AD10" s="14">
        <v>0.421473351891196</v>
      </c>
      <c r="AE10" s="14">
        <v>0.43999877485045202</v>
      </c>
      <c r="AF10" s="14">
        <v>0.32983891516951103</v>
      </c>
      <c r="AG10" s="14">
        <v>0.43048416009732798</v>
      </c>
      <c r="AH10" s="14"/>
      <c r="AI10" s="14">
        <v>0.376845226556766</v>
      </c>
      <c r="AJ10" s="14">
        <v>0.42916572940935299</v>
      </c>
      <c r="AK10" s="14">
        <v>0.43652587540838</v>
      </c>
      <c r="AL10" s="14">
        <v>0.45059097751598598</v>
      </c>
      <c r="AM10" s="14">
        <v>0.45143945492575599</v>
      </c>
      <c r="AN10" s="14">
        <v>0.444674068301456</v>
      </c>
      <c r="AO10" s="14"/>
      <c r="AP10" s="14">
        <v>0.41560700440988102</v>
      </c>
      <c r="AQ10" s="14">
        <v>0.40793635514590199</v>
      </c>
      <c r="AR10" s="14"/>
      <c r="AS10" s="14">
        <v>0.40730614099634599</v>
      </c>
      <c r="AT10" s="14">
        <v>0.41771184863327399</v>
      </c>
      <c r="AU10" s="14">
        <v>0.41196369489210899</v>
      </c>
      <c r="AV10" s="14"/>
      <c r="AW10" s="14">
        <v>0.42116061611662797</v>
      </c>
      <c r="AX10" s="14">
        <v>0.38697481503910902</v>
      </c>
      <c r="AY10" s="14"/>
      <c r="AZ10" s="14">
        <v>0.41255665030486999</v>
      </c>
      <c r="BA10" s="14">
        <v>0.41405056028950099</v>
      </c>
    </row>
    <row r="11" spans="2:53" x14ac:dyDescent="0.35">
      <c r="B11" s="15" t="s">
        <v>201</v>
      </c>
      <c r="C11" s="14">
        <v>0.22862799551975299</v>
      </c>
      <c r="D11" s="14">
        <v>0.1963719316541</v>
      </c>
      <c r="E11" s="14">
        <v>0.26016199489334202</v>
      </c>
      <c r="F11" s="14"/>
      <c r="G11" s="14">
        <v>0.155070102187463</v>
      </c>
      <c r="H11" s="14">
        <v>0.23257586970670599</v>
      </c>
      <c r="I11" s="14">
        <v>0.199643191735108</v>
      </c>
      <c r="J11" s="14">
        <v>0.27296401751194999</v>
      </c>
      <c r="K11" s="14">
        <v>0.22308726925610101</v>
      </c>
      <c r="L11" s="14">
        <v>0.20397738225238199</v>
      </c>
      <c r="M11" s="14"/>
      <c r="N11" s="14">
        <v>0.21177839969284801</v>
      </c>
      <c r="O11" s="14">
        <v>0.28103104063948903</v>
      </c>
      <c r="P11" s="14">
        <v>0.22201588107171399</v>
      </c>
      <c r="Q11" s="14">
        <v>0.19896692331150301</v>
      </c>
      <c r="R11" s="14"/>
      <c r="S11" s="14">
        <v>0.145611550130749</v>
      </c>
      <c r="T11" s="14">
        <v>0.214673563224132</v>
      </c>
      <c r="U11" s="14">
        <v>0.24925090324787999</v>
      </c>
      <c r="V11" s="14">
        <v>0.27409666573739699</v>
      </c>
      <c r="W11" s="14">
        <v>0.29249741642855498</v>
      </c>
      <c r="X11" s="14">
        <v>0.21935242826965201</v>
      </c>
      <c r="Y11" s="14">
        <v>0.29041644943636302</v>
      </c>
      <c r="Z11" s="14">
        <v>0.193957145642774</v>
      </c>
      <c r="AA11" s="14">
        <v>0.221995433059747</v>
      </c>
      <c r="AB11" s="14"/>
      <c r="AC11" s="14">
        <v>0.28420443124523098</v>
      </c>
      <c r="AD11" s="14">
        <v>0.24324390675580199</v>
      </c>
      <c r="AE11" s="14">
        <v>0.22086242852079299</v>
      </c>
      <c r="AF11" s="14">
        <v>0.157723696887271</v>
      </c>
      <c r="AG11" s="14">
        <v>9.5048963036254194E-2</v>
      </c>
      <c r="AH11" s="14"/>
      <c r="AI11" s="14">
        <v>0.202620182189928</v>
      </c>
      <c r="AJ11" s="14">
        <v>0.21269639160114701</v>
      </c>
      <c r="AK11" s="14">
        <v>0.21795859496165901</v>
      </c>
      <c r="AL11" s="14">
        <v>0.22464381797959701</v>
      </c>
      <c r="AM11" s="14">
        <v>0.220082161620756</v>
      </c>
      <c r="AN11" s="14">
        <v>0.285525936359046</v>
      </c>
      <c r="AO11" s="14"/>
      <c r="AP11" s="14">
        <v>0.20807538503350501</v>
      </c>
      <c r="AQ11" s="14">
        <v>0.25248937744953398</v>
      </c>
      <c r="AR11" s="14"/>
      <c r="AS11" s="14">
        <v>0.21444073607893299</v>
      </c>
      <c r="AT11" s="14">
        <v>0.22085981499857699</v>
      </c>
      <c r="AU11" s="14">
        <v>0.23474329545209599</v>
      </c>
      <c r="AV11" s="14"/>
      <c r="AW11" s="14">
        <v>0.24360302902971501</v>
      </c>
      <c r="AX11" s="14">
        <v>0.142628929987797</v>
      </c>
      <c r="AY11" s="14"/>
      <c r="AZ11" s="14">
        <v>0.223005417163885</v>
      </c>
      <c r="BA11" s="14">
        <v>0.25212406282377198</v>
      </c>
    </row>
    <row r="12" spans="2:53" x14ac:dyDescent="0.35">
      <c r="B12" s="15" t="s">
        <v>79</v>
      </c>
      <c r="C12" s="14">
        <v>4.3263819704541399E-2</v>
      </c>
      <c r="D12" s="14">
        <v>3.2482297769876697E-2</v>
      </c>
      <c r="E12" s="14">
        <v>5.4095907396328503E-2</v>
      </c>
      <c r="F12" s="14"/>
      <c r="G12" s="14">
        <v>0.11326843138774099</v>
      </c>
      <c r="H12" s="14">
        <v>4.57118776535144E-2</v>
      </c>
      <c r="I12" s="14">
        <v>3.5927736787161602E-2</v>
      </c>
      <c r="J12" s="14">
        <v>4.9814777275717502E-2</v>
      </c>
      <c r="K12" s="14">
        <v>5.5703877959692401E-2</v>
      </c>
      <c r="L12" s="14">
        <v>0</v>
      </c>
      <c r="M12" s="14"/>
      <c r="N12" s="14">
        <v>2.46201598682366E-2</v>
      </c>
      <c r="O12" s="14">
        <v>2.8816031767040399E-2</v>
      </c>
      <c r="P12" s="14">
        <v>7.60614993132573E-2</v>
      </c>
      <c r="Q12" s="14">
        <v>5.00554228877561E-2</v>
      </c>
      <c r="R12" s="14"/>
      <c r="S12" s="14">
        <v>2.5717002887761801E-2</v>
      </c>
      <c r="T12" s="14">
        <v>4.1706812669777299E-2</v>
      </c>
      <c r="U12" s="14">
        <v>4.3020414539596097E-2</v>
      </c>
      <c r="V12" s="14">
        <v>5.3647797839693902E-2</v>
      </c>
      <c r="W12" s="14">
        <v>5.0311751183987001E-2</v>
      </c>
      <c r="X12" s="14">
        <v>4.4582737385818701E-2</v>
      </c>
      <c r="Y12" s="14">
        <v>5.3563955454391E-2</v>
      </c>
      <c r="Z12" s="14">
        <v>6.6546790294059396E-2</v>
      </c>
      <c r="AA12" s="14">
        <v>3.5356582412331097E-2</v>
      </c>
      <c r="AB12" s="14"/>
      <c r="AC12" s="14">
        <v>2.96071259755658E-2</v>
      </c>
      <c r="AD12" s="14">
        <v>8.1991425478288402E-2</v>
      </c>
      <c r="AE12" s="14">
        <v>3.2298434746990401E-2</v>
      </c>
      <c r="AF12" s="14">
        <v>1.8868444353503998E-2</v>
      </c>
      <c r="AG12" s="14">
        <v>4.12371804303884E-3</v>
      </c>
      <c r="AH12" s="14"/>
      <c r="AI12" s="14">
        <v>3.6470360079572398E-2</v>
      </c>
      <c r="AJ12" s="14">
        <v>4.0831333918002102E-2</v>
      </c>
      <c r="AK12" s="14">
        <v>3.0415209375043599E-2</v>
      </c>
      <c r="AL12" s="14">
        <v>7.7823075925048599E-2</v>
      </c>
      <c r="AM12" s="14">
        <v>2.23146263522895E-2</v>
      </c>
      <c r="AN12" s="14">
        <v>1.6554177088746898E-2</v>
      </c>
      <c r="AO12" s="14"/>
      <c r="AP12" s="14">
        <v>3.2868230716002998E-2</v>
      </c>
      <c r="AQ12" s="14">
        <v>5.3739623442314102E-2</v>
      </c>
      <c r="AR12" s="14"/>
      <c r="AS12" s="14">
        <v>5.0900152389338003E-2</v>
      </c>
      <c r="AT12" s="14">
        <v>2.3595498086409601E-2</v>
      </c>
      <c r="AU12" s="14">
        <v>4.7024444822860598E-2</v>
      </c>
      <c r="AV12" s="14"/>
      <c r="AW12" s="14">
        <v>4.6951787803917899E-2</v>
      </c>
      <c r="AX12" s="14">
        <v>1.01897717264992E-2</v>
      </c>
      <c r="AY12" s="14"/>
      <c r="AZ12" s="14">
        <v>3.7933977262212197E-2</v>
      </c>
      <c r="BA12" s="14">
        <v>6.4046577025834397E-2</v>
      </c>
    </row>
    <row r="13" spans="2:53" x14ac:dyDescent="0.35">
      <c r="B13" s="15" t="s">
        <v>116</v>
      </c>
      <c r="C13" s="18">
        <v>3.2026696868059097E-2</v>
      </c>
      <c r="D13" s="18">
        <v>2.2588577542726501E-2</v>
      </c>
      <c r="E13" s="18">
        <v>4.1503413218589399E-2</v>
      </c>
      <c r="F13" s="18"/>
      <c r="G13" s="18">
        <v>0</v>
      </c>
      <c r="H13" s="18">
        <v>2.4894490794942301E-2</v>
      </c>
      <c r="I13" s="18">
        <v>2.9038739451031501E-2</v>
      </c>
      <c r="J13" s="18">
        <v>4.5153141055814403E-2</v>
      </c>
      <c r="K13" s="18">
        <v>1.7346005670115301E-2</v>
      </c>
      <c r="L13" s="18">
        <v>2.8302046968062999E-2</v>
      </c>
      <c r="M13" s="18"/>
      <c r="N13" s="18">
        <v>1.57334296746338E-2</v>
      </c>
      <c r="O13" s="18">
        <v>3.52406837219413E-2</v>
      </c>
      <c r="P13" s="18">
        <v>2.8462624904891699E-2</v>
      </c>
      <c r="Q13" s="18">
        <v>4.9786422115511E-2</v>
      </c>
      <c r="R13" s="18"/>
      <c r="S13" s="18">
        <v>1.7131300889258499E-2</v>
      </c>
      <c r="T13" s="18">
        <v>2.9968122297461298E-2</v>
      </c>
      <c r="U13" s="18">
        <v>3.33411744915766E-2</v>
      </c>
      <c r="V13" s="18">
        <v>4.6400652487415199E-2</v>
      </c>
      <c r="W13" s="18">
        <v>1.4298997272543299E-2</v>
      </c>
      <c r="X13" s="18">
        <v>5.2787849347498299E-2</v>
      </c>
      <c r="Y13" s="18">
        <v>1.8729959735549601E-2</v>
      </c>
      <c r="Z13" s="18">
        <v>3.5440595121403802E-2</v>
      </c>
      <c r="AA13" s="18">
        <v>4.4931988085416499E-2</v>
      </c>
      <c r="AB13" s="18"/>
      <c r="AC13" s="18">
        <v>4.5502075504084902E-2</v>
      </c>
      <c r="AD13" s="18">
        <v>4.48268629267587E-2</v>
      </c>
      <c r="AE13" s="18">
        <v>1.7799824295406198E-2</v>
      </c>
      <c r="AF13" s="18">
        <v>2.7834655122849598E-3</v>
      </c>
      <c r="AG13" s="18">
        <v>2.7353336779382901E-2</v>
      </c>
      <c r="AH13" s="18"/>
      <c r="AI13" s="18">
        <v>2.8373395440787801E-2</v>
      </c>
      <c r="AJ13" s="18">
        <v>1.34590849917218E-2</v>
      </c>
      <c r="AK13" s="18">
        <v>3.9546938098965798E-2</v>
      </c>
      <c r="AL13" s="18">
        <v>4.1654208892473697E-2</v>
      </c>
      <c r="AM13" s="18">
        <v>6.9400766771222002E-3</v>
      </c>
      <c r="AN13" s="18">
        <v>4.8884490084013403E-2</v>
      </c>
      <c r="AO13" s="18"/>
      <c r="AP13" s="18">
        <v>2.7247965940802199E-2</v>
      </c>
      <c r="AQ13" s="18">
        <v>3.7506653548368497E-2</v>
      </c>
      <c r="AR13" s="18"/>
      <c r="AS13" s="18">
        <v>3.4050082247285902E-2</v>
      </c>
      <c r="AT13" s="18">
        <v>2.8457821539597802E-2</v>
      </c>
      <c r="AU13" s="18">
        <v>3.2537432655302699E-2</v>
      </c>
      <c r="AV13" s="18"/>
      <c r="AW13" s="18">
        <v>3.6001514781619198E-2</v>
      </c>
      <c r="AX13" s="18">
        <v>2.0525868724195098E-3</v>
      </c>
      <c r="AY13" s="18"/>
      <c r="AZ13" s="18">
        <v>2.3056129099535298E-2</v>
      </c>
      <c r="BA13" s="18">
        <v>6.0732762603380099E-2</v>
      </c>
    </row>
    <row r="14" spans="2:53" x14ac:dyDescent="0.35">
      <c r="B14" s="26" t="s">
        <v>81</v>
      </c>
      <c r="C14" s="27">
        <v>0.69608148790764601</v>
      </c>
      <c r="D14" s="27">
        <v>0.74855719303329604</v>
      </c>
      <c r="E14" s="27">
        <v>0.64423868449174004</v>
      </c>
      <c r="F14" s="27"/>
      <c r="G14" s="27">
        <v>0.73166146642479601</v>
      </c>
      <c r="H14" s="27">
        <v>0.69681776184483801</v>
      </c>
      <c r="I14" s="27">
        <v>0.73539033202669901</v>
      </c>
      <c r="J14" s="27">
        <v>0.63206806415651795</v>
      </c>
      <c r="K14" s="27">
        <v>0.70386284711409097</v>
      </c>
      <c r="L14" s="27">
        <v>0.76772057077955502</v>
      </c>
      <c r="M14" s="27"/>
      <c r="N14" s="27">
        <v>0.747868010764282</v>
      </c>
      <c r="O14" s="27">
        <v>0.65491224387152902</v>
      </c>
      <c r="P14" s="27">
        <v>0.67345999471013696</v>
      </c>
      <c r="Q14" s="27">
        <v>0.70119123168523001</v>
      </c>
      <c r="R14" s="27"/>
      <c r="S14" s="27">
        <v>0.81154014609223102</v>
      </c>
      <c r="T14" s="27">
        <v>0.71365150180863002</v>
      </c>
      <c r="U14" s="27">
        <v>0.67438750772094802</v>
      </c>
      <c r="V14" s="27">
        <v>0.62585488393549404</v>
      </c>
      <c r="W14" s="27">
        <v>0.64289183511491499</v>
      </c>
      <c r="X14" s="27">
        <v>0.68327698499703104</v>
      </c>
      <c r="Y14" s="27">
        <v>0.63728963537369698</v>
      </c>
      <c r="Z14" s="27">
        <v>0.70405546894176296</v>
      </c>
      <c r="AA14" s="27">
        <v>0.69771599644250504</v>
      </c>
      <c r="AB14" s="27"/>
      <c r="AC14" s="27">
        <v>0.64068636727511796</v>
      </c>
      <c r="AD14" s="27">
        <v>0.62993780483915096</v>
      </c>
      <c r="AE14" s="27">
        <v>0.72903931243680997</v>
      </c>
      <c r="AF14" s="27">
        <v>0.82062439324694003</v>
      </c>
      <c r="AG14" s="27">
        <v>0.87347398214132399</v>
      </c>
      <c r="AH14" s="27"/>
      <c r="AI14" s="27">
        <v>0.73253606228971102</v>
      </c>
      <c r="AJ14" s="27">
        <v>0.73301318948912997</v>
      </c>
      <c r="AK14" s="27">
        <v>0.71207925756433099</v>
      </c>
      <c r="AL14" s="27">
        <v>0.65587889720287995</v>
      </c>
      <c r="AM14" s="27">
        <v>0.75066313534983198</v>
      </c>
      <c r="AN14" s="27">
        <v>0.64903539646819397</v>
      </c>
      <c r="AO14" s="27"/>
      <c r="AP14" s="27">
        <v>0.73180841830969001</v>
      </c>
      <c r="AQ14" s="27">
        <v>0.65626434555978297</v>
      </c>
      <c r="AR14" s="27"/>
      <c r="AS14" s="27">
        <v>0.70060902928444402</v>
      </c>
      <c r="AT14" s="27">
        <v>0.727086865375415</v>
      </c>
      <c r="AU14" s="27">
        <v>0.68569482706974005</v>
      </c>
      <c r="AV14" s="27"/>
      <c r="AW14" s="27">
        <v>0.67344366838474801</v>
      </c>
      <c r="AX14" s="27">
        <v>0.84512871141328405</v>
      </c>
      <c r="AY14" s="27"/>
      <c r="AZ14" s="27">
        <v>0.71600447647436805</v>
      </c>
      <c r="BA14" s="27">
        <v>0.62309659754701296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BA19"/>
  <sheetViews>
    <sheetView showGridLines="0" workbookViewId="0">
      <pane xSplit="2" topLeftCell="C1" activePane="topRight" state="frozen"/>
      <selection activeCell="B14" sqref="B14:BA14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206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0.63007000642575395</v>
      </c>
      <c r="D9" s="14">
        <v>0.63429787905432999</v>
      </c>
      <c r="E9" s="14">
        <v>0.62644961518256204</v>
      </c>
      <c r="F9" s="14"/>
      <c r="G9" s="14">
        <v>0.64018894574613605</v>
      </c>
      <c r="H9" s="14">
        <v>0.63448674941087302</v>
      </c>
      <c r="I9" s="14">
        <v>0.60184000009979999</v>
      </c>
      <c r="J9" s="14">
        <v>0.65293856843599096</v>
      </c>
      <c r="K9" s="14">
        <v>0.66240670674888702</v>
      </c>
      <c r="L9" s="14">
        <v>0.74542926328609305</v>
      </c>
      <c r="M9" s="14"/>
      <c r="N9" s="14">
        <v>0.64917114090097205</v>
      </c>
      <c r="O9" s="14">
        <v>0.66050803374799505</v>
      </c>
      <c r="P9" s="14">
        <v>0.61007936432221799</v>
      </c>
      <c r="Q9" s="14">
        <v>0.59466782561014098</v>
      </c>
      <c r="R9" s="14"/>
      <c r="S9" s="14">
        <v>0.70397599625108598</v>
      </c>
      <c r="T9" s="14">
        <v>0.65155959643353001</v>
      </c>
      <c r="U9" s="14">
        <v>0.58134556414550398</v>
      </c>
      <c r="V9" s="14">
        <v>0.58928882853116804</v>
      </c>
      <c r="W9" s="14">
        <v>0.61630487677388601</v>
      </c>
      <c r="X9" s="14">
        <v>0.58630016895167802</v>
      </c>
      <c r="Y9" s="14">
        <v>0.619380521498342</v>
      </c>
      <c r="Z9" s="14">
        <v>0.56878779744877905</v>
      </c>
      <c r="AA9" s="14">
        <v>0.65998920343523104</v>
      </c>
      <c r="AB9" s="14"/>
      <c r="AC9" s="14">
        <v>0.58795339331395802</v>
      </c>
      <c r="AD9" s="14">
        <v>0.57228359196765699</v>
      </c>
      <c r="AE9" s="14">
        <v>0.65653212290900798</v>
      </c>
      <c r="AF9" s="14">
        <v>0.69868702389832305</v>
      </c>
      <c r="AG9" s="14">
        <v>0.76707822846156304</v>
      </c>
      <c r="AH9" s="14"/>
      <c r="AI9" s="14">
        <v>0.65443640918721202</v>
      </c>
      <c r="AJ9" s="14">
        <v>0.649195225586499</v>
      </c>
      <c r="AK9" s="14">
        <v>0.56057697623699398</v>
      </c>
      <c r="AL9" s="14">
        <v>0.60651974962938204</v>
      </c>
      <c r="AM9" s="14">
        <v>0.61083407799279898</v>
      </c>
      <c r="AN9" s="14">
        <v>0.65976039203644399</v>
      </c>
      <c r="AO9" s="14"/>
      <c r="AP9" s="14">
        <v>0.626486972698856</v>
      </c>
      <c r="AQ9" s="14">
        <v>0.63357603226965098</v>
      </c>
      <c r="AR9" s="14"/>
      <c r="AS9" s="14">
        <v>0.63505878097948598</v>
      </c>
      <c r="AT9" s="14">
        <v>0.64029559629607902</v>
      </c>
      <c r="AU9" s="14">
        <v>0.62570369531383896</v>
      </c>
      <c r="AV9" s="14"/>
      <c r="AW9" s="14">
        <v>0.62823340492387203</v>
      </c>
      <c r="AX9" s="14">
        <v>0.731643719597315</v>
      </c>
      <c r="AY9" s="14"/>
      <c r="AZ9" s="14">
        <v>0.63564347043293701</v>
      </c>
      <c r="BA9" s="14">
        <v>0.61491976246720503</v>
      </c>
    </row>
    <row r="10" spans="2:53" x14ac:dyDescent="0.35">
      <c r="B10" s="15" t="s">
        <v>77</v>
      </c>
      <c r="C10" s="14">
        <v>0.327650641432784</v>
      </c>
      <c r="D10" s="14">
        <v>0.32055267846452701</v>
      </c>
      <c r="E10" s="14">
        <v>0.33507194193254802</v>
      </c>
      <c r="F10" s="14"/>
      <c r="G10" s="14">
        <v>0.17853146067185099</v>
      </c>
      <c r="H10" s="14">
        <v>0.32506220270979702</v>
      </c>
      <c r="I10" s="14">
        <v>0.345551073970157</v>
      </c>
      <c r="J10" s="14">
        <v>0.312588651381217</v>
      </c>
      <c r="K10" s="14">
        <v>0.31904602009955801</v>
      </c>
      <c r="L10" s="14">
        <v>0.24172901139431799</v>
      </c>
      <c r="M10" s="14"/>
      <c r="N10" s="14">
        <v>0.31888329043944003</v>
      </c>
      <c r="O10" s="14">
        <v>0.310326907833951</v>
      </c>
      <c r="P10" s="14">
        <v>0.33640750011417497</v>
      </c>
      <c r="Q10" s="14">
        <v>0.34766155404773702</v>
      </c>
      <c r="R10" s="14"/>
      <c r="S10" s="14">
        <v>0.26186530001907099</v>
      </c>
      <c r="T10" s="14">
        <v>0.29545040355393598</v>
      </c>
      <c r="U10" s="14">
        <v>0.35743600746536602</v>
      </c>
      <c r="V10" s="14">
        <v>0.36877189282519302</v>
      </c>
      <c r="W10" s="14">
        <v>0.35010579664793401</v>
      </c>
      <c r="X10" s="14">
        <v>0.37501804894672902</v>
      </c>
      <c r="Y10" s="14">
        <v>0.34502031716912301</v>
      </c>
      <c r="Z10" s="14">
        <v>0.38793557512696097</v>
      </c>
      <c r="AA10" s="14">
        <v>0.30167796952897702</v>
      </c>
      <c r="AB10" s="14"/>
      <c r="AC10" s="14">
        <v>0.372274385895004</v>
      </c>
      <c r="AD10" s="14">
        <v>0.38980832690917999</v>
      </c>
      <c r="AE10" s="14">
        <v>0.30346803450082199</v>
      </c>
      <c r="AF10" s="14">
        <v>0.26320325220014101</v>
      </c>
      <c r="AG10" s="14">
        <v>0.20098659964283999</v>
      </c>
      <c r="AH10" s="14"/>
      <c r="AI10" s="14">
        <v>0.31175726656348002</v>
      </c>
      <c r="AJ10" s="14">
        <v>0.31764287181140499</v>
      </c>
      <c r="AK10" s="14">
        <v>0.356237760546606</v>
      </c>
      <c r="AL10" s="14">
        <v>0.33998779535616103</v>
      </c>
      <c r="AM10" s="14">
        <v>0.35848407847514002</v>
      </c>
      <c r="AN10" s="14">
        <v>0.28672017897466401</v>
      </c>
      <c r="AO10" s="14"/>
      <c r="AP10" s="14">
        <v>0.32196687811694602</v>
      </c>
      <c r="AQ10" s="14">
        <v>0.33510161235020097</v>
      </c>
      <c r="AR10" s="14"/>
      <c r="AS10" s="14">
        <v>0.33619720358050298</v>
      </c>
      <c r="AT10" s="14">
        <v>0.29734230212337198</v>
      </c>
      <c r="AU10" s="14">
        <v>0.33431249433138799</v>
      </c>
      <c r="AV10" s="14"/>
      <c r="AW10" s="14">
        <v>0.33853906042915399</v>
      </c>
      <c r="AX10" s="14">
        <v>0.22118285331811199</v>
      </c>
      <c r="AY10" s="14"/>
      <c r="AZ10" s="14">
        <v>0.32203679612237202</v>
      </c>
      <c r="BA10" s="14">
        <v>0.34975347964537401</v>
      </c>
    </row>
    <row r="11" spans="2:53" x14ac:dyDescent="0.35">
      <c r="B11" s="15" t="s">
        <v>201</v>
      </c>
      <c r="C11" s="14">
        <v>3.0063481528576401E-2</v>
      </c>
      <c r="D11" s="14">
        <v>3.4735972552561903E-2</v>
      </c>
      <c r="E11" s="14">
        <v>2.5416401380427799E-2</v>
      </c>
      <c r="F11" s="14"/>
      <c r="G11" s="14">
        <v>0</v>
      </c>
      <c r="H11" s="14">
        <v>3.1511649080941902E-2</v>
      </c>
      <c r="I11" s="14">
        <v>3.6039712375616199E-2</v>
      </c>
      <c r="J11" s="14">
        <v>2.8050928134972699E-2</v>
      </c>
      <c r="K11" s="14">
        <v>1.0554267774523E-2</v>
      </c>
      <c r="L11" s="14">
        <v>1.28417253195894E-2</v>
      </c>
      <c r="M11" s="14"/>
      <c r="N11" s="14">
        <v>2.5227218854367201E-2</v>
      </c>
      <c r="O11" s="14">
        <v>2.1501926037077599E-2</v>
      </c>
      <c r="P11" s="14">
        <v>4.0652883271091102E-2</v>
      </c>
      <c r="Q11" s="14">
        <v>3.5214503274700902E-2</v>
      </c>
      <c r="R11" s="14"/>
      <c r="S11" s="14">
        <v>2.9528766668815001E-2</v>
      </c>
      <c r="T11" s="14">
        <v>3.7785353252860802E-2</v>
      </c>
      <c r="U11" s="14">
        <v>3.9456112025773697E-2</v>
      </c>
      <c r="V11" s="14">
        <v>2.4294590661935799E-2</v>
      </c>
      <c r="W11" s="14">
        <v>2.8822994097672399E-2</v>
      </c>
      <c r="X11" s="14">
        <v>2.0099319386802299E-2</v>
      </c>
      <c r="Y11" s="14">
        <v>2.67427953121348E-2</v>
      </c>
      <c r="Z11" s="14">
        <v>4.3276627424259702E-2</v>
      </c>
      <c r="AA11" s="14">
        <v>2.48886854614329E-2</v>
      </c>
      <c r="AB11" s="14"/>
      <c r="AC11" s="14">
        <v>2.57916370707897E-2</v>
      </c>
      <c r="AD11" s="14">
        <v>3.20356818611797E-2</v>
      </c>
      <c r="AE11" s="14">
        <v>2.78033705206343E-2</v>
      </c>
      <c r="AF11" s="14">
        <v>2.6713712826840399E-2</v>
      </c>
      <c r="AG11" s="14">
        <v>3.1935171895597497E-2</v>
      </c>
      <c r="AH11" s="14"/>
      <c r="AI11" s="14">
        <v>2.0069124678390601E-2</v>
      </c>
      <c r="AJ11" s="14">
        <v>2.4004316104010302E-2</v>
      </c>
      <c r="AK11" s="14">
        <v>6.8855370236093297E-2</v>
      </c>
      <c r="AL11" s="14">
        <v>3.9819095947275403E-2</v>
      </c>
      <c r="AM11" s="14">
        <v>3.06818435320616E-2</v>
      </c>
      <c r="AN11" s="14">
        <v>3.4337389746046998E-2</v>
      </c>
      <c r="AO11" s="14"/>
      <c r="AP11" s="14">
        <v>3.66838610334956E-2</v>
      </c>
      <c r="AQ11" s="14">
        <v>2.20447066432309E-2</v>
      </c>
      <c r="AR11" s="14"/>
      <c r="AS11" s="14">
        <v>2.6675370198553799E-2</v>
      </c>
      <c r="AT11" s="14">
        <v>4.5026142772684401E-2</v>
      </c>
      <c r="AU11" s="14">
        <v>2.6550953158910699E-2</v>
      </c>
      <c r="AV11" s="14"/>
      <c r="AW11" s="14">
        <v>2.4675030202836901E-2</v>
      </c>
      <c r="AX11" s="14">
        <v>3.1312456842901501E-2</v>
      </c>
      <c r="AY11" s="14"/>
      <c r="AZ11" s="14">
        <v>3.31113558364486E-2</v>
      </c>
      <c r="BA11" s="14">
        <v>1.7055574103417102E-2</v>
      </c>
    </row>
    <row r="12" spans="2:53" x14ac:dyDescent="0.35">
      <c r="B12" s="15" t="s">
        <v>79</v>
      </c>
      <c r="C12" s="14">
        <v>5.8086092148003903E-3</v>
      </c>
      <c r="D12" s="14">
        <v>5.7725563066898296E-3</v>
      </c>
      <c r="E12" s="14">
        <v>4.8808080335545102E-3</v>
      </c>
      <c r="F12" s="14"/>
      <c r="G12" s="14">
        <v>0.18127959358201301</v>
      </c>
      <c r="H12" s="14">
        <v>5.7030807455251097E-3</v>
      </c>
      <c r="I12" s="14">
        <v>5.9447507967535897E-3</v>
      </c>
      <c r="J12" s="14">
        <v>2.1601688115710001E-3</v>
      </c>
      <c r="K12" s="14">
        <v>7.99300537703161E-3</v>
      </c>
      <c r="L12" s="14">
        <v>0</v>
      </c>
      <c r="M12" s="14"/>
      <c r="N12" s="14">
        <v>1.5706028343485401E-3</v>
      </c>
      <c r="O12" s="14">
        <v>3.03034879848873E-3</v>
      </c>
      <c r="P12" s="14">
        <v>9.8953538612947308E-3</v>
      </c>
      <c r="Q12" s="14">
        <v>9.7430893054922408E-3</v>
      </c>
      <c r="R12" s="14"/>
      <c r="S12" s="14">
        <v>9.8178932582646005E-4</v>
      </c>
      <c r="T12" s="14">
        <v>1.52046467596727E-2</v>
      </c>
      <c r="U12" s="14">
        <v>7.3488735309464098E-3</v>
      </c>
      <c r="V12" s="14">
        <v>5.9160240069183103E-3</v>
      </c>
      <c r="W12" s="14">
        <v>4.7663324805076301E-3</v>
      </c>
      <c r="X12" s="14">
        <v>7.8166560070366906E-3</v>
      </c>
      <c r="Y12" s="14">
        <v>6.20268980099359E-3</v>
      </c>
      <c r="Z12" s="14">
        <v>0</v>
      </c>
      <c r="AA12" s="14">
        <v>0</v>
      </c>
      <c r="AB12" s="14"/>
      <c r="AC12" s="14">
        <v>8.7902428209337292E-3</v>
      </c>
      <c r="AD12" s="14">
        <v>0</v>
      </c>
      <c r="AE12" s="14">
        <v>6.8460880340961002E-3</v>
      </c>
      <c r="AF12" s="14">
        <v>1.13960110746956E-2</v>
      </c>
      <c r="AG12" s="14">
        <v>0</v>
      </c>
      <c r="AH12" s="14"/>
      <c r="AI12" s="14">
        <v>9.9416140130489106E-3</v>
      </c>
      <c r="AJ12" s="14">
        <v>9.1575864980859498E-3</v>
      </c>
      <c r="AK12" s="14">
        <v>0</v>
      </c>
      <c r="AL12" s="14">
        <v>1.7277584803571E-3</v>
      </c>
      <c r="AM12" s="14">
        <v>0</v>
      </c>
      <c r="AN12" s="14">
        <v>0</v>
      </c>
      <c r="AO12" s="14"/>
      <c r="AP12" s="14">
        <v>6.9161511886835104E-3</v>
      </c>
      <c r="AQ12" s="14">
        <v>4.5811889985617497E-3</v>
      </c>
      <c r="AR12" s="14"/>
      <c r="AS12" s="14">
        <v>2.0686452414563298E-3</v>
      </c>
      <c r="AT12" s="14">
        <v>1.0702798899353201E-2</v>
      </c>
      <c r="AU12" s="14">
        <v>5.36797547006416E-3</v>
      </c>
      <c r="AV12" s="14"/>
      <c r="AW12" s="14">
        <v>4.8920936708251803E-3</v>
      </c>
      <c r="AX12" s="14">
        <v>8.4655059823586995E-3</v>
      </c>
      <c r="AY12" s="14"/>
      <c r="AZ12" s="14">
        <v>5.9138790627793298E-3</v>
      </c>
      <c r="BA12" s="14">
        <v>5.53822264470417E-3</v>
      </c>
    </row>
    <row r="13" spans="2:53" x14ac:dyDescent="0.35">
      <c r="B13" s="15" t="s">
        <v>116</v>
      </c>
      <c r="C13" s="18">
        <v>6.4072613980857103E-3</v>
      </c>
      <c r="D13" s="18">
        <v>4.6409136218915001E-3</v>
      </c>
      <c r="E13" s="18">
        <v>8.1812334709076302E-3</v>
      </c>
      <c r="F13" s="18"/>
      <c r="G13" s="18">
        <v>0</v>
      </c>
      <c r="H13" s="18">
        <v>3.2363180528630999E-3</v>
      </c>
      <c r="I13" s="18">
        <v>1.06244627576735E-2</v>
      </c>
      <c r="J13" s="18">
        <v>4.2616832362478404E-3</v>
      </c>
      <c r="K13" s="18">
        <v>0</v>
      </c>
      <c r="L13" s="18">
        <v>0</v>
      </c>
      <c r="M13" s="18"/>
      <c r="N13" s="18">
        <v>5.1477469708718897E-3</v>
      </c>
      <c r="O13" s="18">
        <v>4.6327835824870201E-3</v>
      </c>
      <c r="P13" s="18">
        <v>2.9648984312212199E-3</v>
      </c>
      <c r="Q13" s="18">
        <v>1.27130277619286E-2</v>
      </c>
      <c r="R13" s="18"/>
      <c r="S13" s="18">
        <v>3.6481477352014501E-3</v>
      </c>
      <c r="T13" s="18">
        <v>0</v>
      </c>
      <c r="U13" s="18">
        <v>1.44134428324105E-2</v>
      </c>
      <c r="V13" s="18">
        <v>1.1728663974784901E-2</v>
      </c>
      <c r="W13" s="18">
        <v>0</v>
      </c>
      <c r="X13" s="18">
        <v>1.0765806707754601E-2</v>
      </c>
      <c r="Y13" s="18">
        <v>2.6536762194060001E-3</v>
      </c>
      <c r="Z13" s="18">
        <v>0</v>
      </c>
      <c r="AA13" s="18">
        <v>1.34441415743588E-2</v>
      </c>
      <c r="AB13" s="18"/>
      <c r="AC13" s="18">
        <v>5.1903408993150902E-3</v>
      </c>
      <c r="AD13" s="18">
        <v>5.8723992619830303E-3</v>
      </c>
      <c r="AE13" s="18">
        <v>5.3503840354397602E-3</v>
      </c>
      <c r="AF13" s="18">
        <v>0</v>
      </c>
      <c r="AG13" s="18">
        <v>0</v>
      </c>
      <c r="AH13" s="18"/>
      <c r="AI13" s="18">
        <v>3.7955855578680601E-3</v>
      </c>
      <c r="AJ13" s="18">
        <v>0</v>
      </c>
      <c r="AK13" s="18">
        <v>1.4329892980306401E-2</v>
      </c>
      <c r="AL13" s="18">
        <v>1.1945600586824E-2</v>
      </c>
      <c r="AM13" s="18">
        <v>0</v>
      </c>
      <c r="AN13" s="18">
        <v>1.9182039242844302E-2</v>
      </c>
      <c r="AO13" s="18"/>
      <c r="AP13" s="18">
        <v>7.9461369620180706E-3</v>
      </c>
      <c r="AQ13" s="18">
        <v>4.69645973835448E-3</v>
      </c>
      <c r="AR13" s="18"/>
      <c r="AS13" s="18">
        <v>0</v>
      </c>
      <c r="AT13" s="18">
        <v>6.6331599085116596E-3</v>
      </c>
      <c r="AU13" s="18">
        <v>8.0648817257983792E-3</v>
      </c>
      <c r="AV13" s="18"/>
      <c r="AW13" s="18">
        <v>3.6604107733122998E-3</v>
      </c>
      <c r="AX13" s="18">
        <v>7.3954642593126998E-3</v>
      </c>
      <c r="AY13" s="18"/>
      <c r="AZ13" s="18">
        <v>3.2944985454639399E-3</v>
      </c>
      <c r="BA13" s="18">
        <v>1.27329611393E-2</v>
      </c>
    </row>
    <row r="14" spans="2:53" x14ac:dyDescent="0.35">
      <c r="B14" s="26" t="s">
        <v>81</v>
      </c>
      <c r="C14" s="27">
        <v>0.95772064785853706</v>
      </c>
      <c r="D14" s="27">
        <v>0.95485055751885695</v>
      </c>
      <c r="E14" s="27">
        <v>0.96152155711511</v>
      </c>
      <c r="F14" s="27"/>
      <c r="G14" s="27">
        <v>0.81872040641798705</v>
      </c>
      <c r="H14" s="27">
        <v>0.95954895212067004</v>
      </c>
      <c r="I14" s="27">
        <v>0.94739107406995704</v>
      </c>
      <c r="J14" s="27">
        <v>0.96552721981720802</v>
      </c>
      <c r="K14" s="27">
        <v>0.98145272684844498</v>
      </c>
      <c r="L14" s="27">
        <v>0.98715827468041095</v>
      </c>
      <c r="M14" s="27"/>
      <c r="N14" s="27">
        <v>0.96805443134041202</v>
      </c>
      <c r="O14" s="27">
        <v>0.97083494158194705</v>
      </c>
      <c r="P14" s="27">
        <v>0.94648686443639296</v>
      </c>
      <c r="Q14" s="27">
        <v>0.942329379657878</v>
      </c>
      <c r="R14" s="27"/>
      <c r="S14" s="27">
        <v>0.96584129627015702</v>
      </c>
      <c r="T14" s="27">
        <v>0.94700999998746604</v>
      </c>
      <c r="U14" s="27">
        <v>0.93878157161086895</v>
      </c>
      <c r="V14" s="27">
        <v>0.958060721356361</v>
      </c>
      <c r="W14" s="27">
        <v>0.96641067342181997</v>
      </c>
      <c r="X14" s="27">
        <v>0.96131821789840599</v>
      </c>
      <c r="Y14" s="27">
        <v>0.96440083866746595</v>
      </c>
      <c r="Z14" s="27">
        <v>0.95672337257574003</v>
      </c>
      <c r="AA14" s="27">
        <v>0.96166717296420801</v>
      </c>
      <c r="AB14" s="27"/>
      <c r="AC14" s="27">
        <v>0.96022777920896196</v>
      </c>
      <c r="AD14" s="27">
        <v>0.96209191887683698</v>
      </c>
      <c r="AE14" s="27">
        <v>0.96000015740983002</v>
      </c>
      <c r="AF14" s="27">
        <v>0.961890276098464</v>
      </c>
      <c r="AG14" s="27">
        <v>0.96806482810440198</v>
      </c>
      <c r="AH14" s="27"/>
      <c r="AI14" s="27">
        <v>0.96619367575069204</v>
      </c>
      <c r="AJ14" s="27">
        <v>0.96683809739790405</v>
      </c>
      <c r="AK14" s="27">
        <v>0.91681473678360004</v>
      </c>
      <c r="AL14" s="27">
        <v>0.94650754498554401</v>
      </c>
      <c r="AM14" s="27">
        <v>0.96931815646793895</v>
      </c>
      <c r="AN14" s="27">
        <v>0.94648057101110905</v>
      </c>
      <c r="AO14" s="27"/>
      <c r="AP14" s="27">
        <v>0.94845385081580302</v>
      </c>
      <c r="AQ14" s="27">
        <v>0.96867764461985295</v>
      </c>
      <c r="AR14" s="27"/>
      <c r="AS14" s="27">
        <v>0.97125598455998996</v>
      </c>
      <c r="AT14" s="27">
        <v>0.937637898419451</v>
      </c>
      <c r="AU14" s="27">
        <v>0.96001618964522695</v>
      </c>
      <c r="AV14" s="27"/>
      <c r="AW14" s="27">
        <v>0.96677246535302597</v>
      </c>
      <c r="AX14" s="27">
        <v>0.95282657291542705</v>
      </c>
      <c r="AY14" s="27"/>
      <c r="AZ14" s="27">
        <v>0.95768026655530802</v>
      </c>
      <c r="BA14" s="27">
        <v>0.96467324211257899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BA19"/>
  <sheetViews>
    <sheetView showGridLines="0" workbookViewId="0">
      <pane xSplit="2" topLeftCell="C1" activePane="topRight" state="frozen"/>
      <selection activeCell="B14" sqref="B14:BA14"/>
      <selection pane="topRight" activeCell="B6" sqref="B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207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76</v>
      </c>
      <c r="C9" s="14">
        <v>0.58530668780682205</v>
      </c>
      <c r="D9" s="14">
        <v>0.64034062945706205</v>
      </c>
      <c r="E9" s="14">
        <v>0.530796204542201</v>
      </c>
      <c r="F9" s="14"/>
      <c r="G9" s="14">
        <v>0.60800877275675103</v>
      </c>
      <c r="H9" s="14">
        <v>0.53848743098441199</v>
      </c>
      <c r="I9" s="14">
        <v>0.57057925630476702</v>
      </c>
      <c r="J9" s="14">
        <v>0.60303351587460197</v>
      </c>
      <c r="K9" s="14">
        <v>0.67021671989209697</v>
      </c>
      <c r="L9" s="14">
        <v>0.59476037844554397</v>
      </c>
      <c r="M9" s="14"/>
      <c r="N9" s="14">
        <v>0.64145421039225603</v>
      </c>
      <c r="O9" s="14">
        <v>0.58895853538961396</v>
      </c>
      <c r="P9" s="14">
        <v>0.53229726795424703</v>
      </c>
      <c r="Q9" s="14">
        <v>0.56625740162053895</v>
      </c>
      <c r="R9" s="14"/>
      <c r="S9" s="14">
        <v>0.67015655643513405</v>
      </c>
      <c r="T9" s="14">
        <v>0.61294785158711496</v>
      </c>
      <c r="U9" s="14">
        <v>0.57178375146930005</v>
      </c>
      <c r="V9" s="14">
        <v>0.52996571314922303</v>
      </c>
      <c r="W9" s="14">
        <v>0.58889050538710797</v>
      </c>
      <c r="X9" s="14">
        <v>0.51200709075823103</v>
      </c>
      <c r="Y9" s="14">
        <v>0.54501459327472701</v>
      </c>
      <c r="Z9" s="14">
        <v>0.57334109429690905</v>
      </c>
      <c r="AA9" s="14">
        <v>0.59400075451966405</v>
      </c>
      <c r="AB9" s="14"/>
      <c r="AC9" s="14">
        <v>0.58979863586471803</v>
      </c>
      <c r="AD9" s="14">
        <v>0.498878185856728</v>
      </c>
      <c r="AE9" s="14">
        <v>0.58540210606537602</v>
      </c>
      <c r="AF9" s="14">
        <v>0.68355452014712603</v>
      </c>
      <c r="AG9" s="14">
        <v>0.73128371860154895</v>
      </c>
      <c r="AH9" s="14"/>
      <c r="AI9" s="14">
        <v>0.60404187092290296</v>
      </c>
      <c r="AJ9" s="14">
        <v>0.62308675160466398</v>
      </c>
      <c r="AK9" s="14">
        <v>0.56069847770520498</v>
      </c>
      <c r="AL9" s="14">
        <v>0.61585668776046398</v>
      </c>
      <c r="AM9" s="14">
        <v>0.54251517406238003</v>
      </c>
      <c r="AN9" s="14">
        <v>0.52361924937563098</v>
      </c>
      <c r="AO9" s="14"/>
      <c r="AP9" s="14">
        <v>0.62177513491728598</v>
      </c>
      <c r="AQ9" s="14">
        <v>0.54549406973834402</v>
      </c>
      <c r="AR9" s="14"/>
      <c r="AS9" s="14">
        <v>0.60337466017131003</v>
      </c>
      <c r="AT9" s="14">
        <v>0.55943240132642502</v>
      </c>
      <c r="AU9" s="14">
        <v>0.58809486906458697</v>
      </c>
      <c r="AV9" s="14"/>
      <c r="AW9" s="14">
        <v>0.57320454520545705</v>
      </c>
      <c r="AX9" s="14">
        <v>0.71879357302222002</v>
      </c>
      <c r="AY9" s="14"/>
      <c r="AZ9" s="14">
        <v>0.62370349877196996</v>
      </c>
      <c r="BA9" s="14">
        <v>0.44682848193202301</v>
      </c>
    </row>
    <row r="10" spans="2:53" x14ac:dyDescent="0.35">
      <c r="B10" s="15" t="s">
        <v>77</v>
      </c>
      <c r="C10" s="14">
        <v>0.369315063067014</v>
      </c>
      <c r="D10" s="14">
        <v>0.32499749302758102</v>
      </c>
      <c r="E10" s="14">
        <v>0.41402612553541701</v>
      </c>
      <c r="F10" s="14"/>
      <c r="G10" s="14">
        <v>0.39199122724324897</v>
      </c>
      <c r="H10" s="14">
        <v>0.384848801083989</v>
      </c>
      <c r="I10" s="14">
        <v>0.38691073106447499</v>
      </c>
      <c r="J10" s="14">
        <v>0.35842639983235802</v>
      </c>
      <c r="K10" s="14">
        <v>0.30308256454872301</v>
      </c>
      <c r="L10" s="14">
        <v>0.32019182653299899</v>
      </c>
      <c r="M10" s="14"/>
      <c r="N10" s="14">
        <v>0.32540726319583002</v>
      </c>
      <c r="O10" s="14">
        <v>0.37498102769100999</v>
      </c>
      <c r="P10" s="14">
        <v>0.42088979864701598</v>
      </c>
      <c r="Q10" s="14">
        <v>0.36620381907883798</v>
      </c>
      <c r="R10" s="14"/>
      <c r="S10" s="14">
        <v>0.287795384150901</v>
      </c>
      <c r="T10" s="14">
        <v>0.35268750492231299</v>
      </c>
      <c r="U10" s="14">
        <v>0.38420875115626801</v>
      </c>
      <c r="V10" s="14">
        <v>0.41678631489558299</v>
      </c>
      <c r="W10" s="14">
        <v>0.35445896293779899</v>
      </c>
      <c r="X10" s="14">
        <v>0.44936214316163697</v>
      </c>
      <c r="Y10" s="14">
        <v>0.40697564891247501</v>
      </c>
      <c r="Z10" s="14">
        <v>0.382457439504098</v>
      </c>
      <c r="AA10" s="14">
        <v>0.35275843607151502</v>
      </c>
      <c r="AB10" s="14"/>
      <c r="AC10" s="14">
        <v>0.38802501118257199</v>
      </c>
      <c r="AD10" s="14">
        <v>0.452413042385644</v>
      </c>
      <c r="AE10" s="14">
        <v>0.375394686356264</v>
      </c>
      <c r="AF10" s="14">
        <v>0.26148927161972702</v>
      </c>
      <c r="AG10" s="14">
        <v>0.21258033697377801</v>
      </c>
      <c r="AH10" s="14"/>
      <c r="AI10" s="14">
        <v>0.34117293390212799</v>
      </c>
      <c r="AJ10" s="14">
        <v>0.34354427266242499</v>
      </c>
      <c r="AK10" s="14">
        <v>0.40737744206626902</v>
      </c>
      <c r="AL10" s="14">
        <v>0.36400331691073001</v>
      </c>
      <c r="AM10" s="14">
        <v>0.411387043673001</v>
      </c>
      <c r="AN10" s="14">
        <v>0.38385753525474597</v>
      </c>
      <c r="AO10" s="14"/>
      <c r="AP10" s="14">
        <v>0.33448170568974001</v>
      </c>
      <c r="AQ10" s="14">
        <v>0.40833756807928301</v>
      </c>
      <c r="AR10" s="14"/>
      <c r="AS10" s="14">
        <v>0.366473909799373</v>
      </c>
      <c r="AT10" s="14">
        <v>0.38875791408085603</v>
      </c>
      <c r="AU10" s="14">
        <v>0.36433055855844398</v>
      </c>
      <c r="AV10" s="14"/>
      <c r="AW10" s="14">
        <v>0.38405066797057902</v>
      </c>
      <c r="AX10" s="14">
        <v>0.24902296971410601</v>
      </c>
      <c r="AY10" s="14"/>
      <c r="AZ10" s="14">
        <v>0.33859526541144003</v>
      </c>
      <c r="BA10" s="14">
        <v>0.48590523839705901</v>
      </c>
    </row>
    <row r="11" spans="2:53" x14ac:dyDescent="0.35">
      <c r="B11" s="15" t="s">
        <v>201</v>
      </c>
      <c r="C11" s="14">
        <v>3.3978369926528099E-2</v>
      </c>
      <c r="D11" s="14">
        <v>2.5918850918989898E-2</v>
      </c>
      <c r="E11" s="14">
        <v>4.11077613639073E-2</v>
      </c>
      <c r="F11" s="14"/>
      <c r="G11" s="14">
        <v>0</v>
      </c>
      <c r="H11" s="14">
        <v>5.6045706723991597E-2</v>
      </c>
      <c r="I11" s="14">
        <v>3.1942635571034203E-2</v>
      </c>
      <c r="J11" s="14">
        <v>3.0963186821755199E-2</v>
      </c>
      <c r="K11" s="14">
        <v>1.12719997987481E-2</v>
      </c>
      <c r="L11" s="14">
        <v>8.5047795021456707E-2</v>
      </c>
      <c r="M11" s="14"/>
      <c r="N11" s="14">
        <v>2.9799576653926099E-2</v>
      </c>
      <c r="O11" s="14">
        <v>2.92617007871597E-2</v>
      </c>
      <c r="P11" s="14">
        <v>3.1808282303662901E-2</v>
      </c>
      <c r="Q11" s="14">
        <v>4.5694383573273399E-2</v>
      </c>
      <c r="R11" s="14"/>
      <c r="S11" s="14">
        <v>2.2427846679208299E-2</v>
      </c>
      <c r="T11" s="14">
        <v>2.40506580855896E-2</v>
      </c>
      <c r="U11" s="14">
        <v>2.85935020981514E-2</v>
      </c>
      <c r="V11" s="14">
        <v>4.3571404733061501E-2</v>
      </c>
      <c r="W11" s="14">
        <v>5.1884199194584903E-2</v>
      </c>
      <c r="X11" s="14">
        <v>3.3386077969398902E-2</v>
      </c>
      <c r="Y11" s="14">
        <v>4.53560815933918E-2</v>
      </c>
      <c r="Z11" s="14">
        <v>3.3762966176091397E-2</v>
      </c>
      <c r="AA11" s="14">
        <v>3.5779664174134099E-2</v>
      </c>
      <c r="AB11" s="14"/>
      <c r="AC11" s="14">
        <v>2.2176352952710001E-2</v>
      </c>
      <c r="AD11" s="14">
        <v>3.6265994553548099E-2</v>
      </c>
      <c r="AE11" s="14">
        <v>3.5013134475209401E-2</v>
      </c>
      <c r="AF11" s="14">
        <v>3.75601853233134E-2</v>
      </c>
      <c r="AG11" s="14">
        <v>2.7373551331090099E-2</v>
      </c>
      <c r="AH11" s="14"/>
      <c r="AI11" s="14">
        <v>4.4129095037502203E-2</v>
      </c>
      <c r="AJ11" s="14">
        <v>2.18516601060069E-2</v>
      </c>
      <c r="AK11" s="14">
        <v>2.83640792335428E-2</v>
      </c>
      <c r="AL11" s="14">
        <v>1.5939533279882599E-2</v>
      </c>
      <c r="AM11" s="14">
        <v>3.4728645310476799E-2</v>
      </c>
      <c r="AN11" s="14">
        <v>5.9793891989881102E-2</v>
      </c>
      <c r="AO11" s="14"/>
      <c r="AP11" s="14">
        <v>3.4306371879763098E-2</v>
      </c>
      <c r="AQ11" s="14">
        <v>3.2522990519567703E-2</v>
      </c>
      <c r="AR11" s="14"/>
      <c r="AS11" s="14">
        <v>1.8123061338294399E-2</v>
      </c>
      <c r="AT11" s="14">
        <v>4.4144628679558699E-2</v>
      </c>
      <c r="AU11" s="14">
        <v>3.5239472256531498E-2</v>
      </c>
      <c r="AV11" s="14"/>
      <c r="AW11" s="14">
        <v>3.6814040116304202E-2</v>
      </c>
      <c r="AX11" s="14">
        <v>2.2195276272729901E-2</v>
      </c>
      <c r="AY11" s="14"/>
      <c r="AZ11" s="14">
        <v>3.0635270474161799E-2</v>
      </c>
      <c r="BA11" s="14">
        <v>4.48824836394318E-2</v>
      </c>
    </row>
    <row r="12" spans="2:53" x14ac:dyDescent="0.35">
      <c r="B12" s="15" t="s">
        <v>79</v>
      </c>
      <c r="C12" s="14">
        <v>6.6309789119566899E-3</v>
      </c>
      <c r="D12" s="14">
        <v>5.4394069397342504E-3</v>
      </c>
      <c r="E12" s="14">
        <v>7.8299324898925098E-3</v>
      </c>
      <c r="F12" s="14"/>
      <c r="G12" s="14">
        <v>0</v>
      </c>
      <c r="H12" s="14">
        <v>1.3893021893176901E-2</v>
      </c>
      <c r="I12" s="14">
        <v>3.4304561526469499E-3</v>
      </c>
      <c r="J12" s="14">
        <v>5.4288551856310398E-3</v>
      </c>
      <c r="K12" s="14">
        <v>1.5428715760431901E-2</v>
      </c>
      <c r="L12" s="14">
        <v>0</v>
      </c>
      <c r="M12" s="14"/>
      <c r="N12" s="14">
        <v>1.1635899063968599E-3</v>
      </c>
      <c r="O12" s="14">
        <v>4.3023637327421404E-3</v>
      </c>
      <c r="P12" s="14">
        <v>1.5004651095074E-2</v>
      </c>
      <c r="Q12" s="14">
        <v>7.66435721136066E-3</v>
      </c>
      <c r="R12" s="14"/>
      <c r="S12" s="14">
        <v>1.5972064999556199E-2</v>
      </c>
      <c r="T12" s="14">
        <v>8.3135933762856998E-3</v>
      </c>
      <c r="U12" s="14">
        <v>7.3488735309464098E-3</v>
      </c>
      <c r="V12" s="14">
        <v>9.67656722213215E-3</v>
      </c>
      <c r="W12" s="14">
        <v>4.7663324805076301E-3</v>
      </c>
      <c r="X12" s="14">
        <v>0</v>
      </c>
      <c r="Y12" s="14">
        <v>0</v>
      </c>
      <c r="Z12" s="14">
        <v>1.0438500022901399E-2</v>
      </c>
      <c r="AA12" s="14">
        <v>0</v>
      </c>
      <c r="AB12" s="14"/>
      <c r="AC12" s="14">
        <v>0</v>
      </c>
      <c r="AD12" s="14">
        <v>9.5643618703827107E-3</v>
      </c>
      <c r="AE12" s="14">
        <v>3.27345860362027E-3</v>
      </c>
      <c r="AF12" s="14">
        <v>1.5264882247064101E-2</v>
      </c>
      <c r="AG12" s="14">
        <v>2.8762393093582E-2</v>
      </c>
      <c r="AH12" s="14"/>
      <c r="AI12" s="14">
        <v>8.2380569460351796E-3</v>
      </c>
      <c r="AJ12" s="14">
        <v>1.1517315626904501E-2</v>
      </c>
      <c r="AK12" s="14">
        <v>0</v>
      </c>
      <c r="AL12" s="14">
        <v>0</v>
      </c>
      <c r="AM12" s="14">
        <v>1.1369136954142199E-2</v>
      </c>
      <c r="AN12" s="14">
        <v>0</v>
      </c>
      <c r="AO12" s="14"/>
      <c r="AP12" s="14">
        <v>3.67505177867888E-3</v>
      </c>
      <c r="AQ12" s="14">
        <v>9.9781814032115102E-3</v>
      </c>
      <c r="AR12" s="14"/>
      <c r="AS12" s="14">
        <v>6.1855251483836004E-3</v>
      </c>
      <c r="AT12" s="14">
        <v>4.41374612652355E-3</v>
      </c>
      <c r="AU12" s="14">
        <v>7.4064911646029704E-3</v>
      </c>
      <c r="AV12" s="14"/>
      <c r="AW12" s="14">
        <v>4.0754150651136096E-3</v>
      </c>
      <c r="AX12" s="14">
        <v>6.4528810584859398E-3</v>
      </c>
      <c r="AY12" s="14"/>
      <c r="AZ12" s="14">
        <v>4.2159132210502302E-3</v>
      </c>
      <c r="BA12" s="14">
        <v>1.5775334016864699E-2</v>
      </c>
    </row>
    <row r="13" spans="2:53" x14ac:dyDescent="0.35">
      <c r="B13" s="15" t="s">
        <v>116</v>
      </c>
      <c r="C13" s="18">
        <v>4.7689002876785402E-3</v>
      </c>
      <c r="D13" s="18">
        <v>3.3036196566333998E-3</v>
      </c>
      <c r="E13" s="18">
        <v>6.2399760685818897E-3</v>
      </c>
      <c r="F13" s="18"/>
      <c r="G13" s="18">
        <v>0</v>
      </c>
      <c r="H13" s="18">
        <v>6.7250393144308203E-3</v>
      </c>
      <c r="I13" s="18">
        <v>7.1369209070775404E-3</v>
      </c>
      <c r="J13" s="18">
        <v>2.1480422856535301E-3</v>
      </c>
      <c r="K13" s="18">
        <v>0</v>
      </c>
      <c r="L13" s="18">
        <v>0</v>
      </c>
      <c r="M13" s="18"/>
      <c r="N13" s="18">
        <v>2.1753598515911301E-3</v>
      </c>
      <c r="O13" s="18">
        <v>2.4963723994747698E-3</v>
      </c>
      <c r="P13" s="18">
        <v>0</v>
      </c>
      <c r="Q13" s="18">
        <v>1.41800385159881E-2</v>
      </c>
      <c r="R13" s="18"/>
      <c r="S13" s="18">
        <v>3.6481477352014501E-3</v>
      </c>
      <c r="T13" s="18">
        <v>2.00039202869659E-3</v>
      </c>
      <c r="U13" s="18">
        <v>8.0651217453341292E-3</v>
      </c>
      <c r="V13" s="18">
        <v>0</v>
      </c>
      <c r="W13" s="18">
        <v>0</v>
      </c>
      <c r="X13" s="18">
        <v>5.2446881107329297E-3</v>
      </c>
      <c r="Y13" s="18">
        <v>2.6536762194060001E-3</v>
      </c>
      <c r="Z13" s="18">
        <v>0</v>
      </c>
      <c r="AA13" s="18">
        <v>1.7461145234686799E-2</v>
      </c>
      <c r="AB13" s="18"/>
      <c r="AC13" s="18">
        <v>0</v>
      </c>
      <c r="AD13" s="18">
        <v>2.8784153336974998E-3</v>
      </c>
      <c r="AE13" s="18">
        <v>9.1661449953013801E-4</v>
      </c>
      <c r="AF13" s="18">
        <v>2.1311406627689401E-3</v>
      </c>
      <c r="AG13" s="18">
        <v>0</v>
      </c>
      <c r="AH13" s="18"/>
      <c r="AI13" s="18">
        <v>2.41804319143198E-3</v>
      </c>
      <c r="AJ13" s="18">
        <v>0</v>
      </c>
      <c r="AK13" s="18">
        <v>3.5600009949834101E-3</v>
      </c>
      <c r="AL13" s="18">
        <v>4.2004620489242304E-3</v>
      </c>
      <c r="AM13" s="18">
        <v>0</v>
      </c>
      <c r="AN13" s="18">
        <v>3.2729323379742201E-2</v>
      </c>
      <c r="AO13" s="18"/>
      <c r="AP13" s="18">
        <v>5.7617357345318204E-3</v>
      </c>
      <c r="AQ13" s="18">
        <v>3.6671902595942101E-3</v>
      </c>
      <c r="AR13" s="18"/>
      <c r="AS13" s="18">
        <v>5.8428435426398596E-3</v>
      </c>
      <c r="AT13" s="18">
        <v>3.2513097866373698E-3</v>
      </c>
      <c r="AU13" s="18">
        <v>4.9286089558350501E-3</v>
      </c>
      <c r="AV13" s="18"/>
      <c r="AW13" s="18">
        <v>1.85533164254674E-3</v>
      </c>
      <c r="AX13" s="18">
        <v>3.53529993245738E-3</v>
      </c>
      <c r="AY13" s="18"/>
      <c r="AZ13" s="18">
        <v>2.8500521213779802E-3</v>
      </c>
      <c r="BA13" s="18">
        <v>6.6084620146217498E-3</v>
      </c>
    </row>
    <row r="14" spans="2:53" x14ac:dyDescent="0.35">
      <c r="B14" s="26" t="s">
        <v>81</v>
      </c>
      <c r="C14" s="27">
        <v>0.95462175087383705</v>
      </c>
      <c r="D14" s="27">
        <v>0.96533812248464201</v>
      </c>
      <c r="E14" s="27">
        <v>0.94482233007761796</v>
      </c>
      <c r="F14" s="27"/>
      <c r="G14" s="27">
        <v>1</v>
      </c>
      <c r="H14" s="27">
        <v>0.92333623206840099</v>
      </c>
      <c r="I14" s="27">
        <v>0.95748998736924096</v>
      </c>
      <c r="J14" s="27">
        <v>0.96145991570695999</v>
      </c>
      <c r="K14" s="27">
        <v>0.97329928444082003</v>
      </c>
      <c r="L14" s="27">
        <v>0.91495220497854302</v>
      </c>
      <c r="M14" s="27"/>
      <c r="N14" s="27">
        <v>0.96686147358808605</v>
      </c>
      <c r="O14" s="27">
        <v>0.96393956308062301</v>
      </c>
      <c r="P14" s="27">
        <v>0.95318706660126296</v>
      </c>
      <c r="Q14" s="27">
        <v>0.93246122069937798</v>
      </c>
      <c r="R14" s="27"/>
      <c r="S14" s="27">
        <v>0.95795194058603395</v>
      </c>
      <c r="T14" s="27">
        <v>0.965635356509428</v>
      </c>
      <c r="U14" s="27">
        <v>0.95599250262556801</v>
      </c>
      <c r="V14" s="27">
        <v>0.94675202804480596</v>
      </c>
      <c r="W14" s="27">
        <v>0.94334946832490796</v>
      </c>
      <c r="X14" s="27">
        <v>0.96136923391986795</v>
      </c>
      <c r="Y14" s="27">
        <v>0.95199024218720196</v>
      </c>
      <c r="Z14" s="27">
        <v>0.95579853380100699</v>
      </c>
      <c r="AA14" s="27">
        <v>0.94675919059117897</v>
      </c>
      <c r="AB14" s="27"/>
      <c r="AC14" s="27">
        <v>0.97782364704728997</v>
      </c>
      <c r="AD14" s="27">
        <v>0.951291228242372</v>
      </c>
      <c r="AE14" s="27">
        <v>0.96079679242163996</v>
      </c>
      <c r="AF14" s="27">
        <v>0.94504379176685405</v>
      </c>
      <c r="AG14" s="27">
        <v>0.94386405557532804</v>
      </c>
      <c r="AH14" s="27"/>
      <c r="AI14" s="27">
        <v>0.94521480482503095</v>
      </c>
      <c r="AJ14" s="27">
        <v>0.96663102426708902</v>
      </c>
      <c r="AK14" s="27">
        <v>0.968075919771474</v>
      </c>
      <c r="AL14" s="27">
        <v>0.97986000467119305</v>
      </c>
      <c r="AM14" s="27">
        <v>0.95390221773538098</v>
      </c>
      <c r="AN14" s="27">
        <v>0.90747678463037695</v>
      </c>
      <c r="AO14" s="27"/>
      <c r="AP14" s="27">
        <v>0.95625684060702598</v>
      </c>
      <c r="AQ14" s="27">
        <v>0.95383163781762703</v>
      </c>
      <c r="AR14" s="27"/>
      <c r="AS14" s="27">
        <v>0.96984856997068203</v>
      </c>
      <c r="AT14" s="27">
        <v>0.94819031540728005</v>
      </c>
      <c r="AU14" s="27">
        <v>0.95242542762302995</v>
      </c>
      <c r="AV14" s="27"/>
      <c r="AW14" s="27">
        <v>0.95725521317603501</v>
      </c>
      <c r="AX14" s="27">
        <v>0.967816542736327</v>
      </c>
      <c r="AY14" s="27"/>
      <c r="AZ14" s="27">
        <v>0.96229876418340998</v>
      </c>
      <c r="BA14" s="27">
        <v>0.93273372032908197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B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211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43.5" x14ac:dyDescent="0.35">
      <c r="B9" s="15" t="s">
        <v>208</v>
      </c>
      <c r="C9" s="14">
        <v>9.2631623839504601E-2</v>
      </c>
      <c r="D9" s="14">
        <v>8.9344052834760199E-2</v>
      </c>
      <c r="E9" s="14">
        <v>9.6011631269595804E-2</v>
      </c>
      <c r="F9" s="14"/>
      <c r="G9" s="14">
        <v>0</v>
      </c>
      <c r="H9" s="14">
        <v>0.14582585335797199</v>
      </c>
      <c r="I9" s="14">
        <v>0.10336286512948099</v>
      </c>
      <c r="J9" s="14">
        <v>7.7764070467681606E-2</v>
      </c>
      <c r="K9" s="14">
        <v>2.4743828115729598E-2</v>
      </c>
      <c r="L9" s="14">
        <v>0</v>
      </c>
      <c r="M9" s="14"/>
      <c r="N9" s="14">
        <v>8.9306690835478098E-2</v>
      </c>
      <c r="O9" s="14">
        <v>6.1389826193036297E-2</v>
      </c>
      <c r="P9" s="14">
        <v>0.11210576616700001</v>
      </c>
      <c r="Q9" s="14">
        <v>0.112625852814301</v>
      </c>
      <c r="R9" s="14"/>
      <c r="S9" s="14">
        <v>0.141520027854699</v>
      </c>
      <c r="T9" s="14">
        <v>5.9621002916347199E-2</v>
      </c>
      <c r="U9" s="14">
        <v>4.2005225174876801E-2</v>
      </c>
      <c r="V9" s="14">
        <v>8.5419357249467004E-2</v>
      </c>
      <c r="W9" s="14">
        <v>0.11660390502423799</v>
      </c>
      <c r="X9" s="14">
        <v>0.116982644257569</v>
      </c>
      <c r="Y9" s="14">
        <v>0.106543615617418</v>
      </c>
      <c r="Z9" s="14">
        <v>6.00274649594515E-2</v>
      </c>
      <c r="AA9" s="14">
        <v>8.4650922811851104E-2</v>
      </c>
      <c r="AB9" s="14"/>
      <c r="AC9" s="14">
        <v>9.42394694647819E-2</v>
      </c>
      <c r="AD9" s="14">
        <v>8.8529816910356607E-2</v>
      </c>
      <c r="AE9" s="14">
        <v>7.3532005301221698E-2</v>
      </c>
      <c r="AF9" s="14">
        <v>0.13534679782824099</v>
      </c>
      <c r="AG9" s="14">
        <v>0.165253040982836</v>
      </c>
      <c r="AH9" s="14"/>
      <c r="AI9" s="14">
        <v>8.9123537983541695E-2</v>
      </c>
      <c r="AJ9" s="14">
        <v>0.12296974898159301</v>
      </c>
      <c r="AK9" s="14">
        <v>0.100571139524853</v>
      </c>
      <c r="AL9" s="14">
        <v>5.5064090381952598E-2</v>
      </c>
      <c r="AM9" s="14">
        <v>0.131189031126342</v>
      </c>
      <c r="AN9" s="14">
        <v>7.4334656850329694E-2</v>
      </c>
      <c r="AO9" s="14"/>
      <c r="AP9" s="14">
        <v>8.97484719372071E-2</v>
      </c>
      <c r="AQ9" s="14">
        <v>9.6174103693652493E-2</v>
      </c>
      <c r="AR9" s="14"/>
      <c r="AS9" s="14">
        <v>8.9132832692690595E-2</v>
      </c>
      <c r="AT9" s="14">
        <v>7.4943432334055093E-2</v>
      </c>
      <c r="AU9" s="14">
        <v>9.8803584024283103E-2</v>
      </c>
      <c r="AV9" s="14"/>
      <c r="AW9" s="14">
        <v>7.8202117366666005E-2</v>
      </c>
      <c r="AX9" s="14">
        <v>0.155027786089103</v>
      </c>
      <c r="AY9" s="14"/>
      <c r="AZ9" s="14">
        <v>9.6459710495403098E-2</v>
      </c>
      <c r="BA9" s="14">
        <v>8.0305636079041703E-2</v>
      </c>
    </row>
    <row r="10" spans="2:53" ht="43.5" x14ac:dyDescent="0.35">
      <c r="B10" s="15" t="s">
        <v>209</v>
      </c>
      <c r="C10" s="14">
        <v>0.71020914133770396</v>
      </c>
      <c r="D10" s="14">
        <v>0.72723889962869703</v>
      </c>
      <c r="E10" s="14">
        <v>0.69288480970049404</v>
      </c>
      <c r="F10" s="14"/>
      <c r="G10" s="14">
        <v>0.84423256471254104</v>
      </c>
      <c r="H10" s="14">
        <v>0.65950619739502703</v>
      </c>
      <c r="I10" s="14">
        <v>0.68842400524760905</v>
      </c>
      <c r="J10" s="14">
        <v>0.74079631586584704</v>
      </c>
      <c r="K10" s="14">
        <v>0.77389619635973905</v>
      </c>
      <c r="L10" s="14">
        <v>0.79544405186756095</v>
      </c>
      <c r="M10" s="14"/>
      <c r="N10" s="14">
        <v>0.72469582392532395</v>
      </c>
      <c r="O10" s="14">
        <v>0.74724726116691498</v>
      </c>
      <c r="P10" s="14">
        <v>0.69116063924369298</v>
      </c>
      <c r="Q10" s="14">
        <v>0.67102767758621196</v>
      </c>
      <c r="R10" s="14"/>
      <c r="S10" s="14">
        <v>0.658774959889176</v>
      </c>
      <c r="T10" s="14">
        <v>0.74430020311488398</v>
      </c>
      <c r="U10" s="14">
        <v>0.70313811964937201</v>
      </c>
      <c r="V10" s="14">
        <v>0.76273245489388997</v>
      </c>
      <c r="W10" s="14">
        <v>0.662651046789132</v>
      </c>
      <c r="X10" s="14">
        <v>0.71660696506375099</v>
      </c>
      <c r="Y10" s="14">
        <v>0.69520144691248498</v>
      </c>
      <c r="Z10" s="14">
        <v>0.79865380110184503</v>
      </c>
      <c r="AA10" s="14">
        <v>0.69817483046183804</v>
      </c>
      <c r="AB10" s="14"/>
      <c r="AC10" s="14">
        <v>0.71993331797663296</v>
      </c>
      <c r="AD10" s="14">
        <v>0.73288345379217701</v>
      </c>
      <c r="AE10" s="14">
        <v>0.73298552772481895</v>
      </c>
      <c r="AF10" s="14">
        <v>0.66675954989939901</v>
      </c>
      <c r="AG10" s="14">
        <v>0.55055645588320401</v>
      </c>
      <c r="AH10" s="14"/>
      <c r="AI10" s="14">
        <v>0.71644379909731404</v>
      </c>
      <c r="AJ10" s="14">
        <v>0.70140715443070001</v>
      </c>
      <c r="AK10" s="14">
        <v>0.69216963196302805</v>
      </c>
      <c r="AL10" s="14">
        <v>0.73412702769239102</v>
      </c>
      <c r="AM10" s="14">
        <v>0.71817112318266196</v>
      </c>
      <c r="AN10" s="14">
        <v>0.678401802894673</v>
      </c>
      <c r="AO10" s="14"/>
      <c r="AP10" s="14">
        <v>0.71477431913242595</v>
      </c>
      <c r="AQ10" s="14">
        <v>0.70533458451689901</v>
      </c>
      <c r="AR10" s="14"/>
      <c r="AS10" s="14">
        <v>0.71939305159518796</v>
      </c>
      <c r="AT10" s="14">
        <v>0.73369561990997301</v>
      </c>
      <c r="AU10" s="14">
        <v>0.70079259167399899</v>
      </c>
      <c r="AV10" s="14"/>
      <c r="AW10" s="14">
        <v>0.73141025227748702</v>
      </c>
      <c r="AX10" s="14">
        <v>0.67238037833501896</v>
      </c>
      <c r="AY10" s="14"/>
      <c r="AZ10" s="14">
        <v>0.71430779864676897</v>
      </c>
      <c r="BA10" s="14">
        <v>0.69652469469678002</v>
      </c>
    </row>
    <row r="11" spans="2:53" ht="43.5" x14ac:dyDescent="0.35">
      <c r="B11" s="15" t="s">
        <v>210</v>
      </c>
      <c r="C11" s="14">
        <v>0.150888405919267</v>
      </c>
      <c r="D11" s="14">
        <v>0.15114275539882299</v>
      </c>
      <c r="E11" s="14">
        <v>0.15078014155247799</v>
      </c>
      <c r="F11" s="14"/>
      <c r="G11" s="14">
        <v>0.15576743528745901</v>
      </c>
      <c r="H11" s="14">
        <v>0.156238215431456</v>
      </c>
      <c r="I11" s="14">
        <v>0.16338367257237599</v>
      </c>
      <c r="J11" s="14">
        <v>0.13138936210849</v>
      </c>
      <c r="K11" s="14">
        <v>0.14777531295902399</v>
      </c>
      <c r="L11" s="14">
        <v>0.142630366225346</v>
      </c>
      <c r="M11" s="14"/>
      <c r="N11" s="14">
        <v>0.16247445045019701</v>
      </c>
      <c r="O11" s="14">
        <v>0.15084407527445901</v>
      </c>
      <c r="P11" s="14">
        <v>0.155913007681451</v>
      </c>
      <c r="Q11" s="14">
        <v>0.13420831282686799</v>
      </c>
      <c r="R11" s="14"/>
      <c r="S11" s="14">
        <v>0.15246853837830401</v>
      </c>
      <c r="T11" s="14">
        <v>0.16500029688832099</v>
      </c>
      <c r="U11" s="14">
        <v>0.162119421793745</v>
      </c>
      <c r="V11" s="14">
        <v>0.103463349191043</v>
      </c>
      <c r="W11" s="14">
        <v>0.182119801914499</v>
      </c>
      <c r="X11" s="14">
        <v>0.123621469302356</v>
      </c>
      <c r="Y11" s="14">
        <v>0.157467720243051</v>
      </c>
      <c r="Z11" s="14">
        <v>0.1064334533597</v>
      </c>
      <c r="AA11" s="14">
        <v>0.17445935733315701</v>
      </c>
      <c r="AB11" s="14"/>
      <c r="AC11" s="14">
        <v>0.11410095429244201</v>
      </c>
      <c r="AD11" s="14">
        <v>0.143554896485523</v>
      </c>
      <c r="AE11" s="14">
        <v>0.15355320370696399</v>
      </c>
      <c r="AF11" s="14">
        <v>0.18324291292897199</v>
      </c>
      <c r="AG11" s="14">
        <v>0.226092407509531</v>
      </c>
      <c r="AH11" s="14"/>
      <c r="AI11" s="14">
        <v>0.15795624666146699</v>
      </c>
      <c r="AJ11" s="14">
        <v>0.155630928010528</v>
      </c>
      <c r="AK11" s="14">
        <v>0.167686769558993</v>
      </c>
      <c r="AL11" s="14">
        <v>0.167140029013885</v>
      </c>
      <c r="AM11" s="14">
        <v>7.02269109235205E-2</v>
      </c>
      <c r="AN11" s="14">
        <v>0.12458346738670099</v>
      </c>
      <c r="AO11" s="14"/>
      <c r="AP11" s="14">
        <v>0.1567551331706</v>
      </c>
      <c r="AQ11" s="14">
        <v>0.14477379288099701</v>
      </c>
      <c r="AR11" s="14"/>
      <c r="AS11" s="14">
        <v>0.15386636255404201</v>
      </c>
      <c r="AT11" s="14">
        <v>0.16102668671734699</v>
      </c>
      <c r="AU11" s="14">
        <v>0.14708909289213801</v>
      </c>
      <c r="AV11" s="14"/>
      <c r="AW11" s="14">
        <v>0.154446531235891</v>
      </c>
      <c r="AX11" s="14">
        <v>0.15472747054229899</v>
      </c>
      <c r="AY11" s="14"/>
      <c r="AZ11" s="14">
        <v>0.15636036741717799</v>
      </c>
      <c r="BA11" s="14">
        <v>0.133657851064371</v>
      </c>
    </row>
    <row r="12" spans="2:53" x14ac:dyDescent="0.35">
      <c r="B12" s="15" t="s">
        <v>116</v>
      </c>
      <c r="C12" s="23">
        <v>4.6270828903524498E-2</v>
      </c>
      <c r="D12" s="23">
        <v>3.2274292137719603E-2</v>
      </c>
      <c r="E12" s="23">
        <v>6.0323417477432202E-2</v>
      </c>
      <c r="F12" s="23"/>
      <c r="G12" s="23">
        <v>0</v>
      </c>
      <c r="H12" s="23">
        <v>3.8429733815544397E-2</v>
      </c>
      <c r="I12" s="23">
        <v>4.4829457050533601E-2</v>
      </c>
      <c r="J12" s="23">
        <v>5.0050251557982102E-2</v>
      </c>
      <c r="K12" s="23">
        <v>5.3584662565507202E-2</v>
      </c>
      <c r="L12" s="23">
        <v>6.19255819070932E-2</v>
      </c>
      <c r="M12" s="23"/>
      <c r="N12" s="23">
        <v>2.35230347890008E-2</v>
      </c>
      <c r="O12" s="23">
        <v>4.0518837365589699E-2</v>
      </c>
      <c r="P12" s="23">
        <v>4.0820586907855699E-2</v>
      </c>
      <c r="Q12" s="23">
        <v>8.2138156772618806E-2</v>
      </c>
      <c r="R12" s="23"/>
      <c r="S12" s="23">
        <v>4.7236473877820699E-2</v>
      </c>
      <c r="T12" s="23">
        <v>3.1078497080447701E-2</v>
      </c>
      <c r="U12" s="23">
        <v>9.2737233382006498E-2</v>
      </c>
      <c r="V12" s="23">
        <v>4.8384838665600102E-2</v>
      </c>
      <c r="W12" s="23">
        <v>3.8625246272130702E-2</v>
      </c>
      <c r="X12" s="23">
        <v>4.2788921376322897E-2</v>
      </c>
      <c r="Y12" s="23">
        <v>4.0787217227044897E-2</v>
      </c>
      <c r="Z12" s="23">
        <v>3.4885280579004398E-2</v>
      </c>
      <c r="AA12" s="23">
        <v>4.2714889393153398E-2</v>
      </c>
      <c r="AB12" s="23"/>
      <c r="AC12" s="23">
        <v>7.1726258266143303E-2</v>
      </c>
      <c r="AD12" s="23">
        <v>3.5031832811943303E-2</v>
      </c>
      <c r="AE12" s="23">
        <v>3.9929263266995703E-2</v>
      </c>
      <c r="AF12" s="23">
        <v>1.46507393433881E-2</v>
      </c>
      <c r="AG12" s="23">
        <v>5.8098095624428699E-2</v>
      </c>
      <c r="AH12" s="23"/>
      <c r="AI12" s="23">
        <v>3.6476416257676898E-2</v>
      </c>
      <c r="AJ12" s="23">
        <v>1.9992168577179101E-2</v>
      </c>
      <c r="AK12" s="23">
        <v>3.9572458953126603E-2</v>
      </c>
      <c r="AL12" s="23">
        <v>4.3668852911771402E-2</v>
      </c>
      <c r="AM12" s="23">
        <v>8.04129347674752E-2</v>
      </c>
      <c r="AN12" s="23">
        <v>0.122680072868297</v>
      </c>
      <c r="AO12" s="23"/>
      <c r="AP12" s="23">
        <v>3.8722075759767001E-2</v>
      </c>
      <c r="AQ12" s="23">
        <v>5.3717518908451202E-2</v>
      </c>
      <c r="AR12" s="23"/>
      <c r="AS12" s="23">
        <v>3.7607753158079203E-2</v>
      </c>
      <c r="AT12" s="23">
        <v>3.0334261038624102E-2</v>
      </c>
      <c r="AU12" s="23">
        <v>5.3314731409580103E-2</v>
      </c>
      <c r="AV12" s="23"/>
      <c r="AW12" s="23">
        <v>3.5941099119955702E-2</v>
      </c>
      <c r="AX12" s="23">
        <v>1.7864365033579101E-2</v>
      </c>
      <c r="AY12" s="23"/>
      <c r="AZ12" s="23">
        <v>3.28721234406502E-2</v>
      </c>
      <c r="BA12" s="23">
        <v>8.9511818159807105E-2</v>
      </c>
    </row>
    <row r="13" spans="2:53" x14ac:dyDescent="0.35">
      <c r="B13" s="16"/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BA16"/>
  <sheetViews>
    <sheetView showGridLines="0" topLeftCell="A2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212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363</v>
      </c>
      <c r="D7" s="10">
        <v>168</v>
      </c>
      <c r="E7" s="10">
        <v>195</v>
      </c>
      <c r="F7" s="10"/>
      <c r="G7" s="10">
        <v>7</v>
      </c>
      <c r="H7" s="10">
        <v>124</v>
      </c>
      <c r="I7" s="10">
        <v>179</v>
      </c>
      <c r="J7" s="10">
        <v>43</v>
      </c>
      <c r="K7" s="10">
        <v>10</v>
      </c>
      <c r="L7" s="10" t="s">
        <v>87</v>
      </c>
      <c r="M7" s="10"/>
      <c r="N7" s="10">
        <v>174</v>
      </c>
      <c r="O7" s="10">
        <v>85</v>
      </c>
      <c r="P7" s="10">
        <v>48</v>
      </c>
      <c r="Q7" s="10">
        <v>56</v>
      </c>
      <c r="R7" s="10"/>
      <c r="S7" s="10">
        <v>82</v>
      </c>
      <c r="T7" s="10">
        <v>57</v>
      </c>
      <c r="U7" s="10">
        <v>33</v>
      </c>
      <c r="V7" s="10">
        <v>40</v>
      </c>
      <c r="W7" s="10">
        <v>21</v>
      </c>
      <c r="X7" s="10">
        <v>31</v>
      </c>
      <c r="Y7" s="10">
        <v>33</v>
      </c>
      <c r="Z7" s="10">
        <v>20</v>
      </c>
      <c r="AA7" s="10">
        <v>46</v>
      </c>
      <c r="AB7" s="10"/>
      <c r="AC7" s="10">
        <v>31</v>
      </c>
      <c r="AD7" s="10">
        <v>61</v>
      </c>
      <c r="AE7" s="10">
        <v>132</v>
      </c>
      <c r="AF7" s="10">
        <v>78</v>
      </c>
      <c r="AG7" s="10">
        <v>30</v>
      </c>
      <c r="AH7" s="10"/>
      <c r="AI7" s="10">
        <v>146</v>
      </c>
      <c r="AJ7" s="10">
        <v>63</v>
      </c>
      <c r="AK7" s="10">
        <v>37</v>
      </c>
      <c r="AL7" s="10">
        <v>44</v>
      </c>
      <c r="AM7" s="10">
        <v>18</v>
      </c>
      <c r="AN7" s="10">
        <v>27</v>
      </c>
      <c r="AO7" s="10"/>
      <c r="AP7" s="10">
        <v>178</v>
      </c>
      <c r="AQ7" s="10">
        <v>185</v>
      </c>
      <c r="AR7" s="10"/>
      <c r="AS7" s="10">
        <v>363</v>
      </c>
      <c r="AT7" s="10" t="s">
        <v>87</v>
      </c>
      <c r="AU7" s="10" t="s">
        <v>87</v>
      </c>
      <c r="AV7" s="10"/>
      <c r="AW7" s="10">
        <v>251</v>
      </c>
      <c r="AX7" s="10">
        <v>101</v>
      </c>
      <c r="AY7" s="10"/>
      <c r="AZ7" s="10">
        <v>301</v>
      </c>
      <c r="BA7" s="10">
        <v>61</v>
      </c>
    </row>
    <row r="8" spans="2:53" ht="30" customHeight="1" x14ac:dyDescent="0.35">
      <c r="B8" s="11" t="s">
        <v>19</v>
      </c>
      <c r="C8" s="11">
        <v>355</v>
      </c>
      <c r="D8" s="11">
        <v>199</v>
      </c>
      <c r="E8" s="11">
        <v>156</v>
      </c>
      <c r="F8" s="11"/>
      <c r="G8" s="11">
        <v>6</v>
      </c>
      <c r="H8" s="11">
        <v>98</v>
      </c>
      <c r="I8" s="11">
        <v>191</v>
      </c>
      <c r="J8" s="11">
        <v>47</v>
      </c>
      <c r="K8" s="11">
        <v>13</v>
      </c>
      <c r="L8" s="11" t="s">
        <v>87</v>
      </c>
      <c r="M8" s="11"/>
      <c r="N8" s="11">
        <v>103</v>
      </c>
      <c r="O8" s="11">
        <v>95</v>
      </c>
      <c r="P8" s="11">
        <v>72</v>
      </c>
      <c r="Q8" s="11">
        <v>85</v>
      </c>
      <c r="R8" s="11"/>
      <c r="S8" s="11">
        <v>70</v>
      </c>
      <c r="T8" s="11">
        <v>61</v>
      </c>
      <c r="U8" s="11">
        <v>44</v>
      </c>
      <c r="V8" s="11">
        <v>47</v>
      </c>
      <c r="W8" s="11">
        <v>21</v>
      </c>
      <c r="X8" s="11">
        <v>23</v>
      </c>
      <c r="Y8" s="11">
        <v>30</v>
      </c>
      <c r="Z8" s="11">
        <v>19</v>
      </c>
      <c r="AA8" s="11">
        <v>39</v>
      </c>
      <c r="AB8" s="11"/>
      <c r="AC8" s="11">
        <v>41</v>
      </c>
      <c r="AD8" s="11">
        <v>77</v>
      </c>
      <c r="AE8" s="11">
        <v>124</v>
      </c>
      <c r="AF8" s="11">
        <v>59</v>
      </c>
      <c r="AG8" s="11">
        <v>16</v>
      </c>
      <c r="AH8" s="11"/>
      <c r="AI8" s="11">
        <v>128</v>
      </c>
      <c r="AJ8" s="11">
        <v>61</v>
      </c>
      <c r="AK8" s="11">
        <v>37</v>
      </c>
      <c r="AL8" s="11">
        <v>47</v>
      </c>
      <c r="AM8" s="11">
        <v>19</v>
      </c>
      <c r="AN8" s="11">
        <v>28</v>
      </c>
      <c r="AO8" s="11"/>
      <c r="AP8" s="11">
        <v>167</v>
      </c>
      <c r="AQ8" s="11">
        <v>188</v>
      </c>
      <c r="AR8" s="11"/>
      <c r="AS8" s="11">
        <v>355</v>
      </c>
      <c r="AT8" s="11" t="s">
        <v>87</v>
      </c>
      <c r="AU8" s="11" t="s">
        <v>87</v>
      </c>
      <c r="AV8" s="11"/>
      <c r="AW8" s="11">
        <v>267</v>
      </c>
      <c r="AX8" s="11">
        <v>74</v>
      </c>
      <c r="AY8" s="11"/>
      <c r="AZ8" s="11">
        <v>290</v>
      </c>
      <c r="BA8" s="11">
        <v>64</v>
      </c>
    </row>
    <row r="9" spans="2:53" x14ac:dyDescent="0.35">
      <c r="B9" s="15" t="s">
        <v>154</v>
      </c>
      <c r="C9" s="14">
        <v>0.83515549233645103</v>
      </c>
      <c r="D9" s="14">
        <v>0.80565576445848197</v>
      </c>
      <c r="E9" s="14">
        <v>0.87279277559146096</v>
      </c>
      <c r="F9" s="14"/>
      <c r="G9" s="14">
        <v>1</v>
      </c>
      <c r="H9" s="14">
        <v>0.83509629703825605</v>
      </c>
      <c r="I9" s="14">
        <v>0.85368582231649004</v>
      </c>
      <c r="J9" s="14">
        <v>0.69440730374877402</v>
      </c>
      <c r="K9" s="14">
        <v>1</v>
      </c>
      <c r="L9" s="14" t="s">
        <v>88</v>
      </c>
      <c r="M9" s="14"/>
      <c r="N9" s="14">
        <v>0.89810333758861505</v>
      </c>
      <c r="O9" s="14">
        <v>0.82685040877285598</v>
      </c>
      <c r="P9" s="14">
        <v>0.87203286213083497</v>
      </c>
      <c r="Q9" s="14">
        <v>0.73703438225499696</v>
      </c>
      <c r="R9" s="14"/>
      <c r="S9" s="14">
        <v>0.83278828865367704</v>
      </c>
      <c r="T9" s="14">
        <v>0.92038841713536201</v>
      </c>
      <c r="U9" s="14">
        <v>0.82816823602033396</v>
      </c>
      <c r="V9" s="14">
        <v>0.80243795578728006</v>
      </c>
      <c r="W9" s="14">
        <v>0.87556572082079898</v>
      </c>
      <c r="X9" s="14">
        <v>0.95082040637119303</v>
      </c>
      <c r="Y9" s="14">
        <v>0.73653583821322599</v>
      </c>
      <c r="Z9" s="14">
        <v>0.74191896964588</v>
      </c>
      <c r="AA9" s="14">
        <v>0.78642646965297403</v>
      </c>
      <c r="AB9" s="14"/>
      <c r="AC9" s="14">
        <v>0.80248761666004897</v>
      </c>
      <c r="AD9" s="14">
        <v>0.82143160171433705</v>
      </c>
      <c r="AE9" s="14">
        <v>0.85616169757639504</v>
      </c>
      <c r="AF9" s="14">
        <v>0.85394593588693302</v>
      </c>
      <c r="AG9" s="14">
        <v>0.987876341294458</v>
      </c>
      <c r="AH9" s="14"/>
      <c r="AI9" s="14">
        <v>0.82521883350777903</v>
      </c>
      <c r="AJ9" s="14">
        <v>0.82619739070799503</v>
      </c>
      <c r="AK9" s="14">
        <v>0.937841410173059</v>
      </c>
      <c r="AL9" s="14">
        <v>0.86475645397988798</v>
      </c>
      <c r="AM9" s="14">
        <v>0.89690661225659296</v>
      </c>
      <c r="AN9" s="14">
        <v>0.68519878640292198</v>
      </c>
      <c r="AO9" s="14"/>
      <c r="AP9" s="14">
        <v>0.83660508828504099</v>
      </c>
      <c r="AQ9" s="14">
        <v>0.83387098117870595</v>
      </c>
      <c r="AR9" s="14"/>
      <c r="AS9" s="14">
        <v>0.83515549233645103</v>
      </c>
      <c r="AT9" s="14" t="s">
        <v>88</v>
      </c>
      <c r="AU9" s="14" t="s">
        <v>88</v>
      </c>
      <c r="AV9" s="14"/>
      <c r="AW9" s="14">
        <v>0.83523279629050595</v>
      </c>
      <c r="AX9" s="14">
        <v>0.89021131095622896</v>
      </c>
      <c r="AY9" s="14"/>
      <c r="AZ9" s="14">
        <v>0.82376109183055402</v>
      </c>
      <c r="BA9" s="14">
        <v>0.88349468653691199</v>
      </c>
    </row>
    <row r="10" spans="2:53" x14ac:dyDescent="0.35">
      <c r="B10" s="15" t="s">
        <v>155</v>
      </c>
      <c r="C10" s="14">
        <v>0.117323801211778</v>
      </c>
      <c r="D10" s="14">
        <v>0.15630703575884999</v>
      </c>
      <c r="E10" s="14">
        <v>6.7586968149651802E-2</v>
      </c>
      <c r="F10" s="14"/>
      <c r="G10" s="14">
        <v>0</v>
      </c>
      <c r="H10" s="14">
        <v>0.139877386292517</v>
      </c>
      <c r="I10" s="14">
        <v>0.102827920580032</v>
      </c>
      <c r="J10" s="14">
        <v>0.17612769698459799</v>
      </c>
      <c r="K10" s="14">
        <v>0</v>
      </c>
      <c r="L10" s="14" t="s">
        <v>88</v>
      </c>
      <c r="M10" s="14"/>
      <c r="N10" s="14">
        <v>7.0967070299734397E-2</v>
      </c>
      <c r="O10" s="14">
        <v>0.14597311245413999</v>
      </c>
      <c r="P10" s="14">
        <v>0.127967137869165</v>
      </c>
      <c r="Q10" s="14">
        <v>0.13262192633973599</v>
      </c>
      <c r="R10" s="14"/>
      <c r="S10" s="14">
        <v>8.6065379566990702E-2</v>
      </c>
      <c r="T10" s="14">
        <v>5.9557299765082998E-2</v>
      </c>
      <c r="U10" s="14">
        <v>0.13422987896566899</v>
      </c>
      <c r="V10" s="14">
        <v>0.18260465841735099</v>
      </c>
      <c r="W10" s="14">
        <v>0.124434279179201</v>
      </c>
      <c r="X10" s="14">
        <v>6.9484425203394902E-3</v>
      </c>
      <c r="Y10" s="14">
        <v>0.18600068667490599</v>
      </c>
      <c r="Z10" s="14">
        <v>0.19417940595135399</v>
      </c>
      <c r="AA10" s="14">
        <v>0.13505995099739701</v>
      </c>
      <c r="AB10" s="14"/>
      <c r="AC10" s="14">
        <v>0.156679621505875</v>
      </c>
      <c r="AD10" s="14">
        <v>0.10776515039974099</v>
      </c>
      <c r="AE10" s="14">
        <v>9.6747414353616501E-2</v>
      </c>
      <c r="AF10" s="14">
        <v>0.10967047350690701</v>
      </c>
      <c r="AG10" s="14">
        <v>1.21236587055419E-2</v>
      </c>
      <c r="AH10" s="14"/>
      <c r="AI10" s="14">
        <v>0.130221123171645</v>
      </c>
      <c r="AJ10" s="14">
        <v>0.14579529636111499</v>
      </c>
      <c r="AK10" s="14">
        <v>0</v>
      </c>
      <c r="AL10" s="14">
        <v>0.13524354602011199</v>
      </c>
      <c r="AM10" s="14">
        <v>0</v>
      </c>
      <c r="AN10" s="14">
        <v>0.27421097604194</v>
      </c>
      <c r="AO10" s="14"/>
      <c r="AP10" s="14">
        <v>0.11234597651355401</v>
      </c>
      <c r="AQ10" s="14">
        <v>0.12173473473596801</v>
      </c>
      <c r="AR10" s="14"/>
      <c r="AS10" s="14">
        <v>0.117323801211778</v>
      </c>
      <c r="AT10" s="14" t="s">
        <v>88</v>
      </c>
      <c r="AU10" s="14" t="s">
        <v>88</v>
      </c>
      <c r="AV10" s="14"/>
      <c r="AW10" s="14">
        <v>0.11281241500554801</v>
      </c>
      <c r="AX10" s="14">
        <v>0.109788689043771</v>
      </c>
      <c r="AY10" s="14"/>
      <c r="AZ10" s="14">
        <v>0.138440559328804</v>
      </c>
      <c r="BA10" s="14">
        <v>2.3776490422006299E-2</v>
      </c>
    </row>
    <row r="11" spans="2:53" x14ac:dyDescent="0.35">
      <c r="B11" s="15" t="s">
        <v>116</v>
      </c>
      <c r="C11" s="23">
        <v>4.7520706451771297E-2</v>
      </c>
      <c r="D11" s="23">
        <v>3.8037199782667598E-2</v>
      </c>
      <c r="E11" s="23">
        <v>5.9620256258886797E-2</v>
      </c>
      <c r="F11" s="23"/>
      <c r="G11" s="23">
        <v>0</v>
      </c>
      <c r="H11" s="23">
        <v>2.5026316669226799E-2</v>
      </c>
      <c r="I11" s="23">
        <v>4.3486257103477401E-2</v>
      </c>
      <c r="J11" s="23">
        <v>0.12946499926662799</v>
      </c>
      <c r="K11" s="23">
        <v>0</v>
      </c>
      <c r="L11" s="23" t="s">
        <v>88</v>
      </c>
      <c r="M11" s="23"/>
      <c r="N11" s="23">
        <v>3.0929592111650198E-2</v>
      </c>
      <c r="O11" s="23">
        <v>2.7176478773003599E-2</v>
      </c>
      <c r="P11" s="23">
        <v>0</v>
      </c>
      <c r="Q11" s="23">
        <v>0.130343691405267</v>
      </c>
      <c r="R11" s="23"/>
      <c r="S11" s="23">
        <v>8.1146331779332101E-2</v>
      </c>
      <c r="T11" s="23">
        <v>2.00542830995547E-2</v>
      </c>
      <c r="U11" s="23">
        <v>3.7601885013996701E-2</v>
      </c>
      <c r="V11" s="23">
        <v>1.4957385795369E-2</v>
      </c>
      <c r="W11" s="23">
        <v>0</v>
      </c>
      <c r="X11" s="23">
        <v>4.22311511084675E-2</v>
      </c>
      <c r="Y11" s="23">
        <v>7.74634751118677E-2</v>
      </c>
      <c r="Z11" s="23">
        <v>6.3901624402766394E-2</v>
      </c>
      <c r="AA11" s="23">
        <v>7.8513579349629006E-2</v>
      </c>
      <c r="AB11" s="23"/>
      <c r="AC11" s="23">
        <v>4.0832761834076803E-2</v>
      </c>
      <c r="AD11" s="23">
        <v>7.08032478859216E-2</v>
      </c>
      <c r="AE11" s="23">
        <v>4.7090888069988603E-2</v>
      </c>
      <c r="AF11" s="23">
        <v>3.6383590606160199E-2</v>
      </c>
      <c r="AG11" s="23">
        <v>0</v>
      </c>
      <c r="AH11" s="23"/>
      <c r="AI11" s="23">
        <v>4.45600433205754E-2</v>
      </c>
      <c r="AJ11" s="23">
        <v>2.8007312930889702E-2</v>
      </c>
      <c r="AK11" s="23">
        <v>6.2158589826940502E-2</v>
      </c>
      <c r="AL11" s="23">
        <v>0</v>
      </c>
      <c r="AM11" s="23">
        <v>0.103093387743407</v>
      </c>
      <c r="AN11" s="23">
        <v>4.0590237555138201E-2</v>
      </c>
      <c r="AO11" s="23"/>
      <c r="AP11" s="23">
        <v>5.1048935201405597E-2</v>
      </c>
      <c r="AQ11" s="23">
        <v>4.4394284085325801E-2</v>
      </c>
      <c r="AR11" s="23"/>
      <c r="AS11" s="23">
        <v>4.7520706451771297E-2</v>
      </c>
      <c r="AT11" s="23" t="s">
        <v>88</v>
      </c>
      <c r="AU11" s="23" t="s">
        <v>88</v>
      </c>
      <c r="AV11" s="23"/>
      <c r="AW11" s="23">
        <v>5.1954788703945799E-2</v>
      </c>
      <c r="AX11" s="23">
        <v>0</v>
      </c>
      <c r="AY11" s="23"/>
      <c r="AZ11" s="23">
        <v>3.7798348840642301E-2</v>
      </c>
      <c r="BA11" s="23">
        <v>9.2728823041081598E-2</v>
      </c>
    </row>
    <row r="12" spans="2:53" x14ac:dyDescent="0.35">
      <c r="B12" s="16" t="s">
        <v>213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BA18"/>
  <sheetViews>
    <sheetView showGridLines="0" topLeftCell="A2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218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314</v>
      </c>
      <c r="D7" s="10">
        <v>142</v>
      </c>
      <c r="E7" s="10">
        <v>172</v>
      </c>
      <c r="F7" s="10"/>
      <c r="G7" s="10">
        <v>7</v>
      </c>
      <c r="H7" s="10">
        <v>111</v>
      </c>
      <c r="I7" s="10">
        <v>156</v>
      </c>
      <c r="J7" s="10">
        <v>30</v>
      </c>
      <c r="K7" s="10">
        <v>10</v>
      </c>
      <c r="L7" s="10" t="s">
        <v>87</v>
      </c>
      <c r="M7" s="10"/>
      <c r="N7" s="10">
        <v>157</v>
      </c>
      <c r="O7" s="10">
        <v>73</v>
      </c>
      <c r="P7" s="10">
        <v>42</v>
      </c>
      <c r="Q7" s="10">
        <v>42</v>
      </c>
      <c r="R7" s="10"/>
      <c r="S7" s="10">
        <v>73</v>
      </c>
      <c r="T7" s="10">
        <v>52</v>
      </c>
      <c r="U7" s="10">
        <v>29</v>
      </c>
      <c r="V7" s="10">
        <v>34</v>
      </c>
      <c r="W7" s="10">
        <v>17</v>
      </c>
      <c r="X7" s="10">
        <v>29</v>
      </c>
      <c r="Y7" s="10">
        <v>25</v>
      </c>
      <c r="Z7" s="10">
        <v>15</v>
      </c>
      <c r="AA7" s="10">
        <v>40</v>
      </c>
      <c r="AB7" s="10"/>
      <c r="AC7" s="10">
        <v>26</v>
      </c>
      <c r="AD7" s="10">
        <v>51</v>
      </c>
      <c r="AE7" s="10">
        <v>117</v>
      </c>
      <c r="AF7" s="10">
        <v>67</v>
      </c>
      <c r="AG7" s="10">
        <v>29</v>
      </c>
      <c r="AH7" s="10"/>
      <c r="AI7" s="10">
        <v>124</v>
      </c>
      <c r="AJ7" s="10">
        <v>55</v>
      </c>
      <c r="AK7" s="10">
        <v>35</v>
      </c>
      <c r="AL7" s="10">
        <v>39</v>
      </c>
      <c r="AM7" s="10">
        <v>17</v>
      </c>
      <c r="AN7" s="10">
        <v>21</v>
      </c>
      <c r="AO7" s="10"/>
      <c r="AP7" s="10">
        <v>158</v>
      </c>
      <c r="AQ7" s="10">
        <v>156</v>
      </c>
      <c r="AR7" s="10"/>
      <c r="AS7" s="10">
        <v>314</v>
      </c>
      <c r="AT7" s="10" t="s">
        <v>87</v>
      </c>
      <c r="AU7" s="10" t="s">
        <v>87</v>
      </c>
      <c r="AV7" s="10"/>
      <c r="AW7" s="10">
        <v>214</v>
      </c>
      <c r="AX7" s="10">
        <v>93</v>
      </c>
      <c r="AY7" s="10"/>
      <c r="AZ7" s="10">
        <v>259</v>
      </c>
      <c r="BA7" s="10">
        <v>54</v>
      </c>
    </row>
    <row r="8" spans="2:53" ht="30" customHeight="1" x14ac:dyDescent="0.35">
      <c r="B8" s="11" t="s">
        <v>19</v>
      </c>
      <c r="C8" s="11">
        <v>297</v>
      </c>
      <c r="D8" s="11">
        <v>160</v>
      </c>
      <c r="E8" s="11">
        <v>136</v>
      </c>
      <c r="F8" s="11"/>
      <c r="G8" s="11">
        <v>6</v>
      </c>
      <c r="H8" s="11">
        <v>82</v>
      </c>
      <c r="I8" s="11">
        <v>163</v>
      </c>
      <c r="J8" s="11">
        <v>33</v>
      </c>
      <c r="K8" s="11">
        <v>13</v>
      </c>
      <c r="L8" s="11" t="s">
        <v>87</v>
      </c>
      <c r="M8" s="11"/>
      <c r="N8" s="11">
        <v>93</v>
      </c>
      <c r="O8" s="11">
        <v>78</v>
      </c>
      <c r="P8" s="11">
        <v>63</v>
      </c>
      <c r="Q8" s="11">
        <v>63</v>
      </c>
      <c r="R8" s="11"/>
      <c r="S8" s="11">
        <v>58</v>
      </c>
      <c r="T8" s="11">
        <v>56</v>
      </c>
      <c r="U8" s="11">
        <v>37</v>
      </c>
      <c r="V8" s="11">
        <v>38</v>
      </c>
      <c r="W8" s="11">
        <v>18</v>
      </c>
      <c r="X8" s="11">
        <v>22</v>
      </c>
      <c r="Y8" s="11">
        <v>22</v>
      </c>
      <c r="Z8" s="11">
        <v>14</v>
      </c>
      <c r="AA8" s="11">
        <v>31</v>
      </c>
      <c r="AB8" s="11"/>
      <c r="AC8" s="11">
        <v>33</v>
      </c>
      <c r="AD8" s="11">
        <v>63</v>
      </c>
      <c r="AE8" s="11">
        <v>106</v>
      </c>
      <c r="AF8" s="11">
        <v>50</v>
      </c>
      <c r="AG8" s="11">
        <v>16</v>
      </c>
      <c r="AH8" s="11"/>
      <c r="AI8" s="11">
        <v>106</v>
      </c>
      <c r="AJ8" s="11">
        <v>50</v>
      </c>
      <c r="AK8" s="11">
        <v>35</v>
      </c>
      <c r="AL8" s="11">
        <v>41</v>
      </c>
      <c r="AM8" s="11">
        <v>17</v>
      </c>
      <c r="AN8" s="11">
        <v>19</v>
      </c>
      <c r="AO8" s="11"/>
      <c r="AP8" s="11">
        <v>140</v>
      </c>
      <c r="AQ8" s="11">
        <v>157</v>
      </c>
      <c r="AR8" s="11"/>
      <c r="AS8" s="11">
        <v>297</v>
      </c>
      <c r="AT8" s="11" t="s">
        <v>87</v>
      </c>
      <c r="AU8" s="11" t="s">
        <v>87</v>
      </c>
      <c r="AV8" s="11"/>
      <c r="AW8" s="11">
        <v>223</v>
      </c>
      <c r="AX8" s="11">
        <v>66</v>
      </c>
      <c r="AY8" s="11"/>
      <c r="AZ8" s="11">
        <v>239</v>
      </c>
      <c r="BA8" s="11">
        <v>56</v>
      </c>
    </row>
    <row r="9" spans="2:53" x14ac:dyDescent="0.35">
      <c r="B9" s="15" t="s">
        <v>214</v>
      </c>
      <c r="C9" s="14">
        <v>0.30380471728360797</v>
      </c>
      <c r="D9" s="14">
        <v>0.30699404491339599</v>
      </c>
      <c r="E9" s="14">
        <v>0.30004861189660198</v>
      </c>
      <c r="F9" s="14"/>
      <c r="G9" s="14">
        <v>0.59602279582360496</v>
      </c>
      <c r="H9" s="14">
        <v>0.26213677992628698</v>
      </c>
      <c r="I9" s="14">
        <v>0.31528915431672</v>
      </c>
      <c r="J9" s="14">
        <v>0.26081051372036801</v>
      </c>
      <c r="K9" s="14">
        <v>0.392756601541286</v>
      </c>
      <c r="L9" s="14" t="s">
        <v>88</v>
      </c>
      <c r="M9" s="14"/>
      <c r="N9" s="14">
        <v>0.26410022827359098</v>
      </c>
      <c r="O9" s="14">
        <v>0.247932311431173</v>
      </c>
      <c r="P9" s="14">
        <v>0.29742849317098102</v>
      </c>
      <c r="Q9" s="14">
        <v>0.43856601736780698</v>
      </c>
      <c r="R9" s="14"/>
      <c r="S9" s="14">
        <v>0.38353768146088502</v>
      </c>
      <c r="T9" s="14">
        <v>0.24797857580416999</v>
      </c>
      <c r="U9" s="14">
        <v>0.32048565614458102</v>
      </c>
      <c r="V9" s="14">
        <v>0.25090948553894199</v>
      </c>
      <c r="W9" s="14">
        <v>0.388150132967233</v>
      </c>
      <c r="X9" s="14">
        <v>0.27712299044198202</v>
      </c>
      <c r="Y9" s="14">
        <v>0.37110419211675599</v>
      </c>
      <c r="Z9" s="14">
        <v>0.24296626548738501</v>
      </c>
      <c r="AA9" s="14">
        <v>0.25088022408146998</v>
      </c>
      <c r="AB9" s="14"/>
      <c r="AC9" s="14">
        <v>0.42124811069175799</v>
      </c>
      <c r="AD9" s="14">
        <v>0.25771807868303398</v>
      </c>
      <c r="AE9" s="14">
        <v>0.28084223300780597</v>
      </c>
      <c r="AF9" s="14">
        <v>0.33269272553788498</v>
      </c>
      <c r="AG9" s="14">
        <v>0.194786542671538</v>
      </c>
      <c r="AH9" s="14"/>
      <c r="AI9" s="14">
        <v>0.368193968163681</v>
      </c>
      <c r="AJ9" s="14">
        <v>0.27131298522768499</v>
      </c>
      <c r="AK9" s="14">
        <v>0.28281513627164101</v>
      </c>
      <c r="AL9" s="14">
        <v>0.14485757746278599</v>
      </c>
      <c r="AM9" s="14">
        <v>0.33569816006272002</v>
      </c>
      <c r="AN9" s="14">
        <v>0.38258604246262801</v>
      </c>
      <c r="AO9" s="14"/>
      <c r="AP9" s="14">
        <v>0.33387487195527499</v>
      </c>
      <c r="AQ9" s="14">
        <v>0.27707168532542797</v>
      </c>
      <c r="AR9" s="14"/>
      <c r="AS9" s="14">
        <v>0.30380471728360797</v>
      </c>
      <c r="AT9" s="14" t="s">
        <v>88</v>
      </c>
      <c r="AU9" s="14" t="s">
        <v>88</v>
      </c>
      <c r="AV9" s="14"/>
      <c r="AW9" s="14">
        <v>0.28186768514607802</v>
      </c>
      <c r="AX9" s="14">
        <v>0.37468578952305598</v>
      </c>
      <c r="AY9" s="14"/>
      <c r="AZ9" s="14">
        <v>0.31355340920921998</v>
      </c>
      <c r="BA9" s="14">
        <v>0.26971514530652502</v>
      </c>
    </row>
    <row r="10" spans="2:53" x14ac:dyDescent="0.35">
      <c r="B10" s="15" t="s">
        <v>215</v>
      </c>
      <c r="C10" s="14">
        <v>0.486037736430248</v>
      </c>
      <c r="D10" s="14">
        <v>0.49798241500990398</v>
      </c>
      <c r="E10" s="14">
        <v>0.471970360240965</v>
      </c>
      <c r="F10" s="14"/>
      <c r="G10" s="14">
        <v>0.21031812152537299</v>
      </c>
      <c r="H10" s="14">
        <v>0.51352043797078395</v>
      </c>
      <c r="I10" s="14">
        <v>0.47601366268546602</v>
      </c>
      <c r="J10" s="14">
        <v>0.54793912895885899</v>
      </c>
      <c r="K10" s="14">
        <v>0.41282063203062302</v>
      </c>
      <c r="L10" s="14" t="s">
        <v>88</v>
      </c>
      <c r="M10" s="14"/>
      <c r="N10" s="14">
        <v>0.56566850995486995</v>
      </c>
      <c r="O10" s="14">
        <v>0.53859462015617099</v>
      </c>
      <c r="P10" s="14">
        <v>0.33021615923358</v>
      </c>
      <c r="Q10" s="14">
        <v>0.45829814489827603</v>
      </c>
      <c r="R10" s="14"/>
      <c r="S10" s="14">
        <v>0.51884735143638905</v>
      </c>
      <c r="T10" s="14">
        <v>0.46110177719381801</v>
      </c>
      <c r="U10" s="14">
        <v>0.31423425535053201</v>
      </c>
      <c r="V10" s="14">
        <v>0.47120896113388799</v>
      </c>
      <c r="W10" s="14">
        <v>0.57536023180448903</v>
      </c>
      <c r="X10" s="14">
        <v>0.40990543421238101</v>
      </c>
      <c r="Y10" s="14">
        <v>0.55522687273925897</v>
      </c>
      <c r="Z10" s="14">
        <v>0.67090356756479697</v>
      </c>
      <c r="AA10" s="14">
        <v>0.55829215564371903</v>
      </c>
      <c r="AB10" s="14"/>
      <c r="AC10" s="14">
        <v>0.31028240089896802</v>
      </c>
      <c r="AD10" s="14">
        <v>0.44947082339359701</v>
      </c>
      <c r="AE10" s="14">
        <v>0.50852744329113897</v>
      </c>
      <c r="AF10" s="14">
        <v>0.52728313898691004</v>
      </c>
      <c r="AG10" s="14">
        <v>0.58511826091653996</v>
      </c>
      <c r="AH10" s="14"/>
      <c r="AI10" s="14">
        <v>0.53147820259426504</v>
      </c>
      <c r="AJ10" s="14">
        <v>0.54271599891702205</v>
      </c>
      <c r="AK10" s="14">
        <v>0.37504274322129699</v>
      </c>
      <c r="AL10" s="14">
        <v>0.616265104735915</v>
      </c>
      <c r="AM10" s="14">
        <v>0.36253615643571002</v>
      </c>
      <c r="AN10" s="14">
        <v>0.37096640572853301</v>
      </c>
      <c r="AO10" s="14"/>
      <c r="AP10" s="14">
        <v>0.46856206123669297</v>
      </c>
      <c r="AQ10" s="14">
        <v>0.50157399783432499</v>
      </c>
      <c r="AR10" s="14"/>
      <c r="AS10" s="14">
        <v>0.486037736430248</v>
      </c>
      <c r="AT10" s="14" t="s">
        <v>88</v>
      </c>
      <c r="AU10" s="14" t="s">
        <v>88</v>
      </c>
      <c r="AV10" s="14"/>
      <c r="AW10" s="14">
        <v>0.49978082401013602</v>
      </c>
      <c r="AX10" s="14">
        <v>0.45197927219255801</v>
      </c>
      <c r="AY10" s="14"/>
      <c r="AZ10" s="14">
        <v>0.49382681108647603</v>
      </c>
      <c r="BA10" s="14">
        <v>0.46459931120028602</v>
      </c>
    </row>
    <row r="11" spans="2:53" x14ac:dyDescent="0.35">
      <c r="B11" s="15" t="s">
        <v>216</v>
      </c>
      <c r="C11" s="14">
        <v>7.4995230588268194E-2</v>
      </c>
      <c r="D11" s="14">
        <v>8.8870546412656404E-2</v>
      </c>
      <c r="E11" s="14">
        <v>5.86541221904908E-2</v>
      </c>
      <c r="F11" s="14"/>
      <c r="G11" s="14">
        <v>0</v>
      </c>
      <c r="H11" s="14">
        <v>9.2906534416020994E-2</v>
      </c>
      <c r="I11" s="14">
        <v>8.7849248089402796E-2</v>
      </c>
      <c r="J11" s="14">
        <v>9.3288183133523796E-3</v>
      </c>
      <c r="K11" s="14">
        <v>0</v>
      </c>
      <c r="L11" s="14" t="s">
        <v>88</v>
      </c>
      <c r="M11" s="14"/>
      <c r="N11" s="14">
        <v>6.0082923885032502E-2</v>
      </c>
      <c r="O11" s="14">
        <v>7.4589766226857104E-2</v>
      </c>
      <c r="P11" s="14">
        <v>0.17273606729868901</v>
      </c>
      <c r="Q11" s="14">
        <v>0</v>
      </c>
      <c r="R11" s="14"/>
      <c r="S11" s="14">
        <v>6.1888502930607603E-2</v>
      </c>
      <c r="T11" s="14">
        <v>0.20617726083353999</v>
      </c>
      <c r="U11" s="14">
        <v>4.7796767596030298E-2</v>
      </c>
      <c r="V11" s="14">
        <v>8.9227430956993994E-2</v>
      </c>
      <c r="W11" s="14">
        <v>0</v>
      </c>
      <c r="X11" s="14">
        <v>3.1182493863612E-2</v>
      </c>
      <c r="Y11" s="14">
        <v>4.0529733668521903E-2</v>
      </c>
      <c r="Z11" s="14">
        <v>0</v>
      </c>
      <c r="AA11" s="14">
        <v>9.9019572464367298E-3</v>
      </c>
      <c r="AB11" s="14"/>
      <c r="AC11" s="14">
        <v>6.3637461769660106E-2</v>
      </c>
      <c r="AD11" s="14">
        <v>0.121854681556329</v>
      </c>
      <c r="AE11" s="14">
        <v>7.6702228703584896E-2</v>
      </c>
      <c r="AF11" s="14">
        <v>6.5485042463356694E-2</v>
      </c>
      <c r="AG11" s="14">
        <v>6.4062425520610894E-2</v>
      </c>
      <c r="AH11" s="14"/>
      <c r="AI11" s="14">
        <v>2.26878121340288E-2</v>
      </c>
      <c r="AJ11" s="14">
        <v>0.112916136067857</v>
      </c>
      <c r="AK11" s="14">
        <v>0.100805295349813</v>
      </c>
      <c r="AL11" s="14">
        <v>3.6921936211926298E-2</v>
      </c>
      <c r="AM11" s="14">
        <v>0.18243341600799101</v>
      </c>
      <c r="AN11" s="14">
        <v>0.13631057464437299</v>
      </c>
      <c r="AO11" s="14"/>
      <c r="AP11" s="14">
        <v>6.8387952435080598E-2</v>
      </c>
      <c r="AQ11" s="14">
        <v>8.0869246866347805E-2</v>
      </c>
      <c r="AR11" s="14"/>
      <c r="AS11" s="14">
        <v>7.4995230588268194E-2</v>
      </c>
      <c r="AT11" s="14" t="s">
        <v>88</v>
      </c>
      <c r="AU11" s="14" t="s">
        <v>88</v>
      </c>
      <c r="AV11" s="14"/>
      <c r="AW11" s="14">
        <v>7.3394831212737599E-2</v>
      </c>
      <c r="AX11" s="14">
        <v>7.6387969039437495E-2</v>
      </c>
      <c r="AY11" s="14"/>
      <c r="AZ11" s="14">
        <v>6.6113240413039301E-2</v>
      </c>
      <c r="BA11" s="14">
        <v>9.0605108771199205E-2</v>
      </c>
    </row>
    <row r="12" spans="2:53" x14ac:dyDescent="0.35">
      <c r="B12" s="15" t="s">
        <v>217</v>
      </c>
      <c r="C12" s="14">
        <v>4.25360872917558E-2</v>
      </c>
      <c r="D12" s="14">
        <v>3.0916079589449599E-2</v>
      </c>
      <c r="E12" s="14">
        <v>5.6221095103443898E-2</v>
      </c>
      <c r="F12" s="14"/>
      <c r="G12" s="14">
        <v>0.193659082651022</v>
      </c>
      <c r="H12" s="14">
        <v>6.9782692663023893E-2</v>
      </c>
      <c r="I12" s="14">
        <v>2.8915672795489501E-2</v>
      </c>
      <c r="J12" s="14">
        <v>3.0193435394126299E-2</v>
      </c>
      <c r="K12" s="14">
        <v>0</v>
      </c>
      <c r="L12" s="14" t="s">
        <v>88</v>
      </c>
      <c r="M12" s="14"/>
      <c r="N12" s="14">
        <v>6.5847069872197904E-3</v>
      </c>
      <c r="O12" s="14">
        <v>7.5323978992960394E-2</v>
      </c>
      <c r="P12" s="14">
        <v>5.8518130192232801E-2</v>
      </c>
      <c r="Q12" s="14">
        <v>3.8720388938011198E-2</v>
      </c>
      <c r="R12" s="14"/>
      <c r="S12" s="14">
        <v>2.0784614379439698E-2</v>
      </c>
      <c r="T12" s="14">
        <v>4.74095571286847E-2</v>
      </c>
      <c r="U12" s="14">
        <v>0.136965006497063</v>
      </c>
      <c r="V12" s="14">
        <v>2.4928946325703E-2</v>
      </c>
      <c r="W12" s="14">
        <v>0</v>
      </c>
      <c r="X12" s="14">
        <v>4.5205436651441597E-2</v>
      </c>
      <c r="Y12" s="14">
        <v>0</v>
      </c>
      <c r="Z12" s="14">
        <v>0</v>
      </c>
      <c r="AA12" s="14">
        <v>5.7226033922398598E-2</v>
      </c>
      <c r="AB12" s="14"/>
      <c r="AC12" s="14">
        <v>0.156376517138024</v>
      </c>
      <c r="AD12" s="14">
        <v>1.4973324102973799E-2</v>
      </c>
      <c r="AE12" s="14">
        <v>3.3785826978804202E-2</v>
      </c>
      <c r="AF12" s="14">
        <v>3.5045055906869897E-2</v>
      </c>
      <c r="AG12" s="14">
        <v>7.4589319216648395E-2</v>
      </c>
      <c r="AH12" s="14"/>
      <c r="AI12" s="14">
        <v>1.47166597565285E-2</v>
      </c>
      <c r="AJ12" s="14">
        <v>3.0243918651741E-2</v>
      </c>
      <c r="AK12" s="14">
        <v>0.12723079345232599</v>
      </c>
      <c r="AL12" s="14">
        <v>0.100507479754611</v>
      </c>
      <c r="AM12" s="14">
        <v>0</v>
      </c>
      <c r="AN12" s="14">
        <v>5.1339718960362803E-2</v>
      </c>
      <c r="AO12" s="14"/>
      <c r="AP12" s="14">
        <v>5.0943972475355398E-2</v>
      </c>
      <c r="AQ12" s="14">
        <v>3.5061291575934003E-2</v>
      </c>
      <c r="AR12" s="14"/>
      <c r="AS12" s="14">
        <v>4.25360872917558E-2</v>
      </c>
      <c r="AT12" s="14" t="s">
        <v>88</v>
      </c>
      <c r="AU12" s="14" t="s">
        <v>88</v>
      </c>
      <c r="AV12" s="14"/>
      <c r="AW12" s="14">
        <v>3.7939675418627403E-2</v>
      </c>
      <c r="AX12" s="14">
        <v>4.1469420097952403E-2</v>
      </c>
      <c r="AY12" s="14"/>
      <c r="AZ12" s="14">
        <v>4.13004642383158E-2</v>
      </c>
      <c r="BA12" s="14">
        <v>4.8788371116681703E-2</v>
      </c>
    </row>
    <row r="13" spans="2:53" x14ac:dyDescent="0.35">
      <c r="B13" s="15" t="s">
        <v>116</v>
      </c>
      <c r="C13" s="23">
        <v>4.63185313692525E-2</v>
      </c>
      <c r="D13" s="23">
        <v>4.1158406056035997E-2</v>
      </c>
      <c r="E13" s="23">
        <v>5.2395666344528198E-2</v>
      </c>
      <c r="F13" s="23"/>
      <c r="G13" s="23">
        <v>0</v>
      </c>
      <c r="H13" s="23">
        <v>2.2968731064511399E-2</v>
      </c>
      <c r="I13" s="23">
        <v>4.6395150993706898E-2</v>
      </c>
      <c r="J13" s="23">
        <v>9.6088187772997199E-2</v>
      </c>
      <c r="K13" s="23">
        <v>9.0134761123424098E-2</v>
      </c>
      <c r="L13" s="23" t="s">
        <v>88</v>
      </c>
      <c r="M13" s="23"/>
      <c r="N13" s="23">
        <v>4.6560691212626598E-2</v>
      </c>
      <c r="O13" s="23">
        <v>0</v>
      </c>
      <c r="P13" s="23">
        <v>0.106862255003532</v>
      </c>
      <c r="Q13" s="23">
        <v>4.3402681584471102E-2</v>
      </c>
      <c r="R13" s="23"/>
      <c r="S13" s="23">
        <v>0</v>
      </c>
      <c r="T13" s="23">
        <v>1.1712203067393999E-2</v>
      </c>
      <c r="U13" s="23">
        <v>0.144779607841175</v>
      </c>
      <c r="V13" s="23">
        <v>7.9919776769474898E-2</v>
      </c>
      <c r="W13" s="23">
        <v>0</v>
      </c>
      <c r="X13" s="23">
        <v>0.135573705814761</v>
      </c>
      <c r="Y13" s="23">
        <v>0</v>
      </c>
      <c r="Z13" s="23">
        <v>0</v>
      </c>
      <c r="AA13" s="23">
        <v>5.65716379371402E-2</v>
      </c>
      <c r="AB13" s="23"/>
      <c r="AC13" s="23">
        <v>4.8455509501590603E-2</v>
      </c>
      <c r="AD13" s="23">
        <v>6.6838036616043706E-2</v>
      </c>
      <c r="AE13" s="23">
        <v>5.9001565157643703E-2</v>
      </c>
      <c r="AF13" s="23">
        <v>7.0813049075594001E-3</v>
      </c>
      <c r="AG13" s="23">
        <v>8.1443451674662395E-2</v>
      </c>
      <c r="AH13" s="23"/>
      <c r="AI13" s="23">
        <v>1.0720510397196899E-2</v>
      </c>
      <c r="AJ13" s="23">
        <v>0</v>
      </c>
      <c r="AK13" s="23">
        <v>4.79454742956636E-2</v>
      </c>
      <c r="AL13" s="23">
        <v>5.4928513799269399E-2</v>
      </c>
      <c r="AM13" s="23">
        <v>0.11933226749358</v>
      </c>
      <c r="AN13" s="23">
        <v>3.1682861719722198E-2</v>
      </c>
      <c r="AO13" s="23"/>
      <c r="AP13" s="23">
        <v>4.3042021810123003E-2</v>
      </c>
      <c r="AQ13" s="23">
        <v>4.9231420767790302E-2</v>
      </c>
      <c r="AR13" s="23"/>
      <c r="AS13" s="23">
        <v>4.63185313692525E-2</v>
      </c>
      <c r="AT13" s="23" t="s">
        <v>88</v>
      </c>
      <c r="AU13" s="23" t="s">
        <v>88</v>
      </c>
      <c r="AV13" s="23"/>
      <c r="AW13" s="23">
        <v>6.1701385335229501E-2</v>
      </c>
      <c r="AX13" s="23">
        <v>0</v>
      </c>
      <c r="AY13" s="23"/>
      <c r="AZ13" s="23">
        <v>3.3238712324951999E-2</v>
      </c>
      <c r="BA13" s="23">
        <v>0.10287523922929601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BA19"/>
  <sheetViews>
    <sheetView showGridLines="0" workbookViewId="0">
      <pane xSplit="2" topLeftCell="C1" activePane="topRight" state="frozen"/>
      <selection pane="topRight" activeCell="BC9" sqref="BC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225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314</v>
      </c>
      <c r="D7" s="10">
        <v>142</v>
      </c>
      <c r="E7" s="10">
        <v>172</v>
      </c>
      <c r="F7" s="10"/>
      <c r="G7" s="10">
        <v>7</v>
      </c>
      <c r="H7" s="10">
        <v>111</v>
      </c>
      <c r="I7" s="10">
        <v>156</v>
      </c>
      <c r="J7" s="10">
        <v>30</v>
      </c>
      <c r="K7" s="10">
        <v>10</v>
      </c>
      <c r="L7" s="10" t="s">
        <v>87</v>
      </c>
      <c r="M7" s="10"/>
      <c r="N7" s="10">
        <v>157</v>
      </c>
      <c r="O7" s="10">
        <v>73</v>
      </c>
      <c r="P7" s="10">
        <v>42</v>
      </c>
      <c r="Q7" s="10">
        <v>42</v>
      </c>
      <c r="R7" s="10"/>
      <c r="S7" s="10">
        <v>73</v>
      </c>
      <c r="T7" s="10">
        <v>52</v>
      </c>
      <c r="U7" s="10">
        <v>29</v>
      </c>
      <c r="V7" s="10">
        <v>34</v>
      </c>
      <c r="W7" s="10">
        <v>17</v>
      </c>
      <c r="X7" s="10">
        <v>29</v>
      </c>
      <c r="Y7" s="10">
        <v>25</v>
      </c>
      <c r="Z7" s="10">
        <v>15</v>
      </c>
      <c r="AA7" s="10">
        <v>40</v>
      </c>
      <c r="AB7" s="10"/>
      <c r="AC7" s="10">
        <v>26</v>
      </c>
      <c r="AD7" s="10">
        <v>51</v>
      </c>
      <c r="AE7" s="10">
        <v>117</v>
      </c>
      <c r="AF7" s="10">
        <v>67</v>
      </c>
      <c r="AG7" s="10">
        <v>29</v>
      </c>
      <c r="AH7" s="10"/>
      <c r="AI7" s="10">
        <v>124</v>
      </c>
      <c r="AJ7" s="10">
        <v>55</v>
      </c>
      <c r="AK7" s="10">
        <v>35</v>
      </c>
      <c r="AL7" s="10">
        <v>39</v>
      </c>
      <c r="AM7" s="10">
        <v>17</v>
      </c>
      <c r="AN7" s="10">
        <v>21</v>
      </c>
      <c r="AO7" s="10"/>
      <c r="AP7" s="10">
        <v>158</v>
      </c>
      <c r="AQ7" s="10">
        <v>156</v>
      </c>
      <c r="AR7" s="10"/>
      <c r="AS7" s="10">
        <v>314</v>
      </c>
      <c r="AT7" s="10" t="s">
        <v>87</v>
      </c>
      <c r="AU7" s="10" t="s">
        <v>87</v>
      </c>
      <c r="AV7" s="10"/>
      <c r="AW7" s="10">
        <v>214</v>
      </c>
      <c r="AX7" s="10">
        <v>93</v>
      </c>
      <c r="AY7" s="10"/>
      <c r="AZ7" s="10">
        <v>259</v>
      </c>
      <c r="BA7" s="10">
        <v>54</v>
      </c>
    </row>
    <row r="8" spans="2:53" ht="30" customHeight="1" x14ac:dyDescent="0.35">
      <c r="B8" s="11" t="s">
        <v>19</v>
      </c>
      <c r="C8" s="11">
        <v>297</v>
      </c>
      <c r="D8" s="11">
        <v>160</v>
      </c>
      <c r="E8" s="11">
        <v>136</v>
      </c>
      <c r="F8" s="11"/>
      <c r="G8" s="11">
        <v>6</v>
      </c>
      <c r="H8" s="11">
        <v>82</v>
      </c>
      <c r="I8" s="11">
        <v>163</v>
      </c>
      <c r="J8" s="11">
        <v>33</v>
      </c>
      <c r="K8" s="11">
        <v>13</v>
      </c>
      <c r="L8" s="11" t="s">
        <v>87</v>
      </c>
      <c r="M8" s="11"/>
      <c r="N8" s="11">
        <v>93</v>
      </c>
      <c r="O8" s="11">
        <v>78</v>
      </c>
      <c r="P8" s="11">
        <v>63</v>
      </c>
      <c r="Q8" s="11">
        <v>63</v>
      </c>
      <c r="R8" s="11"/>
      <c r="S8" s="11">
        <v>58</v>
      </c>
      <c r="T8" s="11">
        <v>56</v>
      </c>
      <c r="U8" s="11">
        <v>37</v>
      </c>
      <c r="V8" s="11">
        <v>38</v>
      </c>
      <c r="W8" s="11">
        <v>18</v>
      </c>
      <c r="X8" s="11">
        <v>22</v>
      </c>
      <c r="Y8" s="11">
        <v>22</v>
      </c>
      <c r="Z8" s="11">
        <v>14</v>
      </c>
      <c r="AA8" s="11">
        <v>31</v>
      </c>
      <c r="AB8" s="11"/>
      <c r="AC8" s="11">
        <v>33</v>
      </c>
      <c r="AD8" s="11">
        <v>63</v>
      </c>
      <c r="AE8" s="11">
        <v>106</v>
      </c>
      <c r="AF8" s="11">
        <v>50</v>
      </c>
      <c r="AG8" s="11">
        <v>16</v>
      </c>
      <c r="AH8" s="11"/>
      <c r="AI8" s="11">
        <v>106</v>
      </c>
      <c r="AJ8" s="11">
        <v>50</v>
      </c>
      <c r="AK8" s="11">
        <v>35</v>
      </c>
      <c r="AL8" s="11">
        <v>41</v>
      </c>
      <c r="AM8" s="11">
        <v>17</v>
      </c>
      <c r="AN8" s="11">
        <v>19</v>
      </c>
      <c r="AO8" s="11"/>
      <c r="AP8" s="11">
        <v>140</v>
      </c>
      <c r="AQ8" s="11">
        <v>157</v>
      </c>
      <c r="AR8" s="11"/>
      <c r="AS8" s="11">
        <v>297</v>
      </c>
      <c r="AT8" s="11" t="s">
        <v>87</v>
      </c>
      <c r="AU8" s="11" t="s">
        <v>87</v>
      </c>
      <c r="AV8" s="11"/>
      <c r="AW8" s="11">
        <v>223</v>
      </c>
      <c r="AX8" s="11">
        <v>66</v>
      </c>
      <c r="AY8" s="11"/>
      <c r="AZ8" s="11">
        <v>239</v>
      </c>
      <c r="BA8" s="11">
        <v>56</v>
      </c>
    </row>
    <row r="9" spans="2:53" x14ac:dyDescent="0.35">
      <c r="B9" s="15" t="s">
        <v>220</v>
      </c>
      <c r="C9" s="14">
        <v>0.306788554190916</v>
      </c>
      <c r="D9" s="14">
        <v>0.299215588266526</v>
      </c>
      <c r="E9" s="14">
        <v>0.315707317455794</v>
      </c>
      <c r="F9" s="14"/>
      <c r="G9" s="14">
        <v>0.64510247972030399</v>
      </c>
      <c r="H9" s="14">
        <v>0.33115056373422402</v>
      </c>
      <c r="I9" s="14">
        <v>0.29137185811052102</v>
      </c>
      <c r="J9" s="14">
        <v>0.198722012706463</v>
      </c>
      <c r="K9" s="14">
        <v>0.46281906084152302</v>
      </c>
      <c r="L9" s="14" t="s">
        <v>88</v>
      </c>
      <c r="M9" s="14"/>
      <c r="N9" s="14">
        <v>0.31256324322078299</v>
      </c>
      <c r="O9" s="14">
        <v>0.247783353908514</v>
      </c>
      <c r="P9" s="14">
        <v>0.30407417601311798</v>
      </c>
      <c r="Q9" s="14">
        <v>0.37466297427392697</v>
      </c>
      <c r="R9" s="14"/>
      <c r="S9" s="14">
        <v>0.39553035725332902</v>
      </c>
      <c r="T9" s="14">
        <v>0.27378734692905199</v>
      </c>
      <c r="U9" s="14">
        <v>0.23925641635124401</v>
      </c>
      <c r="V9" s="14">
        <v>0.44130267778447202</v>
      </c>
      <c r="W9" s="14">
        <v>0.41754003519071198</v>
      </c>
      <c r="X9" s="14">
        <v>0.198319852909079</v>
      </c>
      <c r="Y9" s="14">
        <v>0.33057444063376201</v>
      </c>
      <c r="Z9" s="14">
        <v>0.25121494584360299</v>
      </c>
      <c r="AA9" s="14">
        <v>0.135807296866396</v>
      </c>
      <c r="AB9" s="14"/>
      <c r="AC9" s="14">
        <v>0.31362148163660603</v>
      </c>
      <c r="AD9" s="14">
        <v>0.19231834578295601</v>
      </c>
      <c r="AE9" s="14">
        <v>0.30709642168574403</v>
      </c>
      <c r="AF9" s="14">
        <v>0.45708872556390001</v>
      </c>
      <c r="AG9" s="14">
        <v>0.36889219697855702</v>
      </c>
      <c r="AH9" s="14"/>
      <c r="AI9" s="14">
        <v>0.36830556794963598</v>
      </c>
      <c r="AJ9" s="14">
        <v>0.370001370153767</v>
      </c>
      <c r="AK9" s="14">
        <v>0.153730343605054</v>
      </c>
      <c r="AL9" s="14">
        <v>0.23754786009008799</v>
      </c>
      <c r="AM9" s="14">
        <v>0.22504380672294999</v>
      </c>
      <c r="AN9" s="14">
        <v>0.27360928538674401</v>
      </c>
      <c r="AO9" s="14"/>
      <c r="AP9" s="14">
        <v>0.35042956009603199</v>
      </c>
      <c r="AQ9" s="14">
        <v>0.26799073561342102</v>
      </c>
      <c r="AR9" s="14"/>
      <c r="AS9" s="14">
        <v>0.306788554190916</v>
      </c>
      <c r="AT9" s="14" t="s">
        <v>88</v>
      </c>
      <c r="AU9" s="14" t="s">
        <v>88</v>
      </c>
      <c r="AV9" s="14"/>
      <c r="AW9" s="14">
        <v>0.271643839458722</v>
      </c>
      <c r="AX9" s="14">
        <v>0.42280068789675002</v>
      </c>
      <c r="AY9" s="14"/>
      <c r="AZ9" s="14">
        <v>0.30993260504027498</v>
      </c>
      <c r="BA9" s="14">
        <v>0.30077092275344902</v>
      </c>
    </row>
    <row r="10" spans="2:53" x14ac:dyDescent="0.35">
      <c r="B10" s="15" t="s">
        <v>221</v>
      </c>
      <c r="C10" s="14">
        <v>0.49446334206341003</v>
      </c>
      <c r="D10" s="14">
        <v>0.52632947645825601</v>
      </c>
      <c r="E10" s="14">
        <v>0.45693425350392303</v>
      </c>
      <c r="F10" s="14"/>
      <c r="G10" s="14">
        <v>0.21031812152537299</v>
      </c>
      <c r="H10" s="14">
        <v>0.48115356089802702</v>
      </c>
      <c r="I10" s="14">
        <v>0.53062002653381701</v>
      </c>
      <c r="J10" s="14">
        <v>0.54721415683237895</v>
      </c>
      <c r="K10" s="14">
        <v>0.11507260074822701</v>
      </c>
      <c r="L10" s="14" t="s">
        <v>88</v>
      </c>
      <c r="M10" s="14"/>
      <c r="N10" s="14">
        <v>0.47453758663355</v>
      </c>
      <c r="O10" s="14">
        <v>0.59440795801466695</v>
      </c>
      <c r="P10" s="14">
        <v>0.45221823894618202</v>
      </c>
      <c r="Q10" s="14">
        <v>0.441209285734528</v>
      </c>
      <c r="R10" s="14"/>
      <c r="S10" s="14">
        <v>0.56175584589240202</v>
      </c>
      <c r="T10" s="14">
        <v>0.61702987078863203</v>
      </c>
      <c r="U10" s="14">
        <v>0.53894541049627098</v>
      </c>
      <c r="V10" s="14">
        <v>0.240857509452438</v>
      </c>
      <c r="W10" s="14">
        <v>0.50340687734879797</v>
      </c>
      <c r="X10" s="14">
        <v>0.41637402528699502</v>
      </c>
      <c r="Y10" s="14">
        <v>0.33528133313493802</v>
      </c>
      <c r="Z10" s="14">
        <v>0.60999694613436195</v>
      </c>
      <c r="AA10" s="14">
        <v>0.51452631200153798</v>
      </c>
      <c r="AB10" s="14"/>
      <c r="AC10" s="14">
        <v>0.39771206389840502</v>
      </c>
      <c r="AD10" s="14">
        <v>0.50328323673117703</v>
      </c>
      <c r="AE10" s="14">
        <v>0.51470027209185298</v>
      </c>
      <c r="AF10" s="14">
        <v>0.45553646645323598</v>
      </c>
      <c r="AG10" s="14">
        <v>0.493154292701243</v>
      </c>
      <c r="AH10" s="14"/>
      <c r="AI10" s="14">
        <v>0.472396177235894</v>
      </c>
      <c r="AJ10" s="14">
        <v>0.47325540179370901</v>
      </c>
      <c r="AK10" s="14">
        <v>0.63997134231125896</v>
      </c>
      <c r="AL10" s="14">
        <v>0.572375737280442</v>
      </c>
      <c r="AM10" s="14">
        <v>0.48842415609656298</v>
      </c>
      <c r="AN10" s="14">
        <v>0.52879835428925404</v>
      </c>
      <c r="AO10" s="14"/>
      <c r="AP10" s="14">
        <v>0.479934452924762</v>
      </c>
      <c r="AQ10" s="14">
        <v>0.507379845550048</v>
      </c>
      <c r="AR10" s="14"/>
      <c r="AS10" s="14">
        <v>0.49446334206341003</v>
      </c>
      <c r="AT10" s="14" t="s">
        <v>88</v>
      </c>
      <c r="AU10" s="14" t="s">
        <v>88</v>
      </c>
      <c r="AV10" s="14"/>
      <c r="AW10" s="14">
        <v>0.49978992208217299</v>
      </c>
      <c r="AX10" s="14">
        <v>0.454568737685628</v>
      </c>
      <c r="AY10" s="14"/>
      <c r="AZ10" s="14">
        <v>0.51201725424100697</v>
      </c>
      <c r="BA10" s="14">
        <v>0.43182703292020902</v>
      </c>
    </row>
    <row r="11" spans="2:53" x14ac:dyDescent="0.35">
      <c r="B11" s="15" t="s">
        <v>222</v>
      </c>
      <c r="C11" s="14">
        <v>0.12918486148489899</v>
      </c>
      <c r="D11" s="14">
        <v>0.12627443844633701</v>
      </c>
      <c r="E11" s="14">
        <v>0.13261249794077901</v>
      </c>
      <c r="F11" s="14"/>
      <c r="G11" s="14">
        <v>0</v>
      </c>
      <c r="H11" s="14">
        <v>8.2550762372610303E-2</v>
      </c>
      <c r="I11" s="14">
        <v>0.13374898248147299</v>
      </c>
      <c r="J11" s="14">
        <v>0.209325724270745</v>
      </c>
      <c r="K11" s="14">
        <v>0.227685571982158</v>
      </c>
      <c r="L11" s="14" t="s">
        <v>88</v>
      </c>
      <c r="M11" s="14"/>
      <c r="N11" s="14">
        <v>0.14144800850918399</v>
      </c>
      <c r="O11" s="14">
        <v>0.121120324169884</v>
      </c>
      <c r="P11" s="14">
        <v>0.109566418639243</v>
      </c>
      <c r="Q11" s="14">
        <v>0.140725058407074</v>
      </c>
      <c r="R11" s="14"/>
      <c r="S11" s="14">
        <v>4.2713796854269598E-2</v>
      </c>
      <c r="T11" s="14">
        <v>6.13856986634191E-2</v>
      </c>
      <c r="U11" s="14">
        <v>0.14468799527686499</v>
      </c>
      <c r="V11" s="14">
        <v>0.21475311251427601</v>
      </c>
      <c r="W11" s="14">
        <v>7.9053087460489696E-2</v>
      </c>
      <c r="X11" s="14">
        <v>0.19031702755066199</v>
      </c>
      <c r="Y11" s="14">
        <v>0.26047529033640898</v>
      </c>
      <c r="Z11" s="14">
        <v>0.13878810802203501</v>
      </c>
      <c r="AA11" s="14">
        <v>0.17861656519435401</v>
      </c>
      <c r="AB11" s="14"/>
      <c r="AC11" s="14">
        <v>0.20497934232100701</v>
      </c>
      <c r="AD11" s="14">
        <v>0.16619749461139799</v>
      </c>
      <c r="AE11" s="14">
        <v>0.12623312085333799</v>
      </c>
      <c r="AF11" s="14">
        <v>4.7880770877886197E-2</v>
      </c>
      <c r="AG11" s="14">
        <v>9.7000930471777394E-2</v>
      </c>
      <c r="AH11" s="14"/>
      <c r="AI11" s="14">
        <v>0.106709427693814</v>
      </c>
      <c r="AJ11" s="14">
        <v>8.7203736509109203E-2</v>
      </c>
      <c r="AK11" s="14">
        <v>0.12993755698178699</v>
      </c>
      <c r="AL11" s="14">
        <v>5.9669504792926098E-2</v>
      </c>
      <c r="AM11" s="14">
        <v>0.19770735067485601</v>
      </c>
      <c r="AN11" s="14">
        <v>0.16132970194519999</v>
      </c>
      <c r="AO11" s="14"/>
      <c r="AP11" s="14">
        <v>0.114640666538092</v>
      </c>
      <c r="AQ11" s="14">
        <v>0.14211497217319999</v>
      </c>
      <c r="AR11" s="14"/>
      <c r="AS11" s="14">
        <v>0.12918486148489899</v>
      </c>
      <c r="AT11" s="14" t="s">
        <v>88</v>
      </c>
      <c r="AU11" s="14" t="s">
        <v>88</v>
      </c>
      <c r="AV11" s="14"/>
      <c r="AW11" s="14">
        <v>0.155389038451062</v>
      </c>
      <c r="AX11" s="14">
        <v>5.6589284259433999E-2</v>
      </c>
      <c r="AY11" s="14"/>
      <c r="AZ11" s="14">
        <v>0.122259762490778</v>
      </c>
      <c r="BA11" s="14">
        <v>0.16162319319132601</v>
      </c>
    </row>
    <row r="12" spans="2:53" x14ac:dyDescent="0.35">
      <c r="B12" s="15" t="s">
        <v>223</v>
      </c>
      <c r="C12" s="14">
        <v>1.38028408195499E-2</v>
      </c>
      <c r="D12" s="14">
        <v>0</v>
      </c>
      <c r="E12" s="14">
        <v>3.0058594626110699E-2</v>
      </c>
      <c r="F12" s="14"/>
      <c r="G12" s="14">
        <v>0</v>
      </c>
      <c r="H12" s="14">
        <v>2.27040629807382E-2</v>
      </c>
      <c r="I12" s="14">
        <v>1.37097828656091E-2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8.9094028374813207E-3</v>
      </c>
      <c r="P12" s="14">
        <v>5.4187739546498803E-2</v>
      </c>
      <c r="Q12" s="14">
        <v>0</v>
      </c>
      <c r="R12" s="14"/>
      <c r="S12" s="14">
        <v>0</v>
      </c>
      <c r="T12" s="14">
        <v>2.2176457646503001E-2</v>
      </c>
      <c r="U12" s="14">
        <v>0</v>
      </c>
      <c r="V12" s="14">
        <v>0</v>
      </c>
      <c r="W12" s="14">
        <v>0</v>
      </c>
      <c r="X12" s="14">
        <v>7.7135282951516101E-2</v>
      </c>
      <c r="Y12" s="14">
        <v>0</v>
      </c>
      <c r="Z12" s="14">
        <v>0</v>
      </c>
      <c r="AA12" s="14">
        <v>3.7448239585300601E-2</v>
      </c>
      <c r="AB12" s="14"/>
      <c r="AC12" s="14">
        <v>3.5231602642390503E-2</v>
      </c>
      <c r="AD12" s="14">
        <v>3.0758177124726799E-2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1.9668247571262301E-2</v>
      </c>
      <c r="AK12" s="14">
        <v>0</v>
      </c>
      <c r="AL12" s="14">
        <v>5.8734495784939E-2</v>
      </c>
      <c r="AM12" s="14">
        <v>0</v>
      </c>
      <c r="AN12" s="14">
        <v>3.6262658378802097E-2</v>
      </c>
      <c r="AO12" s="14"/>
      <c r="AP12" s="14">
        <v>1.2093105592661701E-2</v>
      </c>
      <c r="AQ12" s="14">
        <v>1.5322833215980601E-2</v>
      </c>
      <c r="AR12" s="14"/>
      <c r="AS12" s="14">
        <v>1.38028408195499E-2</v>
      </c>
      <c r="AT12" s="14" t="s">
        <v>88</v>
      </c>
      <c r="AU12" s="14" t="s">
        <v>88</v>
      </c>
      <c r="AV12" s="14"/>
      <c r="AW12" s="14">
        <v>1.8386904224973698E-2</v>
      </c>
      <c r="AX12" s="14">
        <v>0</v>
      </c>
      <c r="AY12" s="14"/>
      <c r="AZ12" s="14">
        <v>7.7634455083295502E-3</v>
      </c>
      <c r="BA12" s="14">
        <v>3.9736236087940698E-2</v>
      </c>
    </row>
    <row r="13" spans="2:53" x14ac:dyDescent="0.35">
      <c r="B13" s="15" t="s">
        <v>116</v>
      </c>
      <c r="C13" s="18">
        <v>1.10856955220121E-2</v>
      </c>
      <c r="D13" s="18">
        <v>1.2125646866323499E-2</v>
      </c>
      <c r="E13" s="18">
        <v>9.8609336599479493E-3</v>
      </c>
      <c r="F13" s="18"/>
      <c r="G13" s="18">
        <v>0</v>
      </c>
      <c r="H13" s="18">
        <v>2.0787495595694198E-2</v>
      </c>
      <c r="I13" s="18">
        <v>9.7341162544490809E-3</v>
      </c>
      <c r="J13" s="18">
        <v>0</v>
      </c>
      <c r="K13" s="18">
        <v>0</v>
      </c>
      <c r="L13" s="18" t="s">
        <v>88</v>
      </c>
      <c r="M13" s="18"/>
      <c r="N13" s="18">
        <v>3.83020517021492E-3</v>
      </c>
      <c r="O13" s="18">
        <v>0</v>
      </c>
      <c r="P13" s="18">
        <v>2.1435296463133899E-2</v>
      </c>
      <c r="Q13" s="18">
        <v>2.5316748655100502E-2</v>
      </c>
      <c r="R13" s="18"/>
      <c r="S13" s="18">
        <v>0</v>
      </c>
      <c r="T13" s="18">
        <v>0</v>
      </c>
      <c r="U13" s="18">
        <v>0</v>
      </c>
      <c r="V13" s="18">
        <v>4.4626029103523299E-2</v>
      </c>
      <c r="W13" s="18">
        <v>0</v>
      </c>
      <c r="X13" s="18">
        <v>7.2648374078865596E-2</v>
      </c>
      <c r="Y13" s="18">
        <v>0</v>
      </c>
      <c r="Z13" s="18">
        <v>0</v>
      </c>
      <c r="AA13" s="18">
        <v>0</v>
      </c>
      <c r="AB13" s="18"/>
      <c r="AC13" s="18">
        <v>4.8455509501590603E-2</v>
      </c>
      <c r="AD13" s="18">
        <v>2.11988436446254E-2</v>
      </c>
      <c r="AE13" s="18">
        <v>0</v>
      </c>
      <c r="AF13" s="18">
        <v>7.0813049075594001E-3</v>
      </c>
      <c r="AG13" s="18">
        <v>0</v>
      </c>
      <c r="AH13" s="18"/>
      <c r="AI13" s="18">
        <v>0</v>
      </c>
      <c r="AJ13" s="18">
        <v>0</v>
      </c>
      <c r="AK13" s="18">
        <v>1.0200199692641E-2</v>
      </c>
      <c r="AL13" s="18">
        <v>3.8813016146352498E-2</v>
      </c>
      <c r="AM13" s="18">
        <v>0</v>
      </c>
      <c r="AN13" s="18">
        <v>0</v>
      </c>
      <c r="AO13" s="18"/>
      <c r="AP13" s="18">
        <v>1.3933744427641699E-2</v>
      </c>
      <c r="AQ13" s="18">
        <v>8.5537171120576797E-3</v>
      </c>
      <c r="AR13" s="18"/>
      <c r="AS13" s="18">
        <v>1.10856955220121E-2</v>
      </c>
      <c r="AT13" s="18" t="s">
        <v>88</v>
      </c>
      <c r="AU13" s="18" t="s">
        <v>88</v>
      </c>
      <c r="AV13" s="18"/>
      <c r="AW13" s="18">
        <v>1.47673674206078E-2</v>
      </c>
      <c r="AX13" s="18">
        <v>0</v>
      </c>
      <c r="AY13" s="18"/>
      <c r="AZ13" s="18">
        <v>1.4864569266919E-3</v>
      </c>
      <c r="BA13" s="18">
        <v>2.8213221564910899E-2</v>
      </c>
    </row>
    <row r="14" spans="2:53" x14ac:dyDescent="0.35">
      <c r="B14" s="26" t="s">
        <v>224</v>
      </c>
      <c r="C14" s="27">
        <v>0.80125189625432702</v>
      </c>
      <c r="D14" s="27">
        <v>0.82554506472478195</v>
      </c>
      <c r="E14" s="27">
        <v>0.77264157095971797</v>
      </c>
      <c r="F14" s="27"/>
      <c r="G14" s="27">
        <v>0.85542060124567698</v>
      </c>
      <c r="H14" s="27">
        <v>0.81230412463225099</v>
      </c>
      <c r="I14" s="27">
        <v>0.82199188464433803</v>
      </c>
      <c r="J14" s="27">
        <v>0.74593616953884201</v>
      </c>
      <c r="K14" s="27">
        <v>0.57789166158975003</v>
      </c>
      <c r="L14" s="27" t="s">
        <v>88</v>
      </c>
      <c r="M14" s="27"/>
      <c r="N14" s="27">
        <v>0.78710082985433305</v>
      </c>
      <c r="O14" s="27">
        <v>0.84219131192318097</v>
      </c>
      <c r="P14" s="27">
        <v>0.756292414959299</v>
      </c>
      <c r="Q14" s="27">
        <v>0.81587226000845503</v>
      </c>
      <c r="R14" s="27"/>
      <c r="S14" s="27">
        <v>0.95728620314573099</v>
      </c>
      <c r="T14" s="27">
        <v>0.89081721771768396</v>
      </c>
      <c r="U14" s="27">
        <v>0.77820182684751504</v>
      </c>
      <c r="V14" s="27">
        <v>0.68216018723690997</v>
      </c>
      <c r="W14" s="27">
        <v>0.92094691253951</v>
      </c>
      <c r="X14" s="27">
        <v>0.61469387819607402</v>
      </c>
      <c r="Y14" s="27">
        <v>0.66585577376869998</v>
      </c>
      <c r="Z14" s="27">
        <v>0.86121189197796499</v>
      </c>
      <c r="AA14" s="27">
        <v>0.65033360886793301</v>
      </c>
      <c r="AB14" s="27"/>
      <c r="AC14" s="27">
        <v>0.71133354553501205</v>
      </c>
      <c r="AD14" s="27">
        <v>0.69560158251413295</v>
      </c>
      <c r="AE14" s="27">
        <v>0.82179669377759601</v>
      </c>
      <c r="AF14" s="27">
        <v>0.91262519201713599</v>
      </c>
      <c r="AG14" s="27">
        <v>0.86204648967980002</v>
      </c>
      <c r="AH14" s="27"/>
      <c r="AI14" s="27">
        <v>0.84070174518553098</v>
      </c>
      <c r="AJ14" s="27">
        <v>0.84325677194747595</v>
      </c>
      <c r="AK14" s="27">
        <v>0.79370168591631296</v>
      </c>
      <c r="AL14" s="27">
        <v>0.80992359737052899</v>
      </c>
      <c r="AM14" s="27">
        <v>0.71346796281951297</v>
      </c>
      <c r="AN14" s="27">
        <v>0.80240763967599804</v>
      </c>
      <c r="AO14" s="27"/>
      <c r="AP14" s="27">
        <v>0.83036401302079399</v>
      </c>
      <c r="AQ14" s="27">
        <v>0.77537058116346902</v>
      </c>
      <c r="AR14" s="27"/>
      <c r="AS14" s="27">
        <v>0.80125189625432702</v>
      </c>
      <c r="AT14" s="27" t="s">
        <v>88</v>
      </c>
      <c r="AU14" s="27" t="s">
        <v>88</v>
      </c>
      <c r="AV14" s="27"/>
      <c r="AW14" s="27">
        <v>0.77143376154089405</v>
      </c>
      <c r="AX14" s="27">
        <v>0.87736942558237796</v>
      </c>
      <c r="AY14" s="27"/>
      <c r="AZ14" s="27">
        <v>0.82194985928128195</v>
      </c>
      <c r="BA14" s="27">
        <v>0.73259795567365804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230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314</v>
      </c>
      <c r="D7" s="10">
        <v>142</v>
      </c>
      <c r="E7" s="10">
        <v>172</v>
      </c>
      <c r="F7" s="10"/>
      <c r="G7" s="10">
        <v>7</v>
      </c>
      <c r="H7" s="10">
        <v>111</v>
      </c>
      <c r="I7" s="10">
        <v>156</v>
      </c>
      <c r="J7" s="10">
        <v>30</v>
      </c>
      <c r="K7" s="10">
        <v>10</v>
      </c>
      <c r="L7" s="10" t="s">
        <v>87</v>
      </c>
      <c r="M7" s="10"/>
      <c r="N7" s="10">
        <v>157</v>
      </c>
      <c r="O7" s="10">
        <v>73</v>
      </c>
      <c r="P7" s="10">
        <v>42</v>
      </c>
      <c r="Q7" s="10">
        <v>42</v>
      </c>
      <c r="R7" s="10"/>
      <c r="S7" s="10">
        <v>73</v>
      </c>
      <c r="T7" s="10">
        <v>52</v>
      </c>
      <c r="U7" s="10">
        <v>29</v>
      </c>
      <c r="V7" s="10">
        <v>34</v>
      </c>
      <c r="W7" s="10">
        <v>17</v>
      </c>
      <c r="X7" s="10">
        <v>29</v>
      </c>
      <c r="Y7" s="10">
        <v>25</v>
      </c>
      <c r="Z7" s="10">
        <v>15</v>
      </c>
      <c r="AA7" s="10">
        <v>40</v>
      </c>
      <c r="AB7" s="10"/>
      <c r="AC7" s="10">
        <v>26</v>
      </c>
      <c r="AD7" s="10">
        <v>51</v>
      </c>
      <c r="AE7" s="10">
        <v>117</v>
      </c>
      <c r="AF7" s="10">
        <v>67</v>
      </c>
      <c r="AG7" s="10">
        <v>29</v>
      </c>
      <c r="AH7" s="10"/>
      <c r="AI7" s="10">
        <v>124</v>
      </c>
      <c r="AJ7" s="10">
        <v>55</v>
      </c>
      <c r="AK7" s="10">
        <v>35</v>
      </c>
      <c r="AL7" s="10">
        <v>39</v>
      </c>
      <c r="AM7" s="10">
        <v>17</v>
      </c>
      <c r="AN7" s="10">
        <v>21</v>
      </c>
      <c r="AO7" s="10"/>
      <c r="AP7" s="10">
        <v>158</v>
      </c>
      <c r="AQ7" s="10">
        <v>156</v>
      </c>
      <c r="AR7" s="10"/>
      <c r="AS7" s="10">
        <v>314</v>
      </c>
      <c r="AT7" s="10" t="s">
        <v>87</v>
      </c>
      <c r="AU7" s="10" t="s">
        <v>87</v>
      </c>
      <c r="AV7" s="10"/>
      <c r="AW7" s="10">
        <v>214</v>
      </c>
      <c r="AX7" s="10">
        <v>93</v>
      </c>
      <c r="AY7" s="10"/>
      <c r="AZ7" s="10">
        <v>259</v>
      </c>
      <c r="BA7" s="10">
        <v>54</v>
      </c>
    </row>
    <row r="8" spans="2:53" ht="30" customHeight="1" x14ac:dyDescent="0.35">
      <c r="B8" s="11" t="s">
        <v>19</v>
      </c>
      <c r="C8" s="11">
        <v>297</v>
      </c>
      <c r="D8" s="11">
        <v>160</v>
      </c>
      <c r="E8" s="11">
        <v>136</v>
      </c>
      <c r="F8" s="11"/>
      <c r="G8" s="11">
        <v>6</v>
      </c>
      <c r="H8" s="11">
        <v>82</v>
      </c>
      <c r="I8" s="11">
        <v>163</v>
      </c>
      <c r="J8" s="11">
        <v>33</v>
      </c>
      <c r="K8" s="11">
        <v>13</v>
      </c>
      <c r="L8" s="11" t="s">
        <v>87</v>
      </c>
      <c r="M8" s="11"/>
      <c r="N8" s="11">
        <v>93</v>
      </c>
      <c r="O8" s="11">
        <v>78</v>
      </c>
      <c r="P8" s="11">
        <v>63</v>
      </c>
      <c r="Q8" s="11">
        <v>63</v>
      </c>
      <c r="R8" s="11"/>
      <c r="S8" s="11">
        <v>58</v>
      </c>
      <c r="T8" s="11">
        <v>56</v>
      </c>
      <c r="U8" s="11">
        <v>37</v>
      </c>
      <c r="V8" s="11">
        <v>38</v>
      </c>
      <c r="W8" s="11">
        <v>18</v>
      </c>
      <c r="X8" s="11">
        <v>22</v>
      </c>
      <c r="Y8" s="11">
        <v>22</v>
      </c>
      <c r="Z8" s="11">
        <v>14</v>
      </c>
      <c r="AA8" s="11">
        <v>31</v>
      </c>
      <c r="AB8" s="11"/>
      <c r="AC8" s="11">
        <v>33</v>
      </c>
      <c r="AD8" s="11">
        <v>63</v>
      </c>
      <c r="AE8" s="11">
        <v>106</v>
      </c>
      <c r="AF8" s="11">
        <v>50</v>
      </c>
      <c r="AG8" s="11">
        <v>16</v>
      </c>
      <c r="AH8" s="11"/>
      <c r="AI8" s="11">
        <v>106</v>
      </c>
      <c r="AJ8" s="11">
        <v>50</v>
      </c>
      <c r="AK8" s="11">
        <v>35</v>
      </c>
      <c r="AL8" s="11">
        <v>41</v>
      </c>
      <c r="AM8" s="11">
        <v>17</v>
      </c>
      <c r="AN8" s="11">
        <v>19</v>
      </c>
      <c r="AO8" s="11"/>
      <c r="AP8" s="11">
        <v>140</v>
      </c>
      <c r="AQ8" s="11">
        <v>157</v>
      </c>
      <c r="AR8" s="11"/>
      <c r="AS8" s="11">
        <v>297</v>
      </c>
      <c r="AT8" s="11" t="s">
        <v>87</v>
      </c>
      <c r="AU8" s="11" t="s">
        <v>87</v>
      </c>
      <c r="AV8" s="11"/>
      <c r="AW8" s="11">
        <v>223</v>
      </c>
      <c r="AX8" s="11">
        <v>66</v>
      </c>
      <c r="AY8" s="11"/>
      <c r="AZ8" s="11">
        <v>239</v>
      </c>
      <c r="BA8" s="11">
        <v>56</v>
      </c>
    </row>
    <row r="9" spans="2:53" x14ac:dyDescent="0.35">
      <c r="B9" s="15" t="s">
        <v>226</v>
      </c>
      <c r="C9" s="14">
        <v>0.35540629972389698</v>
      </c>
      <c r="D9" s="14">
        <v>0.33820590198869099</v>
      </c>
      <c r="E9" s="14">
        <v>0.37566339278277</v>
      </c>
      <c r="F9" s="14"/>
      <c r="G9" s="14">
        <v>0.45144339706928199</v>
      </c>
      <c r="H9" s="14">
        <v>0.42066067776948801</v>
      </c>
      <c r="I9" s="14">
        <v>0.326846758905603</v>
      </c>
      <c r="J9" s="14">
        <v>0.27629541749835701</v>
      </c>
      <c r="K9" s="14">
        <v>0.46088153653795499</v>
      </c>
      <c r="L9" s="14" t="s">
        <v>88</v>
      </c>
      <c r="M9" s="14"/>
      <c r="N9" s="14">
        <v>0.27961500050565802</v>
      </c>
      <c r="O9" s="14">
        <v>0.32193672145371299</v>
      </c>
      <c r="P9" s="14">
        <v>0.39229740840573901</v>
      </c>
      <c r="Q9" s="14">
        <v>0.47229866719434799</v>
      </c>
      <c r="R9" s="14"/>
      <c r="S9" s="14">
        <v>0.41113312535663199</v>
      </c>
      <c r="T9" s="14">
        <v>0.36459661538914201</v>
      </c>
      <c r="U9" s="14">
        <v>0.35118311620399101</v>
      </c>
      <c r="V9" s="14">
        <v>0.51926504834879506</v>
      </c>
      <c r="W9" s="14">
        <v>0.30941684650139001</v>
      </c>
      <c r="X9" s="14">
        <v>0.319683612711746</v>
      </c>
      <c r="Y9" s="14">
        <v>0.30137614046522399</v>
      </c>
      <c r="Z9" s="14">
        <v>0.15643290072044599</v>
      </c>
      <c r="AA9" s="14">
        <v>0.22128780947757801</v>
      </c>
      <c r="AB9" s="14"/>
      <c r="AC9" s="14">
        <v>0.41996202475871403</v>
      </c>
      <c r="AD9" s="14">
        <v>0.35203647797455301</v>
      </c>
      <c r="AE9" s="14">
        <v>0.35334515057480198</v>
      </c>
      <c r="AF9" s="14">
        <v>0.34504016169969298</v>
      </c>
      <c r="AG9" s="14">
        <v>0.29872781570051599</v>
      </c>
      <c r="AH9" s="14"/>
      <c r="AI9" s="14">
        <v>0.37794900254297198</v>
      </c>
      <c r="AJ9" s="14">
        <v>0.35709235439169101</v>
      </c>
      <c r="AK9" s="14">
        <v>0.23072283034140501</v>
      </c>
      <c r="AL9" s="14">
        <v>0.265636486692025</v>
      </c>
      <c r="AM9" s="14">
        <v>0.45960004083964401</v>
      </c>
      <c r="AN9" s="14">
        <v>0.38981371237998402</v>
      </c>
      <c r="AO9" s="14"/>
      <c r="AP9" s="14">
        <v>0.37064237408144701</v>
      </c>
      <c r="AQ9" s="14">
        <v>0.34186109295110401</v>
      </c>
      <c r="AR9" s="14"/>
      <c r="AS9" s="14">
        <v>0.35540629972389698</v>
      </c>
      <c r="AT9" s="14" t="s">
        <v>88</v>
      </c>
      <c r="AU9" s="14" t="s">
        <v>88</v>
      </c>
      <c r="AV9" s="14"/>
      <c r="AW9" s="14">
        <v>0.33705324536207198</v>
      </c>
      <c r="AX9" s="14">
        <v>0.398636845868996</v>
      </c>
      <c r="AY9" s="14"/>
      <c r="AZ9" s="14">
        <v>0.35687386394898601</v>
      </c>
      <c r="BA9" s="14">
        <v>0.33382166048957801</v>
      </c>
    </row>
    <row r="10" spans="2:53" x14ac:dyDescent="0.35">
      <c r="B10" s="15" t="s">
        <v>227</v>
      </c>
      <c r="C10" s="14">
        <v>0.365500474444658</v>
      </c>
      <c r="D10" s="14">
        <v>0.36161311536053897</v>
      </c>
      <c r="E10" s="14">
        <v>0.370078658968791</v>
      </c>
      <c r="F10" s="14"/>
      <c r="G10" s="14">
        <v>0.21031812152537299</v>
      </c>
      <c r="H10" s="14">
        <v>0.37595548870852602</v>
      </c>
      <c r="I10" s="14">
        <v>0.39241473939626498</v>
      </c>
      <c r="J10" s="14">
        <v>0.31743712950153002</v>
      </c>
      <c r="K10" s="14">
        <v>0.15037540696137999</v>
      </c>
      <c r="L10" s="14" t="s">
        <v>88</v>
      </c>
      <c r="M10" s="14"/>
      <c r="N10" s="14">
        <v>0.44995202200323597</v>
      </c>
      <c r="O10" s="14">
        <v>0.35709444590152001</v>
      </c>
      <c r="P10" s="14">
        <v>0.30307320284182698</v>
      </c>
      <c r="Q10" s="14">
        <v>0.313598805221463</v>
      </c>
      <c r="R10" s="14"/>
      <c r="S10" s="14">
        <v>0.40054804160186003</v>
      </c>
      <c r="T10" s="14">
        <v>0.33584000093511801</v>
      </c>
      <c r="U10" s="14">
        <v>0.291975103501808</v>
      </c>
      <c r="V10" s="14">
        <v>0.21029480775950701</v>
      </c>
      <c r="W10" s="14">
        <v>0.38144088520059299</v>
      </c>
      <c r="X10" s="14">
        <v>0.43326049263201899</v>
      </c>
      <c r="Y10" s="14">
        <v>0.49163686232385201</v>
      </c>
      <c r="Z10" s="14">
        <v>0.56712860791856801</v>
      </c>
      <c r="AA10" s="14">
        <v>0.39060704859729101</v>
      </c>
      <c r="AB10" s="14"/>
      <c r="AC10" s="14">
        <v>0.33982877049288701</v>
      </c>
      <c r="AD10" s="14">
        <v>0.295370585522226</v>
      </c>
      <c r="AE10" s="14">
        <v>0.32902681962348901</v>
      </c>
      <c r="AF10" s="14">
        <v>0.51076279501050403</v>
      </c>
      <c r="AG10" s="14">
        <v>0.41601164648122402</v>
      </c>
      <c r="AH10" s="14"/>
      <c r="AI10" s="14">
        <v>0.37588364732639501</v>
      </c>
      <c r="AJ10" s="14">
        <v>0.38706373152603102</v>
      </c>
      <c r="AK10" s="14">
        <v>0.37441898964126202</v>
      </c>
      <c r="AL10" s="14">
        <v>0.446979730744194</v>
      </c>
      <c r="AM10" s="14">
        <v>0.29885411656585797</v>
      </c>
      <c r="AN10" s="14">
        <v>0.47110748543730202</v>
      </c>
      <c r="AO10" s="14"/>
      <c r="AP10" s="14">
        <v>0.37971009598683703</v>
      </c>
      <c r="AQ10" s="14">
        <v>0.35286780690608299</v>
      </c>
      <c r="AR10" s="14"/>
      <c r="AS10" s="14">
        <v>0.365500474444658</v>
      </c>
      <c r="AT10" s="14" t="s">
        <v>88</v>
      </c>
      <c r="AU10" s="14" t="s">
        <v>88</v>
      </c>
      <c r="AV10" s="14"/>
      <c r="AW10" s="14">
        <v>0.354956003687175</v>
      </c>
      <c r="AX10" s="14">
        <v>0.413064990966999</v>
      </c>
      <c r="AY10" s="14"/>
      <c r="AZ10" s="14">
        <v>0.36274952721457598</v>
      </c>
      <c r="BA10" s="14">
        <v>0.38587438833167498</v>
      </c>
    </row>
    <row r="11" spans="2:53" x14ac:dyDescent="0.35">
      <c r="B11" s="15" t="s">
        <v>228</v>
      </c>
      <c r="C11" s="14">
        <v>0.170235625766187</v>
      </c>
      <c r="D11" s="14">
        <v>0.180098681819508</v>
      </c>
      <c r="E11" s="14">
        <v>0.15861979877236901</v>
      </c>
      <c r="F11" s="14"/>
      <c r="G11" s="14">
        <v>0</v>
      </c>
      <c r="H11" s="14">
        <v>0.138978120282155</v>
      </c>
      <c r="I11" s="14">
        <v>0.16346336050051299</v>
      </c>
      <c r="J11" s="14">
        <v>0.30076699068239898</v>
      </c>
      <c r="K11" s="14">
        <v>0.20520739519391001</v>
      </c>
      <c r="L11" s="14" t="s">
        <v>88</v>
      </c>
      <c r="M11" s="14"/>
      <c r="N11" s="14">
        <v>0.17898020393442099</v>
      </c>
      <c r="O11" s="14">
        <v>0.22963841120447301</v>
      </c>
      <c r="P11" s="14">
        <v>0.15744629892370901</v>
      </c>
      <c r="Q11" s="14">
        <v>9.5896665419880206E-2</v>
      </c>
      <c r="R11" s="14"/>
      <c r="S11" s="14">
        <v>0.108493446358848</v>
      </c>
      <c r="T11" s="14">
        <v>0.229073271189801</v>
      </c>
      <c r="U11" s="14">
        <v>0.14557528274628601</v>
      </c>
      <c r="V11" s="14">
        <v>0.191753869811884</v>
      </c>
      <c r="W11" s="14">
        <v>0.15964325446444</v>
      </c>
      <c r="X11" s="14">
        <v>0.17682272702377899</v>
      </c>
      <c r="Y11" s="14">
        <v>0.13331806131603199</v>
      </c>
      <c r="Z11" s="14">
        <v>0.190308324413168</v>
      </c>
      <c r="AA11" s="14">
        <v>0.20017044836774001</v>
      </c>
      <c r="AB11" s="14"/>
      <c r="AC11" s="14">
        <v>0.24020920474839799</v>
      </c>
      <c r="AD11" s="14">
        <v>0.20486969835468699</v>
      </c>
      <c r="AE11" s="14">
        <v>0.18924007892887099</v>
      </c>
      <c r="AF11" s="14">
        <v>9.57760659982069E-2</v>
      </c>
      <c r="AG11" s="14">
        <v>0.1472843006499</v>
      </c>
      <c r="AH11" s="14"/>
      <c r="AI11" s="14">
        <v>0.13809466322890401</v>
      </c>
      <c r="AJ11" s="14">
        <v>0.184168887703787</v>
      </c>
      <c r="AK11" s="14">
        <v>0.252843229405675</v>
      </c>
      <c r="AL11" s="14">
        <v>0.232604976151633</v>
      </c>
      <c r="AM11" s="14">
        <v>0.15272115608886699</v>
      </c>
      <c r="AN11" s="14">
        <v>0.11196440569833301</v>
      </c>
      <c r="AO11" s="14"/>
      <c r="AP11" s="14">
        <v>0.15458054441836799</v>
      </c>
      <c r="AQ11" s="14">
        <v>0.184153339012054</v>
      </c>
      <c r="AR11" s="14"/>
      <c r="AS11" s="14">
        <v>0.170235625766187</v>
      </c>
      <c r="AT11" s="14" t="s">
        <v>88</v>
      </c>
      <c r="AU11" s="14" t="s">
        <v>88</v>
      </c>
      <c r="AV11" s="14"/>
      <c r="AW11" s="14">
        <v>0.184595330624127</v>
      </c>
      <c r="AX11" s="14">
        <v>0.115051853083445</v>
      </c>
      <c r="AY11" s="14"/>
      <c r="AZ11" s="14">
        <v>0.18375297668794999</v>
      </c>
      <c r="BA11" s="14">
        <v>0.11698517380182701</v>
      </c>
    </row>
    <row r="12" spans="2:53" x14ac:dyDescent="0.35">
      <c r="B12" s="15" t="s">
        <v>229</v>
      </c>
      <c r="C12" s="14">
        <v>3.6632071436552498E-2</v>
      </c>
      <c r="D12" s="14">
        <v>4.2960108838433403E-2</v>
      </c>
      <c r="E12" s="14">
        <v>2.91794738569306E-2</v>
      </c>
      <c r="F12" s="14"/>
      <c r="G12" s="14">
        <v>0</v>
      </c>
      <c r="H12" s="14">
        <v>9.9467808344132595E-3</v>
      </c>
      <c r="I12" s="14">
        <v>5.5433957596231702E-2</v>
      </c>
      <c r="J12" s="14">
        <v>0</v>
      </c>
      <c r="K12" s="14">
        <v>7.9247656002087996E-2</v>
      </c>
      <c r="L12" s="14" t="s">
        <v>88</v>
      </c>
      <c r="M12" s="14"/>
      <c r="N12" s="14">
        <v>2.5169552666598101E-2</v>
      </c>
      <c r="O12" s="14">
        <v>1.8411758484988501E-2</v>
      </c>
      <c r="P12" s="14">
        <v>3.197725365397E-2</v>
      </c>
      <c r="Q12" s="14">
        <v>8.0955160376343996E-2</v>
      </c>
      <c r="R12" s="14"/>
      <c r="S12" s="14">
        <v>3.4601079134901201E-2</v>
      </c>
      <c r="T12" s="14">
        <v>2.92056435123327E-2</v>
      </c>
      <c r="U12" s="14">
        <v>6.6486901965828904E-2</v>
      </c>
      <c r="V12" s="14">
        <v>6.9354001473014806E-2</v>
      </c>
      <c r="W12" s="14">
        <v>0</v>
      </c>
      <c r="X12" s="14">
        <v>2.3874656064305302E-2</v>
      </c>
      <c r="Y12" s="14">
        <v>0</v>
      </c>
      <c r="Z12" s="14">
        <v>0</v>
      </c>
      <c r="AA12" s="14">
        <v>5.2127420877052397E-2</v>
      </c>
      <c r="AB12" s="14"/>
      <c r="AC12" s="14">
        <v>0</v>
      </c>
      <c r="AD12" s="14">
        <v>4.1656792402126698E-2</v>
      </c>
      <c r="AE12" s="14">
        <v>2.9635800540918099E-2</v>
      </c>
      <c r="AF12" s="14">
        <v>2.8794505248242799E-2</v>
      </c>
      <c r="AG12" s="14">
        <v>1.2522733058225899E-2</v>
      </c>
      <c r="AH12" s="14"/>
      <c r="AI12" s="14">
        <v>2.46740883174917E-2</v>
      </c>
      <c r="AJ12" s="14">
        <v>3.2726186852208503E-2</v>
      </c>
      <c r="AK12" s="14">
        <v>9.8902154196114297E-2</v>
      </c>
      <c r="AL12" s="14">
        <v>0</v>
      </c>
      <c r="AM12" s="14">
        <v>0</v>
      </c>
      <c r="AN12" s="14">
        <v>2.7114396484381E-2</v>
      </c>
      <c r="AO12" s="14"/>
      <c r="AP12" s="14">
        <v>2.27044560168796E-2</v>
      </c>
      <c r="AQ12" s="14">
        <v>4.9014029300778902E-2</v>
      </c>
      <c r="AR12" s="14"/>
      <c r="AS12" s="14">
        <v>3.6632071436552498E-2</v>
      </c>
      <c r="AT12" s="14" t="s">
        <v>88</v>
      </c>
      <c r="AU12" s="14" t="s">
        <v>88</v>
      </c>
      <c r="AV12" s="14"/>
      <c r="AW12" s="14">
        <v>4.7890458386456801E-2</v>
      </c>
      <c r="AX12" s="14">
        <v>3.07522660603342E-3</v>
      </c>
      <c r="AY12" s="14"/>
      <c r="AZ12" s="14">
        <v>3.0251900545994598E-2</v>
      </c>
      <c r="BA12" s="14">
        <v>6.4554304094526796E-2</v>
      </c>
    </row>
    <row r="13" spans="2:53" x14ac:dyDescent="0.35">
      <c r="B13" s="15" t="s">
        <v>116</v>
      </c>
      <c r="C13" s="23">
        <v>2.0501025650056601E-2</v>
      </c>
      <c r="D13" s="23">
        <v>2.96627489369428E-2</v>
      </c>
      <c r="E13" s="23">
        <v>9.7111657840705107E-3</v>
      </c>
      <c r="F13" s="23"/>
      <c r="G13" s="23">
        <v>0</v>
      </c>
      <c r="H13" s="23">
        <v>2.28753419249632E-3</v>
      </c>
      <c r="I13" s="23">
        <v>2.08508448011205E-2</v>
      </c>
      <c r="J13" s="23">
        <v>7.5941016041125006E-2</v>
      </c>
      <c r="K13" s="23">
        <v>0</v>
      </c>
      <c r="L13" s="23" t="s">
        <v>88</v>
      </c>
      <c r="M13" s="23"/>
      <c r="N13" s="23">
        <v>1.12328183769809E-2</v>
      </c>
      <c r="O13" s="23">
        <v>1.8043762755395501E-2</v>
      </c>
      <c r="P13" s="23">
        <v>3.9712431360659203E-2</v>
      </c>
      <c r="Q13" s="23">
        <v>1.80859329293706E-2</v>
      </c>
      <c r="R13" s="23"/>
      <c r="S13" s="23">
        <v>2.44396931683185E-2</v>
      </c>
      <c r="T13" s="23">
        <v>0</v>
      </c>
      <c r="U13" s="23">
        <v>6.7669417706465299E-2</v>
      </c>
      <c r="V13" s="23">
        <v>0</v>
      </c>
      <c r="W13" s="23">
        <v>0</v>
      </c>
      <c r="X13" s="23">
        <v>3.9050673768844801E-2</v>
      </c>
      <c r="Y13" s="23">
        <v>0</v>
      </c>
      <c r="Z13" s="23">
        <v>0</v>
      </c>
      <c r="AA13" s="23">
        <v>4.2847665387223802E-2</v>
      </c>
      <c r="AB13" s="23"/>
      <c r="AC13" s="23">
        <v>0</v>
      </c>
      <c r="AD13" s="23">
        <v>3.9274363413187498E-2</v>
      </c>
      <c r="AE13" s="23">
        <v>3.2177339159981097E-2</v>
      </c>
      <c r="AF13" s="23">
        <v>3.72631432541353E-3</v>
      </c>
      <c r="AG13" s="23">
        <v>0</v>
      </c>
      <c r="AH13" s="23"/>
      <c r="AI13" s="23">
        <v>1.51215905617927E-2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/>
      <c r="AP13" s="23">
        <v>6.1222815718204801E-3</v>
      </c>
      <c r="AQ13" s="23">
        <v>3.3284046860258598E-2</v>
      </c>
      <c r="AR13" s="23"/>
      <c r="AS13" s="23">
        <v>2.0501025650056601E-2</v>
      </c>
      <c r="AT13" s="23" t="s">
        <v>88</v>
      </c>
      <c r="AU13" s="23" t="s">
        <v>88</v>
      </c>
      <c r="AV13" s="23"/>
      <c r="AW13" s="23">
        <v>2.6470330817595498E-2</v>
      </c>
      <c r="AX13" s="23">
        <v>2.84411038430212E-3</v>
      </c>
      <c r="AY13" s="23"/>
      <c r="AZ13" s="23">
        <v>1.47743330903688E-2</v>
      </c>
      <c r="BA13" s="23">
        <v>4.5268336205627001E-2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B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234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314</v>
      </c>
      <c r="D7" s="10">
        <v>142</v>
      </c>
      <c r="E7" s="10">
        <v>172</v>
      </c>
      <c r="F7" s="10"/>
      <c r="G7" s="10">
        <v>7</v>
      </c>
      <c r="H7" s="10">
        <v>111</v>
      </c>
      <c r="I7" s="10">
        <v>156</v>
      </c>
      <c r="J7" s="10">
        <v>30</v>
      </c>
      <c r="K7" s="10">
        <v>10</v>
      </c>
      <c r="L7" s="10" t="s">
        <v>87</v>
      </c>
      <c r="M7" s="10"/>
      <c r="N7" s="10">
        <v>157</v>
      </c>
      <c r="O7" s="10">
        <v>73</v>
      </c>
      <c r="P7" s="10">
        <v>42</v>
      </c>
      <c r="Q7" s="10">
        <v>42</v>
      </c>
      <c r="R7" s="10"/>
      <c r="S7" s="10">
        <v>73</v>
      </c>
      <c r="T7" s="10">
        <v>52</v>
      </c>
      <c r="U7" s="10">
        <v>29</v>
      </c>
      <c r="V7" s="10">
        <v>34</v>
      </c>
      <c r="W7" s="10">
        <v>17</v>
      </c>
      <c r="X7" s="10">
        <v>29</v>
      </c>
      <c r="Y7" s="10">
        <v>25</v>
      </c>
      <c r="Z7" s="10">
        <v>15</v>
      </c>
      <c r="AA7" s="10">
        <v>40</v>
      </c>
      <c r="AB7" s="10"/>
      <c r="AC7" s="10">
        <v>26</v>
      </c>
      <c r="AD7" s="10">
        <v>51</v>
      </c>
      <c r="AE7" s="10">
        <v>117</v>
      </c>
      <c r="AF7" s="10">
        <v>67</v>
      </c>
      <c r="AG7" s="10">
        <v>29</v>
      </c>
      <c r="AH7" s="10"/>
      <c r="AI7" s="10">
        <v>124</v>
      </c>
      <c r="AJ7" s="10">
        <v>55</v>
      </c>
      <c r="AK7" s="10">
        <v>35</v>
      </c>
      <c r="AL7" s="10">
        <v>39</v>
      </c>
      <c r="AM7" s="10">
        <v>17</v>
      </c>
      <c r="AN7" s="10">
        <v>21</v>
      </c>
      <c r="AO7" s="10"/>
      <c r="AP7" s="10">
        <v>158</v>
      </c>
      <c r="AQ7" s="10">
        <v>156</v>
      </c>
      <c r="AR7" s="10"/>
      <c r="AS7" s="10">
        <v>314</v>
      </c>
      <c r="AT7" s="10" t="s">
        <v>87</v>
      </c>
      <c r="AU7" s="10" t="s">
        <v>87</v>
      </c>
      <c r="AV7" s="10"/>
      <c r="AW7" s="10">
        <v>214</v>
      </c>
      <c r="AX7" s="10">
        <v>93</v>
      </c>
      <c r="AY7" s="10"/>
      <c r="AZ7" s="10">
        <v>259</v>
      </c>
      <c r="BA7" s="10">
        <v>54</v>
      </c>
    </row>
    <row r="8" spans="2:53" ht="30" customHeight="1" x14ac:dyDescent="0.35">
      <c r="B8" s="11" t="s">
        <v>19</v>
      </c>
      <c r="C8" s="11">
        <v>297</v>
      </c>
      <c r="D8" s="11">
        <v>160</v>
      </c>
      <c r="E8" s="11">
        <v>136</v>
      </c>
      <c r="F8" s="11"/>
      <c r="G8" s="11">
        <v>6</v>
      </c>
      <c r="H8" s="11">
        <v>82</v>
      </c>
      <c r="I8" s="11">
        <v>163</v>
      </c>
      <c r="J8" s="11">
        <v>33</v>
      </c>
      <c r="K8" s="11">
        <v>13</v>
      </c>
      <c r="L8" s="11" t="s">
        <v>87</v>
      </c>
      <c r="M8" s="11"/>
      <c r="N8" s="11">
        <v>93</v>
      </c>
      <c r="O8" s="11">
        <v>78</v>
      </c>
      <c r="P8" s="11">
        <v>63</v>
      </c>
      <c r="Q8" s="11">
        <v>63</v>
      </c>
      <c r="R8" s="11"/>
      <c r="S8" s="11">
        <v>58</v>
      </c>
      <c r="T8" s="11">
        <v>56</v>
      </c>
      <c r="U8" s="11">
        <v>37</v>
      </c>
      <c r="V8" s="11">
        <v>38</v>
      </c>
      <c r="W8" s="11">
        <v>18</v>
      </c>
      <c r="X8" s="11">
        <v>22</v>
      </c>
      <c r="Y8" s="11">
        <v>22</v>
      </c>
      <c r="Z8" s="11">
        <v>14</v>
      </c>
      <c r="AA8" s="11">
        <v>31</v>
      </c>
      <c r="AB8" s="11"/>
      <c r="AC8" s="11">
        <v>33</v>
      </c>
      <c r="AD8" s="11">
        <v>63</v>
      </c>
      <c r="AE8" s="11">
        <v>106</v>
      </c>
      <c r="AF8" s="11">
        <v>50</v>
      </c>
      <c r="AG8" s="11">
        <v>16</v>
      </c>
      <c r="AH8" s="11"/>
      <c r="AI8" s="11">
        <v>106</v>
      </c>
      <c r="AJ8" s="11">
        <v>50</v>
      </c>
      <c r="AK8" s="11">
        <v>35</v>
      </c>
      <c r="AL8" s="11">
        <v>41</v>
      </c>
      <c r="AM8" s="11">
        <v>17</v>
      </c>
      <c r="AN8" s="11">
        <v>19</v>
      </c>
      <c r="AO8" s="11"/>
      <c r="AP8" s="11">
        <v>140</v>
      </c>
      <c r="AQ8" s="11">
        <v>157</v>
      </c>
      <c r="AR8" s="11"/>
      <c r="AS8" s="11">
        <v>297</v>
      </c>
      <c r="AT8" s="11" t="s">
        <v>87</v>
      </c>
      <c r="AU8" s="11" t="s">
        <v>87</v>
      </c>
      <c r="AV8" s="11"/>
      <c r="AW8" s="11">
        <v>223</v>
      </c>
      <c r="AX8" s="11">
        <v>66</v>
      </c>
      <c r="AY8" s="11"/>
      <c r="AZ8" s="11">
        <v>239</v>
      </c>
      <c r="BA8" s="11">
        <v>56</v>
      </c>
    </row>
    <row r="9" spans="2:53" ht="29" x14ac:dyDescent="0.35">
      <c r="B9" s="15" t="s">
        <v>231</v>
      </c>
      <c r="C9" s="14">
        <v>0.109593589715101</v>
      </c>
      <c r="D9" s="14">
        <v>9.6148340261274001E-2</v>
      </c>
      <c r="E9" s="14">
        <v>0.12542820433151</v>
      </c>
      <c r="F9" s="14"/>
      <c r="G9" s="14">
        <v>0.193659082651022</v>
      </c>
      <c r="H9" s="14">
        <v>9.82248903403075E-2</v>
      </c>
      <c r="I9" s="14">
        <v>0.110751845743446</v>
      </c>
      <c r="J9" s="14">
        <v>0.12789052618812999</v>
      </c>
      <c r="K9" s="14">
        <v>7.9247656002087996E-2</v>
      </c>
      <c r="L9" s="14" t="s">
        <v>88</v>
      </c>
      <c r="M9" s="14"/>
      <c r="N9" s="14">
        <v>0.103081002862141</v>
      </c>
      <c r="O9" s="14">
        <v>7.5203542441909896E-2</v>
      </c>
      <c r="P9" s="14">
        <v>0.13555275235816799</v>
      </c>
      <c r="Q9" s="14">
        <v>0.13625876793092601</v>
      </c>
      <c r="R9" s="14"/>
      <c r="S9" s="14">
        <v>0.17500973254951999</v>
      </c>
      <c r="T9" s="14">
        <v>9.6491644575856503E-2</v>
      </c>
      <c r="U9" s="14">
        <v>4.7796767596030298E-2</v>
      </c>
      <c r="V9" s="14">
        <v>0.11733429933450699</v>
      </c>
      <c r="W9" s="14">
        <v>4.7658815634863599E-2</v>
      </c>
      <c r="X9" s="14">
        <v>4.52054372228822E-2</v>
      </c>
      <c r="Y9" s="14">
        <v>0.238768423093868</v>
      </c>
      <c r="Z9" s="14">
        <v>0</v>
      </c>
      <c r="AA9" s="14">
        <v>0.11540727605793299</v>
      </c>
      <c r="AB9" s="14"/>
      <c r="AC9" s="14">
        <v>9.2752758500222202E-2</v>
      </c>
      <c r="AD9" s="14">
        <v>6.5892887950980403E-2</v>
      </c>
      <c r="AE9" s="14">
        <v>5.48540567904564E-2</v>
      </c>
      <c r="AF9" s="14">
        <v>0.22119922851847101</v>
      </c>
      <c r="AG9" s="14">
        <v>0.12725792317416401</v>
      </c>
      <c r="AH9" s="14"/>
      <c r="AI9" s="14">
        <v>9.4975156606242797E-2</v>
      </c>
      <c r="AJ9" s="14">
        <v>0.20359397948137301</v>
      </c>
      <c r="AK9" s="14">
        <v>7.9462239168259105E-2</v>
      </c>
      <c r="AL9" s="14">
        <v>0.124330352874676</v>
      </c>
      <c r="AM9" s="14">
        <v>0</v>
      </c>
      <c r="AN9" s="14">
        <v>0.11997184756019</v>
      </c>
      <c r="AO9" s="14"/>
      <c r="AP9" s="14">
        <v>0.104050638559359</v>
      </c>
      <c r="AQ9" s="14">
        <v>0.11452139577420101</v>
      </c>
      <c r="AR9" s="14"/>
      <c r="AS9" s="14">
        <v>0.109593589715101</v>
      </c>
      <c r="AT9" s="14" t="s">
        <v>88</v>
      </c>
      <c r="AU9" s="14" t="s">
        <v>88</v>
      </c>
      <c r="AV9" s="14"/>
      <c r="AW9" s="14">
        <v>0.102136185880154</v>
      </c>
      <c r="AX9" s="14">
        <v>0.14860974595588</v>
      </c>
      <c r="AY9" s="14"/>
      <c r="AZ9" s="14">
        <v>0.11707269125937</v>
      </c>
      <c r="BA9" s="14">
        <v>8.0497407015519898E-2</v>
      </c>
    </row>
    <row r="10" spans="2:53" ht="29" x14ac:dyDescent="0.35">
      <c r="B10" s="15" t="s">
        <v>232</v>
      </c>
      <c r="C10" s="14">
        <v>0.75697439132559896</v>
      </c>
      <c r="D10" s="14">
        <v>0.76096720544005003</v>
      </c>
      <c r="E10" s="14">
        <v>0.75227201128018395</v>
      </c>
      <c r="F10" s="14"/>
      <c r="G10" s="14">
        <v>0.609237507068076</v>
      </c>
      <c r="H10" s="14">
        <v>0.76334340221652197</v>
      </c>
      <c r="I10" s="14">
        <v>0.77549875546966096</v>
      </c>
      <c r="J10" s="14">
        <v>0.64073424747095598</v>
      </c>
      <c r="K10" s="14">
        <v>0.85068988469767404</v>
      </c>
      <c r="L10" s="14" t="s">
        <v>88</v>
      </c>
      <c r="M10" s="14"/>
      <c r="N10" s="14">
        <v>0.78975504739650204</v>
      </c>
      <c r="O10" s="14">
        <v>0.83363201655993102</v>
      </c>
      <c r="P10" s="14">
        <v>0.67303679535241501</v>
      </c>
      <c r="Q10" s="14">
        <v>0.69658489525410905</v>
      </c>
      <c r="R10" s="14"/>
      <c r="S10" s="14">
        <v>0.66925695341515201</v>
      </c>
      <c r="T10" s="14">
        <v>0.74873181179852799</v>
      </c>
      <c r="U10" s="14">
        <v>0.79281369437212701</v>
      </c>
      <c r="V10" s="14">
        <v>0.77111219911577</v>
      </c>
      <c r="W10" s="14">
        <v>0.87251954682704302</v>
      </c>
      <c r="X10" s="14">
        <v>0.69326420779682696</v>
      </c>
      <c r="Y10" s="14">
        <v>0.70331345752377605</v>
      </c>
      <c r="Z10" s="14">
        <v>0.92544829122823702</v>
      </c>
      <c r="AA10" s="14">
        <v>0.81343840738219197</v>
      </c>
      <c r="AB10" s="14"/>
      <c r="AC10" s="14">
        <v>0.80395593415667099</v>
      </c>
      <c r="AD10" s="14">
        <v>0.86256327838439595</v>
      </c>
      <c r="AE10" s="14">
        <v>0.78616116106355705</v>
      </c>
      <c r="AF10" s="14">
        <v>0.63195830809504605</v>
      </c>
      <c r="AG10" s="14">
        <v>0.79370633743521801</v>
      </c>
      <c r="AH10" s="14"/>
      <c r="AI10" s="14">
        <v>0.77616421260662505</v>
      </c>
      <c r="AJ10" s="14">
        <v>0.67017521436645699</v>
      </c>
      <c r="AK10" s="14">
        <v>0.90016427086287798</v>
      </c>
      <c r="AL10" s="14">
        <v>0.752383380348979</v>
      </c>
      <c r="AM10" s="14">
        <v>0.86775324103016704</v>
      </c>
      <c r="AN10" s="14">
        <v>0.56017982080103201</v>
      </c>
      <c r="AO10" s="14"/>
      <c r="AP10" s="14">
        <v>0.73665053871112895</v>
      </c>
      <c r="AQ10" s="14">
        <v>0.77504274539256002</v>
      </c>
      <c r="AR10" s="14"/>
      <c r="AS10" s="14">
        <v>0.75697439132559896</v>
      </c>
      <c r="AT10" s="14" t="s">
        <v>88</v>
      </c>
      <c r="AU10" s="14" t="s">
        <v>88</v>
      </c>
      <c r="AV10" s="14"/>
      <c r="AW10" s="14">
        <v>0.78322787536669802</v>
      </c>
      <c r="AX10" s="14">
        <v>0.63752891962438196</v>
      </c>
      <c r="AY10" s="14"/>
      <c r="AZ10" s="14">
        <v>0.73887735183859504</v>
      </c>
      <c r="BA10" s="14">
        <v>0.827905918847049</v>
      </c>
    </row>
    <row r="11" spans="2:53" ht="29" x14ac:dyDescent="0.35">
      <c r="B11" s="15" t="s">
        <v>233</v>
      </c>
      <c r="C11" s="14">
        <v>0.108326056537485</v>
      </c>
      <c r="D11" s="14">
        <v>0.114811338760297</v>
      </c>
      <c r="E11" s="14">
        <v>0.100688270044231</v>
      </c>
      <c r="F11" s="14"/>
      <c r="G11" s="14">
        <v>0.197103410280902</v>
      </c>
      <c r="H11" s="14">
        <v>0.13843170744317099</v>
      </c>
      <c r="I11" s="14">
        <v>9.0495336950384003E-2</v>
      </c>
      <c r="J11" s="14">
        <v>0.120024922422728</v>
      </c>
      <c r="K11" s="14">
        <v>7.0062459300237703E-2</v>
      </c>
      <c r="L11" s="14" t="s">
        <v>88</v>
      </c>
      <c r="M11" s="14"/>
      <c r="N11" s="14">
        <v>7.2820680882345695E-2</v>
      </c>
      <c r="O11" s="14">
        <v>8.2255037821842403E-2</v>
      </c>
      <c r="P11" s="14">
        <v>0.134536253225995</v>
      </c>
      <c r="Q11" s="14">
        <v>0.167156336814966</v>
      </c>
      <c r="R11" s="14"/>
      <c r="S11" s="14">
        <v>0.14456095984355799</v>
      </c>
      <c r="T11" s="14">
        <v>0.15477654362561599</v>
      </c>
      <c r="U11" s="14">
        <v>9.1720120325377602E-2</v>
      </c>
      <c r="V11" s="14">
        <v>8.1065030827668E-2</v>
      </c>
      <c r="W11" s="14">
        <v>7.9821637538093695E-2</v>
      </c>
      <c r="X11" s="14">
        <v>0.16667517820417799</v>
      </c>
      <c r="Y11" s="14">
        <v>5.7918119382355998E-2</v>
      </c>
      <c r="Z11" s="14">
        <v>0</v>
      </c>
      <c r="AA11" s="14">
        <v>7.1154316559875003E-2</v>
      </c>
      <c r="AB11" s="14"/>
      <c r="AC11" s="14">
        <v>7.0518975039287696E-2</v>
      </c>
      <c r="AD11" s="14">
        <v>3.2269470251436401E-2</v>
      </c>
      <c r="AE11" s="14">
        <v>0.12840907830936099</v>
      </c>
      <c r="AF11" s="14">
        <v>0.13394244272475</v>
      </c>
      <c r="AG11" s="14">
        <v>7.9035739390618504E-2</v>
      </c>
      <c r="AH11" s="14"/>
      <c r="AI11" s="14">
        <v>0.12275429255694301</v>
      </c>
      <c r="AJ11" s="14">
        <v>0.112338580500411</v>
      </c>
      <c r="AK11" s="14">
        <v>2.0373489968862901E-2</v>
      </c>
      <c r="AL11" s="14">
        <v>6.8712031195909601E-2</v>
      </c>
      <c r="AM11" s="14">
        <v>0.13224675896983301</v>
      </c>
      <c r="AN11" s="14">
        <v>0.292733935154397</v>
      </c>
      <c r="AO11" s="14"/>
      <c r="AP11" s="14">
        <v>0.141730258112301</v>
      </c>
      <c r="AQ11" s="14">
        <v>7.8628983210541195E-2</v>
      </c>
      <c r="AR11" s="14"/>
      <c r="AS11" s="14">
        <v>0.108326056537485</v>
      </c>
      <c r="AT11" s="14" t="s">
        <v>88</v>
      </c>
      <c r="AU11" s="14" t="s">
        <v>88</v>
      </c>
      <c r="AV11" s="14"/>
      <c r="AW11" s="14">
        <v>8.4330351853078897E-2</v>
      </c>
      <c r="AX11" s="14">
        <v>0.20322651975483999</v>
      </c>
      <c r="AY11" s="14"/>
      <c r="AZ11" s="14">
        <v>0.112881037175598</v>
      </c>
      <c r="BA11" s="14">
        <v>9.1596674137431E-2</v>
      </c>
    </row>
    <row r="12" spans="2:53" x14ac:dyDescent="0.35">
      <c r="B12" s="15" t="s">
        <v>116</v>
      </c>
      <c r="C12" s="23">
        <v>2.51059624218152E-2</v>
      </c>
      <c r="D12" s="23">
        <v>2.80731155383789E-2</v>
      </c>
      <c r="E12" s="23">
        <v>2.1611514344074999E-2</v>
      </c>
      <c r="F12" s="23"/>
      <c r="G12" s="23">
        <v>0</v>
      </c>
      <c r="H12" s="23">
        <v>0</v>
      </c>
      <c r="I12" s="23">
        <v>2.3254061836508799E-2</v>
      </c>
      <c r="J12" s="23">
        <v>0.111350303918185</v>
      </c>
      <c r="K12" s="23">
        <v>0</v>
      </c>
      <c r="L12" s="23" t="s">
        <v>88</v>
      </c>
      <c r="M12" s="23"/>
      <c r="N12" s="23">
        <v>3.4343268859011698E-2</v>
      </c>
      <c r="O12" s="23">
        <v>8.9094031763164196E-3</v>
      </c>
      <c r="P12" s="23">
        <v>5.6874199063421498E-2</v>
      </c>
      <c r="Q12" s="23">
        <v>0</v>
      </c>
      <c r="R12" s="23"/>
      <c r="S12" s="23">
        <v>1.11723541917706E-2</v>
      </c>
      <c r="T12" s="23">
        <v>0</v>
      </c>
      <c r="U12" s="23">
        <v>6.7669417706465299E-2</v>
      </c>
      <c r="V12" s="23">
        <v>3.04884707220545E-2</v>
      </c>
      <c r="W12" s="23">
        <v>0</v>
      </c>
      <c r="X12" s="23">
        <v>9.4855176776113798E-2</v>
      </c>
      <c r="Y12" s="23">
        <v>0</v>
      </c>
      <c r="Z12" s="23">
        <v>7.4551708771763495E-2</v>
      </c>
      <c r="AA12" s="23">
        <v>0</v>
      </c>
      <c r="AB12" s="23"/>
      <c r="AC12" s="23">
        <v>3.2772332303818902E-2</v>
      </c>
      <c r="AD12" s="23">
        <v>3.9274363413187498E-2</v>
      </c>
      <c r="AE12" s="23">
        <v>3.0575703836625199E-2</v>
      </c>
      <c r="AF12" s="23">
        <v>1.29000206617336E-2</v>
      </c>
      <c r="AG12" s="23">
        <v>0</v>
      </c>
      <c r="AH12" s="23"/>
      <c r="AI12" s="23">
        <v>6.1063382301891197E-3</v>
      </c>
      <c r="AJ12" s="23">
        <v>1.3892225651759399E-2</v>
      </c>
      <c r="AK12" s="23">
        <v>0</v>
      </c>
      <c r="AL12" s="23">
        <v>5.4574235580436101E-2</v>
      </c>
      <c r="AM12" s="23">
        <v>0</v>
      </c>
      <c r="AN12" s="23">
        <v>2.7114396484381E-2</v>
      </c>
      <c r="AO12" s="23"/>
      <c r="AP12" s="23">
        <v>1.75685646172117E-2</v>
      </c>
      <c r="AQ12" s="23">
        <v>3.1806875622698599E-2</v>
      </c>
      <c r="AR12" s="23"/>
      <c r="AS12" s="23">
        <v>2.51059624218152E-2</v>
      </c>
      <c r="AT12" s="23" t="s">
        <v>88</v>
      </c>
      <c r="AU12" s="23" t="s">
        <v>88</v>
      </c>
      <c r="AV12" s="23"/>
      <c r="AW12" s="23">
        <v>3.0305586900068401E-2</v>
      </c>
      <c r="AX12" s="23">
        <v>1.06348146648982E-2</v>
      </c>
      <c r="AY12" s="23"/>
      <c r="AZ12" s="23">
        <v>3.1168919726436799E-2</v>
      </c>
      <c r="BA12" s="23">
        <v>0</v>
      </c>
    </row>
    <row r="13" spans="2:53" x14ac:dyDescent="0.35">
      <c r="B13" s="16" t="s">
        <v>219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239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314</v>
      </c>
      <c r="D7" s="10">
        <v>142</v>
      </c>
      <c r="E7" s="10">
        <v>172</v>
      </c>
      <c r="F7" s="10"/>
      <c r="G7" s="10">
        <v>7</v>
      </c>
      <c r="H7" s="10">
        <v>111</v>
      </c>
      <c r="I7" s="10">
        <v>156</v>
      </c>
      <c r="J7" s="10">
        <v>30</v>
      </c>
      <c r="K7" s="10">
        <v>10</v>
      </c>
      <c r="L7" s="10" t="s">
        <v>87</v>
      </c>
      <c r="M7" s="10"/>
      <c r="N7" s="10">
        <v>157</v>
      </c>
      <c r="O7" s="10">
        <v>73</v>
      </c>
      <c r="P7" s="10">
        <v>42</v>
      </c>
      <c r="Q7" s="10">
        <v>42</v>
      </c>
      <c r="R7" s="10"/>
      <c r="S7" s="10">
        <v>73</v>
      </c>
      <c r="T7" s="10">
        <v>52</v>
      </c>
      <c r="U7" s="10">
        <v>29</v>
      </c>
      <c r="V7" s="10">
        <v>34</v>
      </c>
      <c r="W7" s="10">
        <v>17</v>
      </c>
      <c r="X7" s="10">
        <v>29</v>
      </c>
      <c r="Y7" s="10">
        <v>25</v>
      </c>
      <c r="Z7" s="10">
        <v>15</v>
      </c>
      <c r="AA7" s="10">
        <v>40</v>
      </c>
      <c r="AB7" s="10"/>
      <c r="AC7" s="10">
        <v>26</v>
      </c>
      <c r="AD7" s="10">
        <v>51</v>
      </c>
      <c r="AE7" s="10">
        <v>117</v>
      </c>
      <c r="AF7" s="10">
        <v>67</v>
      </c>
      <c r="AG7" s="10">
        <v>29</v>
      </c>
      <c r="AH7" s="10"/>
      <c r="AI7" s="10">
        <v>124</v>
      </c>
      <c r="AJ7" s="10">
        <v>55</v>
      </c>
      <c r="AK7" s="10">
        <v>35</v>
      </c>
      <c r="AL7" s="10">
        <v>39</v>
      </c>
      <c r="AM7" s="10">
        <v>17</v>
      </c>
      <c r="AN7" s="10">
        <v>21</v>
      </c>
      <c r="AO7" s="10"/>
      <c r="AP7" s="10">
        <v>158</v>
      </c>
      <c r="AQ7" s="10">
        <v>156</v>
      </c>
      <c r="AR7" s="10"/>
      <c r="AS7" s="10">
        <v>314</v>
      </c>
      <c r="AT7" s="10" t="s">
        <v>87</v>
      </c>
      <c r="AU7" s="10" t="s">
        <v>87</v>
      </c>
      <c r="AV7" s="10"/>
      <c r="AW7" s="10">
        <v>214</v>
      </c>
      <c r="AX7" s="10">
        <v>93</v>
      </c>
      <c r="AY7" s="10"/>
      <c r="AZ7" s="10">
        <v>259</v>
      </c>
      <c r="BA7" s="10">
        <v>54</v>
      </c>
    </row>
    <row r="8" spans="2:53" ht="30" customHeight="1" x14ac:dyDescent="0.35">
      <c r="B8" s="11" t="s">
        <v>19</v>
      </c>
      <c r="C8" s="11">
        <v>297</v>
      </c>
      <c r="D8" s="11">
        <v>160</v>
      </c>
      <c r="E8" s="11">
        <v>136</v>
      </c>
      <c r="F8" s="11"/>
      <c r="G8" s="11">
        <v>6</v>
      </c>
      <c r="H8" s="11">
        <v>82</v>
      </c>
      <c r="I8" s="11">
        <v>163</v>
      </c>
      <c r="J8" s="11">
        <v>33</v>
      </c>
      <c r="K8" s="11">
        <v>13</v>
      </c>
      <c r="L8" s="11" t="s">
        <v>87</v>
      </c>
      <c r="M8" s="11"/>
      <c r="N8" s="11">
        <v>93</v>
      </c>
      <c r="O8" s="11">
        <v>78</v>
      </c>
      <c r="P8" s="11">
        <v>63</v>
      </c>
      <c r="Q8" s="11">
        <v>63</v>
      </c>
      <c r="R8" s="11"/>
      <c r="S8" s="11">
        <v>58</v>
      </c>
      <c r="T8" s="11">
        <v>56</v>
      </c>
      <c r="U8" s="11">
        <v>37</v>
      </c>
      <c r="V8" s="11">
        <v>38</v>
      </c>
      <c r="W8" s="11">
        <v>18</v>
      </c>
      <c r="X8" s="11">
        <v>22</v>
      </c>
      <c r="Y8" s="11">
        <v>22</v>
      </c>
      <c r="Z8" s="11">
        <v>14</v>
      </c>
      <c r="AA8" s="11">
        <v>31</v>
      </c>
      <c r="AB8" s="11"/>
      <c r="AC8" s="11">
        <v>33</v>
      </c>
      <c r="AD8" s="11">
        <v>63</v>
      </c>
      <c r="AE8" s="11">
        <v>106</v>
      </c>
      <c r="AF8" s="11">
        <v>50</v>
      </c>
      <c r="AG8" s="11">
        <v>16</v>
      </c>
      <c r="AH8" s="11"/>
      <c r="AI8" s="11">
        <v>106</v>
      </c>
      <c r="AJ8" s="11">
        <v>50</v>
      </c>
      <c r="AK8" s="11">
        <v>35</v>
      </c>
      <c r="AL8" s="11">
        <v>41</v>
      </c>
      <c r="AM8" s="11">
        <v>17</v>
      </c>
      <c r="AN8" s="11">
        <v>19</v>
      </c>
      <c r="AO8" s="11"/>
      <c r="AP8" s="11">
        <v>140</v>
      </c>
      <c r="AQ8" s="11">
        <v>157</v>
      </c>
      <c r="AR8" s="11"/>
      <c r="AS8" s="11">
        <v>297</v>
      </c>
      <c r="AT8" s="11" t="s">
        <v>87</v>
      </c>
      <c r="AU8" s="11" t="s">
        <v>87</v>
      </c>
      <c r="AV8" s="11"/>
      <c r="AW8" s="11">
        <v>223</v>
      </c>
      <c r="AX8" s="11">
        <v>66</v>
      </c>
      <c r="AY8" s="11"/>
      <c r="AZ8" s="11">
        <v>239</v>
      </c>
      <c r="BA8" s="11">
        <v>56</v>
      </c>
    </row>
    <row r="9" spans="2:53" x14ac:dyDescent="0.35">
      <c r="B9" s="15" t="s">
        <v>235</v>
      </c>
      <c r="C9" s="14">
        <v>0.57569651452046899</v>
      </c>
      <c r="D9" s="14">
        <v>0.61910897945084298</v>
      </c>
      <c r="E9" s="14">
        <v>0.52456918853953205</v>
      </c>
      <c r="F9" s="14"/>
      <c r="G9" s="14">
        <v>0.70012036034601799</v>
      </c>
      <c r="H9" s="14">
        <v>0.58327706171774896</v>
      </c>
      <c r="I9" s="14">
        <v>0.53752508422159695</v>
      </c>
      <c r="J9" s="14">
        <v>0.630880006733882</v>
      </c>
      <c r="K9" s="14">
        <v>0.81646433869324497</v>
      </c>
      <c r="L9" s="14" t="s">
        <v>88</v>
      </c>
      <c r="M9" s="14"/>
      <c r="N9" s="14">
        <v>0.67195885838421499</v>
      </c>
      <c r="O9" s="14">
        <v>0.48720566067836102</v>
      </c>
      <c r="P9" s="14">
        <v>0.51788400353300401</v>
      </c>
      <c r="Q9" s="14">
        <v>0.60177154092900897</v>
      </c>
      <c r="R9" s="14"/>
      <c r="S9" s="14">
        <v>0.60600583139731101</v>
      </c>
      <c r="T9" s="14">
        <v>0.58751021176664697</v>
      </c>
      <c r="U9" s="14">
        <v>0.49291474421925702</v>
      </c>
      <c r="V9" s="14">
        <v>0.58794690483763801</v>
      </c>
      <c r="W9" s="14">
        <v>0.84796763985253198</v>
      </c>
      <c r="X9" s="14">
        <v>0.56590190843891697</v>
      </c>
      <c r="Y9" s="14">
        <v>0.486675432823096</v>
      </c>
      <c r="Z9" s="14">
        <v>0.56307525377745105</v>
      </c>
      <c r="AA9" s="14">
        <v>0.49732449016943597</v>
      </c>
      <c r="AB9" s="14"/>
      <c r="AC9" s="14">
        <v>0.74375802248253897</v>
      </c>
      <c r="AD9" s="14">
        <v>0.46015594841233698</v>
      </c>
      <c r="AE9" s="14">
        <v>0.61660944058841904</v>
      </c>
      <c r="AF9" s="14">
        <v>0.52392280519884205</v>
      </c>
      <c r="AG9" s="14">
        <v>0.62944918550738904</v>
      </c>
      <c r="AH9" s="14"/>
      <c r="AI9" s="14">
        <v>0.60743911514544402</v>
      </c>
      <c r="AJ9" s="14">
        <v>0.48314276217529301</v>
      </c>
      <c r="AK9" s="14">
        <v>0.63200575284353799</v>
      </c>
      <c r="AL9" s="14">
        <v>0.59716292943066496</v>
      </c>
      <c r="AM9" s="14">
        <v>0.66558218566056104</v>
      </c>
      <c r="AN9" s="14">
        <v>0.38892827101724298</v>
      </c>
      <c r="AO9" s="14"/>
      <c r="AP9" s="14">
        <v>0.58592015287875399</v>
      </c>
      <c r="AQ9" s="14">
        <v>0.56660747410996404</v>
      </c>
      <c r="AR9" s="14"/>
      <c r="AS9" s="14">
        <v>0.57569651452046899</v>
      </c>
      <c r="AT9" s="14" t="s">
        <v>88</v>
      </c>
      <c r="AU9" s="14" t="s">
        <v>88</v>
      </c>
      <c r="AV9" s="14"/>
      <c r="AW9" s="14">
        <v>0.57705493164154398</v>
      </c>
      <c r="AX9" s="14">
        <v>0.57975976670649598</v>
      </c>
      <c r="AY9" s="14"/>
      <c r="AZ9" s="14">
        <v>0.59395157689878297</v>
      </c>
      <c r="BA9" s="14">
        <v>0.51202368661473097</v>
      </c>
    </row>
    <row r="10" spans="2:53" x14ac:dyDescent="0.35">
      <c r="B10" s="15" t="s">
        <v>236</v>
      </c>
      <c r="C10" s="14">
        <v>0.38211664426115599</v>
      </c>
      <c r="D10" s="14">
        <v>0.325111520364323</v>
      </c>
      <c r="E10" s="14">
        <v>0.44925219062396798</v>
      </c>
      <c r="F10" s="14"/>
      <c r="G10" s="14">
        <v>0.29987963965398201</v>
      </c>
      <c r="H10" s="14">
        <v>0.37525655933394197</v>
      </c>
      <c r="I10" s="14">
        <v>0.42183915523792898</v>
      </c>
      <c r="J10" s="14">
        <v>0.29317897722499298</v>
      </c>
      <c r="K10" s="14">
        <v>0.183535661306755</v>
      </c>
      <c r="L10" s="14" t="s">
        <v>88</v>
      </c>
      <c r="M10" s="14"/>
      <c r="N10" s="14">
        <v>0.31639563076768101</v>
      </c>
      <c r="O10" s="14">
        <v>0.49438258083665099</v>
      </c>
      <c r="P10" s="14">
        <v>0.34237240486875697</v>
      </c>
      <c r="Q10" s="14">
        <v>0.37859183428564702</v>
      </c>
      <c r="R10" s="14"/>
      <c r="S10" s="14">
        <v>0.39399416860268899</v>
      </c>
      <c r="T10" s="14">
        <v>0.33143903333678598</v>
      </c>
      <c r="U10" s="14">
        <v>0.43941583807427798</v>
      </c>
      <c r="V10" s="14">
        <v>0.37675933996481897</v>
      </c>
      <c r="W10" s="14">
        <v>8.41484530935631E-2</v>
      </c>
      <c r="X10" s="14">
        <v>0.38889265433820103</v>
      </c>
      <c r="Y10" s="14">
        <v>0.513324567176904</v>
      </c>
      <c r="Z10" s="14">
        <v>0.43692474622254901</v>
      </c>
      <c r="AA10" s="14">
        <v>0.441423150517126</v>
      </c>
      <c r="AB10" s="14"/>
      <c r="AC10" s="14">
        <v>0.25624197751746097</v>
      </c>
      <c r="AD10" s="14">
        <v>0.44710137427841301</v>
      </c>
      <c r="AE10" s="14">
        <v>0.35809509246510901</v>
      </c>
      <c r="AF10" s="14">
        <v>0.454546908705523</v>
      </c>
      <c r="AG10" s="14">
        <v>0.37055081449261101</v>
      </c>
      <c r="AH10" s="14"/>
      <c r="AI10" s="14">
        <v>0.38092119554467901</v>
      </c>
      <c r="AJ10" s="14">
        <v>0.475722617525356</v>
      </c>
      <c r="AK10" s="14">
        <v>0.36799424715646201</v>
      </c>
      <c r="AL10" s="14">
        <v>0.40283707056933499</v>
      </c>
      <c r="AM10" s="14">
        <v>0.33441781433943901</v>
      </c>
      <c r="AN10" s="14">
        <v>0.43801032967913101</v>
      </c>
      <c r="AO10" s="14"/>
      <c r="AP10" s="14">
        <v>0.362231758564942</v>
      </c>
      <c r="AQ10" s="14">
        <v>0.39979474703800999</v>
      </c>
      <c r="AR10" s="14"/>
      <c r="AS10" s="14">
        <v>0.38211664426115599</v>
      </c>
      <c r="AT10" s="14" t="s">
        <v>88</v>
      </c>
      <c r="AU10" s="14" t="s">
        <v>88</v>
      </c>
      <c r="AV10" s="14"/>
      <c r="AW10" s="14">
        <v>0.38077790200494599</v>
      </c>
      <c r="AX10" s="14">
        <v>0.37269562696875702</v>
      </c>
      <c r="AY10" s="14"/>
      <c r="AZ10" s="14">
        <v>0.36343622899015499</v>
      </c>
      <c r="BA10" s="14">
        <v>0.47042064152779101</v>
      </c>
    </row>
    <row r="11" spans="2:53" x14ac:dyDescent="0.35">
      <c r="B11" s="15" t="s">
        <v>237</v>
      </c>
      <c r="C11" s="14">
        <v>2.9269632576675701E-2</v>
      </c>
      <c r="D11" s="14">
        <v>4.0267193365843702E-2</v>
      </c>
      <c r="E11" s="14">
        <v>1.63176871765527E-2</v>
      </c>
      <c r="F11" s="14"/>
      <c r="G11" s="14">
        <v>0</v>
      </c>
      <c r="H11" s="14">
        <v>2.50260010911958E-2</v>
      </c>
      <c r="I11" s="14">
        <v>4.0635760540474103E-2</v>
      </c>
      <c r="J11" s="14">
        <v>0</v>
      </c>
      <c r="K11" s="14">
        <v>0</v>
      </c>
      <c r="L11" s="14" t="s">
        <v>88</v>
      </c>
      <c r="M11" s="14"/>
      <c r="N11" s="14">
        <v>1.16455108481034E-2</v>
      </c>
      <c r="O11" s="14">
        <v>1.8411758484988501E-2</v>
      </c>
      <c r="P11" s="14">
        <v>7.8595863774446204E-2</v>
      </c>
      <c r="Q11" s="14">
        <v>1.9636624785344E-2</v>
      </c>
      <c r="R11" s="14"/>
      <c r="S11" s="14">
        <v>0</v>
      </c>
      <c r="T11" s="14">
        <v>8.1050754896567503E-2</v>
      </c>
      <c r="U11" s="14">
        <v>0</v>
      </c>
      <c r="V11" s="14">
        <v>0</v>
      </c>
      <c r="W11" s="14">
        <v>6.7883907053904693E-2</v>
      </c>
      <c r="X11" s="14">
        <v>4.52054372228822E-2</v>
      </c>
      <c r="Y11" s="14">
        <v>0</v>
      </c>
      <c r="Z11" s="14">
        <v>0</v>
      </c>
      <c r="AA11" s="14">
        <v>6.1252359313438198E-2</v>
      </c>
      <c r="AB11" s="14"/>
      <c r="AC11" s="14">
        <v>0</v>
      </c>
      <c r="AD11" s="14">
        <v>3.2269470251436401E-2</v>
      </c>
      <c r="AE11" s="14">
        <v>2.5295466946471699E-2</v>
      </c>
      <c r="AF11" s="14">
        <v>2.1530286095635901E-2</v>
      </c>
      <c r="AG11" s="14">
        <v>0</v>
      </c>
      <c r="AH11" s="14"/>
      <c r="AI11" s="14">
        <v>1.1639689309876401E-2</v>
      </c>
      <c r="AJ11" s="14">
        <v>4.1134620299350902E-2</v>
      </c>
      <c r="AK11" s="14">
        <v>0</v>
      </c>
      <c r="AL11" s="14">
        <v>0</v>
      </c>
      <c r="AM11" s="14">
        <v>0</v>
      </c>
      <c r="AN11" s="14">
        <v>0.17306139930362599</v>
      </c>
      <c r="AO11" s="14"/>
      <c r="AP11" s="14">
        <v>5.1848088556303899E-2</v>
      </c>
      <c r="AQ11" s="14">
        <v>9.1968862985038792E-3</v>
      </c>
      <c r="AR11" s="14"/>
      <c r="AS11" s="14">
        <v>2.9269632576675701E-2</v>
      </c>
      <c r="AT11" s="14" t="s">
        <v>88</v>
      </c>
      <c r="AU11" s="14" t="s">
        <v>88</v>
      </c>
      <c r="AV11" s="14"/>
      <c r="AW11" s="14">
        <v>2.49600217335024E-2</v>
      </c>
      <c r="AX11" s="14">
        <v>4.7544606324746497E-2</v>
      </c>
      <c r="AY11" s="14"/>
      <c r="AZ11" s="14">
        <v>3.2197183809085303E-2</v>
      </c>
      <c r="BA11" s="14">
        <v>1.7555671857477601E-2</v>
      </c>
    </row>
    <row r="12" spans="2:53" x14ac:dyDescent="0.35">
      <c r="B12" s="15" t="s">
        <v>238</v>
      </c>
      <c r="C12" s="14">
        <v>0</v>
      </c>
      <c r="D12" s="14">
        <v>0</v>
      </c>
      <c r="E12" s="14">
        <v>0</v>
      </c>
      <c r="F12" s="14"/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0</v>
      </c>
      <c r="P12" s="14">
        <v>0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0</v>
      </c>
      <c r="AQ12" s="14">
        <v>0</v>
      </c>
      <c r="AR12" s="14"/>
      <c r="AS12" s="14">
        <v>0</v>
      </c>
      <c r="AT12" s="14" t="s">
        <v>88</v>
      </c>
      <c r="AU12" s="14" t="s">
        <v>88</v>
      </c>
      <c r="AV12" s="14"/>
      <c r="AW12" s="14">
        <v>0</v>
      </c>
      <c r="AX12" s="14">
        <v>0</v>
      </c>
      <c r="AY12" s="14"/>
      <c r="AZ12" s="14">
        <v>0</v>
      </c>
      <c r="BA12" s="14">
        <v>0</v>
      </c>
    </row>
    <row r="13" spans="2:53" x14ac:dyDescent="0.35">
      <c r="B13" s="15" t="s">
        <v>116</v>
      </c>
      <c r="C13" s="23">
        <v>1.29172086416998E-2</v>
      </c>
      <c r="D13" s="23">
        <v>1.55123068189905E-2</v>
      </c>
      <c r="E13" s="23">
        <v>9.8609336599479493E-3</v>
      </c>
      <c r="F13" s="23"/>
      <c r="G13" s="23">
        <v>0</v>
      </c>
      <c r="H13" s="23">
        <v>1.6440377857113098E-2</v>
      </c>
      <c r="I13" s="23">
        <v>0</v>
      </c>
      <c r="J13" s="23">
        <v>7.5941016041125006E-2</v>
      </c>
      <c r="K13" s="23">
        <v>0</v>
      </c>
      <c r="L13" s="23" t="s">
        <v>88</v>
      </c>
      <c r="M13" s="23"/>
      <c r="N13" s="23">
        <v>0</v>
      </c>
      <c r="O13" s="23">
        <v>0</v>
      </c>
      <c r="P13" s="23">
        <v>6.1147727823792998E-2</v>
      </c>
      <c r="Q13" s="23">
        <v>0</v>
      </c>
      <c r="R13" s="23"/>
      <c r="S13" s="23">
        <v>0</v>
      </c>
      <c r="T13" s="23">
        <v>0</v>
      </c>
      <c r="U13" s="23">
        <v>6.7669417706465299E-2</v>
      </c>
      <c r="V13" s="23">
        <v>3.52937551975437E-2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/>
      <c r="AC13" s="23">
        <v>0</v>
      </c>
      <c r="AD13" s="23">
        <v>6.0473207057812901E-2</v>
      </c>
      <c r="AE13" s="23">
        <v>0</v>
      </c>
      <c r="AF13" s="23">
        <v>0</v>
      </c>
      <c r="AG13" s="23">
        <v>0</v>
      </c>
      <c r="AH13" s="23"/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/>
      <c r="AP13" s="23">
        <v>0</v>
      </c>
      <c r="AQ13" s="23">
        <v>2.4400892553522201E-2</v>
      </c>
      <c r="AR13" s="23"/>
      <c r="AS13" s="23">
        <v>1.29172086416998E-2</v>
      </c>
      <c r="AT13" s="23" t="s">
        <v>88</v>
      </c>
      <c r="AU13" s="23" t="s">
        <v>88</v>
      </c>
      <c r="AV13" s="23"/>
      <c r="AW13" s="23">
        <v>1.72071446200073E-2</v>
      </c>
      <c r="AX13" s="23">
        <v>0</v>
      </c>
      <c r="AY13" s="23"/>
      <c r="AZ13" s="23">
        <v>1.0415010301976601E-2</v>
      </c>
      <c r="BA13" s="23">
        <v>0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BA19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314</v>
      </c>
      <c r="D7" s="10">
        <v>142</v>
      </c>
      <c r="E7" s="10">
        <v>172</v>
      </c>
      <c r="F7" s="10"/>
      <c r="G7" s="10">
        <v>7</v>
      </c>
      <c r="H7" s="10">
        <v>111</v>
      </c>
      <c r="I7" s="10">
        <v>156</v>
      </c>
      <c r="J7" s="10">
        <v>30</v>
      </c>
      <c r="K7" s="10">
        <v>10</v>
      </c>
      <c r="L7" s="10" t="s">
        <v>87</v>
      </c>
      <c r="M7" s="10"/>
      <c r="N7" s="10">
        <v>157</v>
      </c>
      <c r="O7" s="10">
        <v>73</v>
      </c>
      <c r="P7" s="10">
        <v>42</v>
      </c>
      <c r="Q7" s="10">
        <v>42</v>
      </c>
      <c r="R7" s="10"/>
      <c r="S7" s="10">
        <v>73</v>
      </c>
      <c r="T7" s="10">
        <v>52</v>
      </c>
      <c r="U7" s="10">
        <v>29</v>
      </c>
      <c r="V7" s="10">
        <v>34</v>
      </c>
      <c r="W7" s="10">
        <v>17</v>
      </c>
      <c r="X7" s="10">
        <v>29</v>
      </c>
      <c r="Y7" s="10">
        <v>25</v>
      </c>
      <c r="Z7" s="10">
        <v>15</v>
      </c>
      <c r="AA7" s="10">
        <v>40</v>
      </c>
      <c r="AB7" s="10"/>
      <c r="AC7" s="10">
        <v>26</v>
      </c>
      <c r="AD7" s="10">
        <v>51</v>
      </c>
      <c r="AE7" s="10">
        <v>117</v>
      </c>
      <c r="AF7" s="10">
        <v>67</v>
      </c>
      <c r="AG7" s="10">
        <v>29</v>
      </c>
      <c r="AH7" s="10"/>
      <c r="AI7" s="10">
        <v>124</v>
      </c>
      <c r="AJ7" s="10">
        <v>55</v>
      </c>
      <c r="AK7" s="10">
        <v>35</v>
      </c>
      <c r="AL7" s="10">
        <v>39</v>
      </c>
      <c r="AM7" s="10">
        <v>17</v>
      </c>
      <c r="AN7" s="10">
        <v>21</v>
      </c>
      <c r="AO7" s="10"/>
      <c r="AP7" s="10">
        <v>158</v>
      </c>
      <c r="AQ7" s="10">
        <v>156</v>
      </c>
      <c r="AR7" s="10"/>
      <c r="AS7" s="10">
        <v>314</v>
      </c>
      <c r="AT7" s="10" t="s">
        <v>87</v>
      </c>
      <c r="AU7" s="10" t="s">
        <v>87</v>
      </c>
      <c r="AV7" s="10"/>
      <c r="AW7" s="10">
        <v>214</v>
      </c>
      <c r="AX7" s="10">
        <v>93</v>
      </c>
      <c r="AY7" s="10"/>
      <c r="AZ7" s="10">
        <v>259</v>
      </c>
      <c r="BA7" s="10">
        <v>54</v>
      </c>
    </row>
    <row r="8" spans="2:53" ht="30" customHeight="1" x14ac:dyDescent="0.35">
      <c r="B8" s="11" t="s">
        <v>19</v>
      </c>
      <c r="C8" s="11">
        <v>297</v>
      </c>
      <c r="D8" s="11">
        <v>160</v>
      </c>
      <c r="E8" s="11">
        <v>136</v>
      </c>
      <c r="F8" s="11"/>
      <c r="G8" s="11">
        <v>6</v>
      </c>
      <c r="H8" s="11">
        <v>82</v>
      </c>
      <c r="I8" s="11">
        <v>163</v>
      </c>
      <c r="J8" s="11">
        <v>33</v>
      </c>
      <c r="K8" s="11">
        <v>13</v>
      </c>
      <c r="L8" s="11" t="s">
        <v>87</v>
      </c>
      <c r="M8" s="11"/>
      <c r="N8" s="11">
        <v>93</v>
      </c>
      <c r="O8" s="11">
        <v>78</v>
      </c>
      <c r="P8" s="11">
        <v>63</v>
      </c>
      <c r="Q8" s="11">
        <v>63</v>
      </c>
      <c r="R8" s="11"/>
      <c r="S8" s="11">
        <v>58</v>
      </c>
      <c r="T8" s="11">
        <v>56</v>
      </c>
      <c r="U8" s="11">
        <v>37</v>
      </c>
      <c r="V8" s="11">
        <v>38</v>
      </c>
      <c r="W8" s="11">
        <v>18</v>
      </c>
      <c r="X8" s="11">
        <v>22</v>
      </c>
      <c r="Y8" s="11">
        <v>22</v>
      </c>
      <c r="Z8" s="11">
        <v>14</v>
      </c>
      <c r="AA8" s="11">
        <v>31</v>
      </c>
      <c r="AB8" s="11"/>
      <c r="AC8" s="11">
        <v>33</v>
      </c>
      <c r="AD8" s="11">
        <v>63</v>
      </c>
      <c r="AE8" s="11">
        <v>106</v>
      </c>
      <c r="AF8" s="11">
        <v>50</v>
      </c>
      <c r="AG8" s="11">
        <v>16</v>
      </c>
      <c r="AH8" s="11"/>
      <c r="AI8" s="11">
        <v>106</v>
      </c>
      <c r="AJ8" s="11">
        <v>50</v>
      </c>
      <c r="AK8" s="11">
        <v>35</v>
      </c>
      <c r="AL8" s="11">
        <v>41</v>
      </c>
      <c r="AM8" s="11">
        <v>17</v>
      </c>
      <c r="AN8" s="11">
        <v>19</v>
      </c>
      <c r="AO8" s="11"/>
      <c r="AP8" s="11">
        <v>140</v>
      </c>
      <c r="AQ8" s="11">
        <v>157</v>
      </c>
      <c r="AR8" s="11"/>
      <c r="AS8" s="11">
        <v>297</v>
      </c>
      <c r="AT8" s="11" t="s">
        <v>87</v>
      </c>
      <c r="AU8" s="11" t="s">
        <v>87</v>
      </c>
      <c r="AV8" s="11"/>
      <c r="AW8" s="11">
        <v>223</v>
      </c>
      <c r="AX8" s="11">
        <v>66</v>
      </c>
      <c r="AY8" s="11"/>
      <c r="AZ8" s="11">
        <v>239</v>
      </c>
      <c r="BA8" s="11">
        <v>56</v>
      </c>
    </row>
    <row r="9" spans="2:53" x14ac:dyDescent="0.35">
      <c r="B9" s="15" t="s">
        <v>220</v>
      </c>
      <c r="C9" s="14">
        <v>0.47180705556883401</v>
      </c>
      <c r="D9" s="14">
        <v>0.58349746805274305</v>
      </c>
      <c r="E9" s="14">
        <v>0.34026805779092301</v>
      </c>
      <c r="F9" s="14"/>
      <c r="G9" s="14">
        <v>0.80634091734897795</v>
      </c>
      <c r="H9" s="14">
        <v>0.51322896578436905</v>
      </c>
      <c r="I9" s="14">
        <v>0.44720670688853698</v>
      </c>
      <c r="J9" s="14">
        <v>0.46657412705203</v>
      </c>
      <c r="K9" s="14">
        <v>0.37074677541453099</v>
      </c>
      <c r="L9" s="14" t="s">
        <v>88</v>
      </c>
      <c r="M9" s="14"/>
      <c r="N9" s="14">
        <v>0.54300136620553896</v>
      </c>
      <c r="O9" s="14">
        <v>0.395429570688342</v>
      </c>
      <c r="P9" s="14">
        <v>0.40854229884715298</v>
      </c>
      <c r="Q9" s="14">
        <v>0.52520414812236005</v>
      </c>
      <c r="R9" s="14"/>
      <c r="S9" s="14">
        <v>0.66292426302768404</v>
      </c>
      <c r="T9" s="14">
        <v>0.43670382377470601</v>
      </c>
      <c r="U9" s="14">
        <v>0.51882881598535002</v>
      </c>
      <c r="V9" s="14">
        <v>0.33557830800501398</v>
      </c>
      <c r="W9" s="14">
        <v>0.59724569599237898</v>
      </c>
      <c r="X9" s="14">
        <v>0.33318463783455299</v>
      </c>
      <c r="Y9" s="14">
        <v>0.486675432823096</v>
      </c>
      <c r="Z9" s="14">
        <v>0.40174655494421802</v>
      </c>
      <c r="AA9" s="14">
        <v>0.335836018473463</v>
      </c>
      <c r="AB9" s="14"/>
      <c r="AC9" s="14">
        <v>0.28053138609037198</v>
      </c>
      <c r="AD9" s="14">
        <v>0.488946214352176</v>
      </c>
      <c r="AE9" s="14">
        <v>0.42843351130958301</v>
      </c>
      <c r="AF9" s="14">
        <v>0.53611930325342805</v>
      </c>
      <c r="AG9" s="14">
        <v>0.63211046221159795</v>
      </c>
      <c r="AH9" s="14"/>
      <c r="AI9" s="14">
        <v>0.56921199623016705</v>
      </c>
      <c r="AJ9" s="14">
        <v>0.46514357037976001</v>
      </c>
      <c r="AK9" s="14">
        <v>0.42684180839229602</v>
      </c>
      <c r="AL9" s="14">
        <v>0.42015149519678602</v>
      </c>
      <c r="AM9" s="14">
        <v>0.46388481902214401</v>
      </c>
      <c r="AN9" s="14">
        <v>0.39446310586034</v>
      </c>
      <c r="AO9" s="14"/>
      <c r="AP9" s="14">
        <v>0.50572619269556496</v>
      </c>
      <c r="AQ9" s="14">
        <v>0.44165219315779602</v>
      </c>
      <c r="AR9" s="14"/>
      <c r="AS9" s="14">
        <v>0.47180705556883401</v>
      </c>
      <c r="AT9" s="14" t="s">
        <v>88</v>
      </c>
      <c r="AU9" s="14" t="s">
        <v>88</v>
      </c>
      <c r="AV9" s="14"/>
      <c r="AW9" s="14">
        <v>0.42961101624646703</v>
      </c>
      <c r="AX9" s="14">
        <v>0.61998402612549797</v>
      </c>
      <c r="AY9" s="14"/>
      <c r="AZ9" s="14">
        <v>0.54685017788990398</v>
      </c>
      <c r="BA9" s="14">
        <v>0.16490134886906399</v>
      </c>
    </row>
    <row r="10" spans="2:53" x14ac:dyDescent="0.35">
      <c r="B10" s="15" t="s">
        <v>221</v>
      </c>
      <c r="C10" s="14">
        <v>0.37591056934023698</v>
      </c>
      <c r="D10" s="14">
        <v>0.30417052007029999</v>
      </c>
      <c r="E10" s="14">
        <v>0.46039959549425002</v>
      </c>
      <c r="F10" s="14"/>
      <c r="G10" s="14">
        <v>0</v>
      </c>
      <c r="H10" s="14">
        <v>0.35107181024141798</v>
      </c>
      <c r="I10" s="14">
        <v>0.40017475089260601</v>
      </c>
      <c r="J10" s="14">
        <v>0.365527585955225</v>
      </c>
      <c r="K10" s="14">
        <v>0.43483045815737797</v>
      </c>
      <c r="L10" s="14" t="s">
        <v>88</v>
      </c>
      <c r="M10" s="14"/>
      <c r="N10" s="14">
        <v>0.382906849274607</v>
      </c>
      <c r="O10" s="14">
        <v>0.44810801562576302</v>
      </c>
      <c r="P10" s="14">
        <v>0.35939470195975698</v>
      </c>
      <c r="Q10" s="14">
        <v>0.29189152402318702</v>
      </c>
      <c r="R10" s="14"/>
      <c r="S10" s="14">
        <v>0.246257457637507</v>
      </c>
      <c r="T10" s="14">
        <v>0.41959685941366398</v>
      </c>
      <c r="U10" s="14">
        <v>0.26830633384993302</v>
      </c>
      <c r="V10" s="14">
        <v>0.46844602430882598</v>
      </c>
      <c r="W10" s="14">
        <v>0.39158512360103598</v>
      </c>
      <c r="X10" s="14">
        <v>0.486036221030549</v>
      </c>
      <c r="Y10" s="14">
        <v>0.37942106247495899</v>
      </c>
      <c r="Z10" s="14">
        <v>0.38922599294309801</v>
      </c>
      <c r="AA10" s="14">
        <v>0.45741587100265801</v>
      </c>
      <c r="AB10" s="14"/>
      <c r="AC10" s="14">
        <v>0.37030186835912698</v>
      </c>
      <c r="AD10" s="14">
        <v>0.31316213712684199</v>
      </c>
      <c r="AE10" s="14">
        <v>0.42215333166836799</v>
      </c>
      <c r="AF10" s="14">
        <v>0.42601197763277199</v>
      </c>
      <c r="AG10" s="14">
        <v>0.26178212859178701</v>
      </c>
      <c r="AH10" s="14"/>
      <c r="AI10" s="14">
        <v>0.32762523973325303</v>
      </c>
      <c r="AJ10" s="14">
        <v>0.45324671361124802</v>
      </c>
      <c r="AK10" s="14">
        <v>0.36060241906249402</v>
      </c>
      <c r="AL10" s="14">
        <v>0.37660785250223799</v>
      </c>
      <c r="AM10" s="14">
        <v>0.44729049447222402</v>
      </c>
      <c r="AN10" s="14">
        <v>0.45779659960632801</v>
      </c>
      <c r="AO10" s="14"/>
      <c r="AP10" s="14">
        <v>0.35252300972378098</v>
      </c>
      <c r="AQ10" s="14">
        <v>0.39670262663017303</v>
      </c>
      <c r="AR10" s="14"/>
      <c r="AS10" s="14">
        <v>0.37591056934023698</v>
      </c>
      <c r="AT10" s="14" t="s">
        <v>88</v>
      </c>
      <c r="AU10" s="14" t="s">
        <v>88</v>
      </c>
      <c r="AV10" s="14"/>
      <c r="AW10" s="14">
        <v>0.390748758817419</v>
      </c>
      <c r="AX10" s="14">
        <v>0.301341722469045</v>
      </c>
      <c r="AY10" s="14"/>
      <c r="AZ10" s="14">
        <v>0.35483965778361198</v>
      </c>
      <c r="BA10" s="14">
        <v>0.47420132718008201</v>
      </c>
    </row>
    <row r="11" spans="2:53" x14ac:dyDescent="0.35">
      <c r="B11" s="15" t="s">
        <v>222</v>
      </c>
      <c r="C11" s="14">
        <v>8.6761567507699797E-2</v>
      </c>
      <c r="D11" s="14">
        <v>8.1775995661379705E-2</v>
      </c>
      <c r="E11" s="14">
        <v>9.2633128991181604E-2</v>
      </c>
      <c r="F11" s="14"/>
      <c r="G11" s="14">
        <v>0.193659082651022</v>
      </c>
      <c r="H11" s="14">
        <v>4.1277411127451799E-2</v>
      </c>
      <c r="I11" s="14">
        <v>0.10483567836373001</v>
      </c>
      <c r="J11" s="14">
        <v>0.123160180802332</v>
      </c>
      <c r="K11" s="14">
        <v>0</v>
      </c>
      <c r="L11" s="14" t="s">
        <v>88</v>
      </c>
      <c r="M11" s="14"/>
      <c r="N11" s="14">
        <v>1.7999033240656801E-2</v>
      </c>
      <c r="O11" s="14">
        <v>0.117110299492746</v>
      </c>
      <c r="P11" s="14">
        <v>0.11072543600371799</v>
      </c>
      <c r="Q11" s="14">
        <v>0.126471237010327</v>
      </c>
      <c r="R11" s="14"/>
      <c r="S11" s="14">
        <v>9.0818279334808696E-2</v>
      </c>
      <c r="T11" s="14">
        <v>5.84494590352286E-2</v>
      </c>
      <c r="U11" s="14">
        <v>0.12481534516643</v>
      </c>
      <c r="V11" s="14">
        <v>9.4899694100610194E-2</v>
      </c>
      <c r="W11" s="14">
        <v>1.1169180406585001E-2</v>
      </c>
      <c r="X11" s="14">
        <v>0.11169904784771</v>
      </c>
      <c r="Y11" s="14">
        <v>0.12149768304786999</v>
      </c>
      <c r="Z11" s="14">
        <v>7.4551708771763495E-2</v>
      </c>
      <c r="AA11" s="14">
        <v>8.3048481417903705E-2</v>
      </c>
      <c r="AB11" s="14"/>
      <c r="AC11" s="14">
        <v>0.27577141742162398</v>
      </c>
      <c r="AD11" s="14">
        <v>9.7931360432382306E-2</v>
      </c>
      <c r="AE11" s="14">
        <v>7.9964511559114201E-2</v>
      </c>
      <c r="AF11" s="14">
        <v>1.2189921155313E-2</v>
      </c>
      <c r="AG11" s="14">
        <v>8.7163924892637801E-2</v>
      </c>
      <c r="AH11" s="14"/>
      <c r="AI11" s="14">
        <v>4.54933335541199E-2</v>
      </c>
      <c r="AJ11" s="14">
        <v>3.3232448809758001E-2</v>
      </c>
      <c r="AK11" s="14">
        <v>0.10096064868164099</v>
      </c>
      <c r="AL11" s="14">
        <v>0.136455524975307</v>
      </c>
      <c r="AM11" s="14">
        <v>0</v>
      </c>
      <c r="AN11" s="14">
        <v>0.120625898048952</v>
      </c>
      <c r="AO11" s="14"/>
      <c r="AP11" s="14">
        <v>9.8471481743617306E-2</v>
      </c>
      <c r="AQ11" s="14">
        <v>7.6351194999995903E-2</v>
      </c>
      <c r="AR11" s="14"/>
      <c r="AS11" s="14">
        <v>8.6761567507699797E-2</v>
      </c>
      <c r="AT11" s="14" t="s">
        <v>88</v>
      </c>
      <c r="AU11" s="14" t="s">
        <v>88</v>
      </c>
      <c r="AV11" s="14"/>
      <c r="AW11" s="14">
        <v>0.10788658888430699</v>
      </c>
      <c r="AX11" s="14">
        <v>2.6056957881439701E-2</v>
      </c>
      <c r="AY11" s="14"/>
      <c r="AZ11" s="14">
        <v>5.7838053482327297E-2</v>
      </c>
      <c r="BA11" s="14">
        <v>0.21145259107914899</v>
      </c>
    </row>
    <row r="12" spans="2:53" x14ac:dyDescent="0.35">
      <c r="B12" s="15" t="s">
        <v>223</v>
      </c>
      <c r="C12" s="14">
        <v>1.7024868256453701E-2</v>
      </c>
      <c r="D12" s="14">
        <v>2.5076940879881098E-3</v>
      </c>
      <c r="E12" s="14">
        <v>3.4121900116394599E-2</v>
      </c>
      <c r="F12" s="14"/>
      <c r="G12" s="14">
        <v>0</v>
      </c>
      <c r="H12" s="14">
        <v>3.4402374552027E-2</v>
      </c>
      <c r="I12" s="14">
        <v>1.37097828656091E-2</v>
      </c>
      <c r="J12" s="14">
        <v>0</v>
      </c>
      <c r="K12" s="14">
        <v>0</v>
      </c>
      <c r="L12" s="14" t="s">
        <v>88</v>
      </c>
      <c r="M12" s="14"/>
      <c r="N12" s="14">
        <v>4.3383799360279598E-3</v>
      </c>
      <c r="O12" s="14">
        <v>0</v>
      </c>
      <c r="P12" s="14">
        <v>3.5738134717053303E-2</v>
      </c>
      <c r="Q12" s="14">
        <v>3.8347157914755299E-2</v>
      </c>
      <c r="R12" s="14"/>
      <c r="S12" s="14">
        <v>0</v>
      </c>
      <c r="T12" s="14">
        <v>4.3965388802793499E-2</v>
      </c>
      <c r="U12" s="14">
        <v>1.0939327122665999E-2</v>
      </c>
      <c r="V12" s="14">
        <v>0</v>
      </c>
      <c r="W12" s="14">
        <v>0</v>
      </c>
      <c r="X12" s="14">
        <v>4.52054372228822E-2</v>
      </c>
      <c r="Y12" s="14">
        <v>0</v>
      </c>
      <c r="Z12" s="14">
        <v>8.1817802266703807E-2</v>
      </c>
      <c r="AA12" s="14">
        <v>0</v>
      </c>
      <c r="AB12" s="14"/>
      <c r="AC12" s="14">
        <v>7.3395328128877502E-2</v>
      </c>
      <c r="AD12" s="14">
        <v>1.97287886835961E-2</v>
      </c>
      <c r="AE12" s="14">
        <v>0</v>
      </c>
      <c r="AF12" s="14">
        <v>8.0208212789103003E-3</v>
      </c>
      <c r="AG12" s="14">
        <v>0</v>
      </c>
      <c r="AH12" s="14"/>
      <c r="AI12" s="14">
        <v>3.7967262919362298E-3</v>
      </c>
      <c r="AJ12" s="14">
        <v>1.9668247571262301E-2</v>
      </c>
      <c r="AK12" s="14">
        <v>3.5273704058116598E-2</v>
      </c>
      <c r="AL12" s="14">
        <v>5.9323109746521503E-2</v>
      </c>
      <c r="AM12" s="14">
        <v>0</v>
      </c>
      <c r="AN12" s="14">
        <v>0</v>
      </c>
      <c r="AO12" s="14"/>
      <c r="AP12" s="14">
        <v>9.96883740810218E-3</v>
      </c>
      <c r="AQ12" s="14">
        <v>2.3297835596545701E-2</v>
      </c>
      <c r="AR12" s="14"/>
      <c r="AS12" s="14">
        <v>1.7024868256453701E-2</v>
      </c>
      <c r="AT12" s="14" t="s">
        <v>88</v>
      </c>
      <c r="AU12" s="14" t="s">
        <v>88</v>
      </c>
      <c r="AV12" s="14"/>
      <c r="AW12" s="14">
        <v>2.0872436559934E-2</v>
      </c>
      <c r="AX12" s="14">
        <v>6.1218939407234902E-3</v>
      </c>
      <c r="AY12" s="14"/>
      <c r="AZ12" s="14">
        <v>1.68367349004651E-3</v>
      </c>
      <c r="BA12" s="14">
        <v>8.2470667644405707E-2</v>
      </c>
    </row>
    <row r="13" spans="2:53" x14ac:dyDescent="0.35">
      <c r="B13" s="15" t="s">
        <v>116</v>
      </c>
      <c r="C13" s="18">
        <v>7.0888069954909497E-3</v>
      </c>
      <c r="D13" s="18">
        <v>0</v>
      </c>
      <c r="E13" s="18">
        <v>1.5437371092362401E-2</v>
      </c>
      <c r="F13" s="18"/>
      <c r="G13" s="18">
        <v>0</v>
      </c>
      <c r="H13" s="18">
        <v>1.6440377857113098E-2</v>
      </c>
      <c r="I13" s="18">
        <v>4.6501502561331898E-3</v>
      </c>
      <c r="J13" s="18">
        <v>0</v>
      </c>
      <c r="K13" s="18">
        <v>0</v>
      </c>
      <c r="L13" s="18" t="s">
        <v>88</v>
      </c>
      <c r="M13" s="18"/>
      <c r="N13" s="18">
        <v>0</v>
      </c>
      <c r="O13" s="18">
        <v>9.6838517459826995E-3</v>
      </c>
      <c r="P13" s="18">
        <v>2.1435296463133899E-2</v>
      </c>
      <c r="Q13" s="18">
        <v>0</v>
      </c>
      <c r="R13" s="18"/>
      <c r="S13" s="18">
        <v>0</v>
      </c>
      <c r="T13" s="18">
        <v>0</v>
      </c>
      <c r="U13" s="18">
        <v>0</v>
      </c>
      <c r="V13" s="18">
        <v>3.52937551975437E-2</v>
      </c>
      <c r="W13" s="18">
        <v>0</v>
      </c>
      <c r="X13" s="18">
        <v>0</v>
      </c>
      <c r="Y13" s="18">
        <v>0</v>
      </c>
      <c r="Z13" s="18">
        <v>5.2657941074217098E-2</v>
      </c>
      <c r="AA13" s="18">
        <v>0</v>
      </c>
      <c r="AB13" s="18"/>
      <c r="AC13" s="18">
        <v>0</v>
      </c>
      <c r="AD13" s="18">
        <v>2.11988436446254E-2</v>
      </c>
      <c r="AE13" s="18">
        <v>0</v>
      </c>
      <c r="AF13" s="18">
        <v>0</v>
      </c>
      <c r="AG13" s="18">
        <v>0</v>
      </c>
      <c r="AH13" s="18"/>
      <c r="AI13" s="18">
        <v>7.1689067897733796E-3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/>
      <c r="AP13" s="18">
        <v>5.4410300484480003E-3</v>
      </c>
      <c r="AQ13" s="18">
        <v>8.5537171120576797E-3</v>
      </c>
      <c r="AR13" s="18"/>
      <c r="AS13" s="18">
        <v>7.0888069954909497E-3</v>
      </c>
      <c r="AT13" s="18" t="s">
        <v>88</v>
      </c>
      <c r="AU13" s="18" t="s">
        <v>88</v>
      </c>
      <c r="AV13" s="18"/>
      <c r="AW13" s="18">
        <v>9.4430716835337408E-3</v>
      </c>
      <c r="AX13" s="18">
        <v>0</v>
      </c>
      <c r="AY13" s="18"/>
      <c r="AZ13" s="18">
        <v>0</v>
      </c>
      <c r="BA13" s="18">
        <v>1.34779281505343E-2</v>
      </c>
    </row>
    <row r="14" spans="2:53" x14ac:dyDescent="0.35">
      <c r="B14" s="26" t="s">
        <v>224</v>
      </c>
      <c r="C14" s="27">
        <v>0.84771762490907099</v>
      </c>
      <c r="D14" s="27">
        <v>0.88766798812304304</v>
      </c>
      <c r="E14" s="27">
        <v>0.80066765328517298</v>
      </c>
      <c r="F14" s="27"/>
      <c r="G14" s="27">
        <v>0.80634091734897795</v>
      </c>
      <c r="H14" s="27">
        <v>0.86430077602578703</v>
      </c>
      <c r="I14" s="27">
        <v>0.84738145778114304</v>
      </c>
      <c r="J14" s="27">
        <v>0.83210171300725499</v>
      </c>
      <c r="K14" s="27">
        <v>0.80557723357190902</v>
      </c>
      <c r="L14" s="27" t="s">
        <v>88</v>
      </c>
      <c r="M14" s="27"/>
      <c r="N14" s="27">
        <v>0.92590821548014501</v>
      </c>
      <c r="O14" s="27">
        <v>0.84353758631410602</v>
      </c>
      <c r="P14" s="27">
        <v>0.76793700080691096</v>
      </c>
      <c r="Q14" s="27">
        <v>0.81709567214554701</v>
      </c>
      <c r="R14" s="27"/>
      <c r="S14" s="27">
        <v>0.90918172066519098</v>
      </c>
      <c r="T14" s="27">
        <v>0.85630068318837005</v>
      </c>
      <c r="U14" s="27">
        <v>0.78713514983528399</v>
      </c>
      <c r="V14" s="27">
        <v>0.80402433231383996</v>
      </c>
      <c r="W14" s="27">
        <v>0.98883081959341501</v>
      </c>
      <c r="X14" s="27">
        <v>0.81922085886510199</v>
      </c>
      <c r="Y14" s="27">
        <v>0.86609649529805399</v>
      </c>
      <c r="Z14" s="27">
        <v>0.79097254788731597</v>
      </c>
      <c r="AA14" s="27">
        <v>0.79325188947612102</v>
      </c>
      <c r="AB14" s="27"/>
      <c r="AC14" s="27">
        <v>0.65083325444949902</v>
      </c>
      <c r="AD14" s="27">
        <v>0.80210835147901705</v>
      </c>
      <c r="AE14" s="27">
        <v>0.85058684297795095</v>
      </c>
      <c r="AF14" s="27">
        <v>0.96213128088620004</v>
      </c>
      <c r="AG14" s="27">
        <v>0.89389259080338501</v>
      </c>
      <c r="AH14" s="27"/>
      <c r="AI14" s="27">
        <v>0.89683723596342002</v>
      </c>
      <c r="AJ14" s="27">
        <v>0.91839028399100697</v>
      </c>
      <c r="AK14" s="27">
        <v>0.78744422745479004</v>
      </c>
      <c r="AL14" s="27">
        <v>0.79675934769902501</v>
      </c>
      <c r="AM14" s="27">
        <v>0.91117531349436898</v>
      </c>
      <c r="AN14" s="27">
        <v>0.85225970546666696</v>
      </c>
      <c r="AO14" s="27"/>
      <c r="AP14" s="27">
        <v>0.85824920241934599</v>
      </c>
      <c r="AQ14" s="27">
        <v>0.838354819787969</v>
      </c>
      <c r="AR14" s="27"/>
      <c r="AS14" s="27">
        <v>0.84771762490907099</v>
      </c>
      <c r="AT14" s="27" t="s">
        <v>88</v>
      </c>
      <c r="AU14" s="27" t="s">
        <v>88</v>
      </c>
      <c r="AV14" s="27"/>
      <c r="AW14" s="27">
        <v>0.82035977506388602</v>
      </c>
      <c r="AX14" s="27">
        <v>0.92132574859454297</v>
      </c>
      <c r="AY14" s="27"/>
      <c r="AZ14" s="27">
        <v>0.90168983567351702</v>
      </c>
      <c r="BA14" s="27">
        <v>0.63910267604914595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BA16"/>
  <sheetViews>
    <sheetView showGridLines="0" topLeftCell="A5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363</v>
      </c>
      <c r="D7" s="10">
        <v>168</v>
      </c>
      <c r="E7" s="10">
        <v>195</v>
      </c>
      <c r="F7" s="10"/>
      <c r="G7" s="10">
        <v>7</v>
      </c>
      <c r="H7" s="10">
        <v>124</v>
      </c>
      <c r="I7" s="10">
        <v>179</v>
      </c>
      <c r="J7" s="10">
        <v>43</v>
      </c>
      <c r="K7" s="10">
        <v>10</v>
      </c>
      <c r="L7" s="10" t="s">
        <v>87</v>
      </c>
      <c r="M7" s="10"/>
      <c r="N7" s="10">
        <v>174</v>
      </c>
      <c r="O7" s="10">
        <v>85</v>
      </c>
      <c r="P7" s="10">
        <v>48</v>
      </c>
      <c r="Q7" s="10">
        <v>56</v>
      </c>
      <c r="R7" s="10"/>
      <c r="S7" s="10">
        <v>82</v>
      </c>
      <c r="T7" s="10">
        <v>57</v>
      </c>
      <c r="U7" s="10">
        <v>33</v>
      </c>
      <c r="V7" s="10">
        <v>40</v>
      </c>
      <c r="W7" s="10">
        <v>21</v>
      </c>
      <c r="X7" s="10">
        <v>31</v>
      </c>
      <c r="Y7" s="10">
        <v>33</v>
      </c>
      <c r="Z7" s="10">
        <v>20</v>
      </c>
      <c r="AA7" s="10">
        <v>46</v>
      </c>
      <c r="AB7" s="10"/>
      <c r="AC7" s="10">
        <v>31</v>
      </c>
      <c r="AD7" s="10">
        <v>61</v>
      </c>
      <c r="AE7" s="10">
        <v>132</v>
      </c>
      <c r="AF7" s="10">
        <v>78</v>
      </c>
      <c r="AG7" s="10">
        <v>30</v>
      </c>
      <c r="AH7" s="10"/>
      <c r="AI7" s="10">
        <v>146</v>
      </c>
      <c r="AJ7" s="10">
        <v>63</v>
      </c>
      <c r="AK7" s="10">
        <v>37</v>
      </c>
      <c r="AL7" s="10">
        <v>44</v>
      </c>
      <c r="AM7" s="10">
        <v>18</v>
      </c>
      <c r="AN7" s="10">
        <v>27</v>
      </c>
      <c r="AO7" s="10"/>
      <c r="AP7" s="10">
        <v>178</v>
      </c>
      <c r="AQ7" s="10">
        <v>185</v>
      </c>
      <c r="AR7" s="10"/>
      <c r="AS7" s="10">
        <v>363</v>
      </c>
      <c r="AT7" s="10" t="s">
        <v>87</v>
      </c>
      <c r="AU7" s="10" t="s">
        <v>87</v>
      </c>
      <c r="AV7" s="10"/>
      <c r="AW7" s="10">
        <v>251</v>
      </c>
      <c r="AX7" s="10">
        <v>101</v>
      </c>
      <c r="AY7" s="10"/>
      <c r="AZ7" s="10">
        <v>301</v>
      </c>
      <c r="BA7" s="10">
        <v>61</v>
      </c>
    </row>
    <row r="8" spans="2:53" ht="30" customHeight="1" x14ac:dyDescent="0.35">
      <c r="B8" s="11" t="s">
        <v>19</v>
      </c>
      <c r="C8" s="11">
        <v>355</v>
      </c>
      <c r="D8" s="11">
        <v>199</v>
      </c>
      <c r="E8" s="11">
        <v>156</v>
      </c>
      <c r="F8" s="11"/>
      <c r="G8" s="11">
        <v>6</v>
      </c>
      <c r="H8" s="11">
        <v>98</v>
      </c>
      <c r="I8" s="11">
        <v>191</v>
      </c>
      <c r="J8" s="11">
        <v>47</v>
      </c>
      <c r="K8" s="11">
        <v>13</v>
      </c>
      <c r="L8" s="11" t="s">
        <v>87</v>
      </c>
      <c r="M8" s="11"/>
      <c r="N8" s="11">
        <v>103</v>
      </c>
      <c r="O8" s="11">
        <v>95</v>
      </c>
      <c r="P8" s="11">
        <v>72</v>
      </c>
      <c r="Q8" s="11">
        <v>85</v>
      </c>
      <c r="R8" s="11"/>
      <c r="S8" s="11">
        <v>70</v>
      </c>
      <c r="T8" s="11">
        <v>61</v>
      </c>
      <c r="U8" s="11">
        <v>44</v>
      </c>
      <c r="V8" s="11">
        <v>47</v>
      </c>
      <c r="W8" s="11">
        <v>21</v>
      </c>
      <c r="X8" s="11">
        <v>23</v>
      </c>
      <c r="Y8" s="11">
        <v>30</v>
      </c>
      <c r="Z8" s="11">
        <v>19</v>
      </c>
      <c r="AA8" s="11">
        <v>39</v>
      </c>
      <c r="AB8" s="11"/>
      <c r="AC8" s="11">
        <v>41</v>
      </c>
      <c r="AD8" s="11">
        <v>77</v>
      </c>
      <c r="AE8" s="11">
        <v>124</v>
      </c>
      <c r="AF8" s="11">
        <v>59</v>
      </c>
      <c r="AG8" s="11">
        <v>16</v>
      </c>
      <c r="AH8" s="11"/>
      <c r="AI8" s="11">
        <v>128</v>
      </c>
      <c r="AJ8" s="11">
        <v>61</v>
      </c>
      <c r="AK8" s="11">
        <v>37</v>
      </c>
      <c r="AL8" s="11">
        <v>47</v>
      </c>
      <c r="AM8" s="11">
        <v>19</v>
      </c>
      <c r="AN8" s="11">
        <v>28</v>
      </c>
      <c r="AO8" s="11"/>
      <c r="AP8" s="11">
        <v>167</v>
      </c>
      <c r="AQ8" s="11">
        <v>188</v>
      </c>
      <c r="AR8" s="11"/>
      <c r="AS8" s="11">
        <v>355</v>
      </c>
      <c r="AT8" s="11" t="s">
        <v>87</v>
      </c>
      <c r="AU8" s="11" t="s">
        <v>87</v>
      </c>
      <c r="AV8" s="11"/>
      <c r="AW8" s="11">
        <v>267</v>
      </c>
      <c r="AX8" s="11">
        <v>74</v>
      </c>
      <c r="AY8" s="11"/>
      <c r="AZ8" s="11">
        <v>290</v>
      </c>
      <c r="BA8" s="11">
        <v>64</v>
      </c>
    </row>
    <row r="9" spans="2:53" x14ac:dyDescent="0.35">
      <c r="B9" s="15" t="s">
        <v>154</v>
      </c>
      <c r="C9" s="14">
        <v>0.53724141227028299</v>
      </c>
      <c r="D9" s="14">
        <v>0.51461135296729399</v>
      </c>
      <c r="E9" s="14">
        <v>0.56611401596302202</v>
      </c>
      <c r="F9" s="14"/>
      <c r="G9" s="14">
        <v>0.44799906943940199</v>
      </c>
      <c r="H9" s="14">
        <v>0.46730477760528999</v>
      </c>
      <c r="I9" s="14">
        <v>0.58505149590882799</v>
      </c>
      <c r="J9" s="14">
        <v>0.50259924336188699</v>
      </c>
      <c r="K9" s="14">
        <v>0.52799574245662595</v>
      </c>
      <c r="L9" s="14" t="s">
        <v>88</v>
      </c>
      <c r="M9" s="14"/>
      <c r="N9" s="14">
        <v>0.60995371919464403</v>
      </c>
      <c r="O9" s="14">
        <v>0.47413324720127298</v>
      </c>
      <c r="P9" s="14">
        <v>0.44533705962755199</v>
      </c>
      <c r="Q9" s="14">
        <v>0.59689607402802203</v>
      </c>
      <c r="R9" s="14"/>
      <c r="S9" s="14">
        <v>0.70025986281247898</v>
      </c>
      <c r="T9" s="14">
        <v>0.40174386526271799</v>
      </c>
      <c r="U9" s="14">
        <v>0.45447056895340499</v>
      </c>
      <c r="V9" s="14">
        <v>0.48881031541299802</v>
      </c>
      <c r="W9" s="14">
        <v>0.54402800925800499</v>
      </c>
      <c r="X9" s="14">
        <v>0.69855001381593496</v>
      </c>
      <c r="Y9" s="14">
        <v>0.58240160723182499</v>
      </c>
      <c r="Z9" s="14">
        <v>0.54891285199641704</v>
      </c>
      <c r="AA9" s="14">
        <v>0.47341334925816903</v>
      </c>
      <c r="AB9" s="14"/>
      <c r="AC9" s="14">
        <v>0.35767925537943901</v>
      </c>
      <c r="AD9" s="14">
        <v>0.46582052414570602</v>
      </c>
      <c r="AE9" s="14">
        <v>0.54119158212661</v>
      </c>
      <c r="AF9" s="14">
        <v>0.58883853378070705</v>
      </c>
      <c r="AG9" s="14">
        <v>0.76883112150873201</v>
      </c>
      <c r="AH9" s="14"/>
      <c r="AI9" s="14">
        <v>0.56941819756753098</v>
      </c>
      <c r="AJ9" s="14">
        <v>0.59560004527792199</v>
      </c>
      <c r="AK9" s="14">
        <v>0.55666957037820097</v>
      </c>
      <c r="AL9" s="14">
        <v>0.46227059974440599</v>
      </c>
      <c r="AM9" s="14">
        <v>0.673306208653771</v>
      </c>
      <c r="AN9" s="14">
        <v>0.49506105723224197</v>
      </c>
      <c r="AO9" s="14"/>
      <c r="AP9" s="14">
        <v>0.572293632386775</v>
      </c>
      <c r="AQ9" s="14">
        <v>0.50618105514997602</v>
      </c>
      <c r="AR9" s="14"/>
      <c r="AS9" s="14">
        <v>0.53724141227028299</v>
      </c>
      <c r="AT9" s="14" t="s">
        <v>88</v>
      </c>
      <c r="AU9" s="14" t="s">
        <v>88</v>
      </c>
      <c r="AV9" s="14"/>
      <c r="AW9" s="14">
        <v>0.496581302980586</v>
      </c>
      <c r="AX9" s="14">
        <v>0.71216215920778403</v>
      </c>
      <c r="AY9" s="14"/>
      <c r="AZ9" s="14">
        <v>0.55919683605117698</v>
      </c>
      <c r="BA9" s="14">
        <v>0.448722732457488</v>
      </c>
    </row>
    <row r="10" spans="2:53" x14ac:dyDescent="0.35">
      <c r="B10" s="15" t="s">
        <v>155</v>
      </c>
      <c r="C10" s="14">
        <v>0.34258291992277101</v>
      </c>
      <c r="D10" s="14">
        <v>0.35217798584941401</v>
      </c>
      <c r="E10" s="14">
        <v>0.33034103702725898</v>
      </c>
      <c r="F10" s="14"/>
      <c r="G10" s="14">
        <v>0.35489752027969601</v>
      </c>
      <c r="H10" s="14">
        <v>0.40319067675770098</v>
      </c>
      <c r="I10" s="14">
        <v>0.33835116480792499</v>
      </c>
      <c r="J10" s="14">
        <v>0.25577744698719501</v>
      </c>
      <c r="K10" s="14">
        <v>0.255294760452556</v>
      </c>
      <c r="L10" s="14" t="s">
        <v>88</v>
      </c>
      <c r="M10" s="14"/>
      <c r="N10" s="14">
        <v>0.343629091122297</v>
      </c>
      <c r="O10" s="14">
        <v>0.42331037440765001</v>
      </c>
      <c r="P10" s="14">
        <v>0.36882707179778801</v>
      </c>
      <c r="Q10" s="14">
        <v>0.22931503208099099</v>
      </c>
      <c r="R10" s="14"/>
      <c r="S10" s="14">
        <v>0.17596543223309899</v>
      </c>
      <c r="T10" s="14">
        <v>0.47167361429294002</v>
      </c>
      <c r="U10" s="14">
        <v>0.23422873322159499</v>
      </c>
      <c r="V10" s="14">
        <v>0.40378059398694699</v>
      </c>
      <c r="W10" s="14">
        <v>0.45597199074199501</v>
      </c>
      <c r="X10" s="14">
        <v>0.232374429620192</v>
      </c>
      <c r="Y10" s="14">
        <v>0.343722358566381</v>
      </c>
      <c r="Z10" s="14">
        <v>0.45108714800358302</v>
      </c>
      <c r="AA10" s="14">
        <v>0.435038143712148</v>
      </c>
      <c r="AB10" s="14"/>
      <c r="AC10" s="14">
        <v>0.40346949917492497</v>
      </c>
      <c r="AD10" s="14">
        <v>0.38392236885921099</v>
      </c>
      <c r="AE10" s="14">
        <v>0.343811884454362</v>
      </c>
      <c r="AF10" s="14">
        <v>0.337892155134426</v>
      </c>
      <c r="AG10" s="14">
        <v>0.20654194244927601</v>
      </c>
      <c r="AH10" s="14"/>
      <c r="AI10" s="14">
        <v>0.36429383863674802</v>
      </c>
      <c r="AJ10" s="14">
        <v>0.34683066575656601</v>
      </c>
      <c r="AK10" s="14">
        <v>0.34172163118794602</v>
      </c>
      <c r="AL10" s="14">
        <v>0.39355489782909098</v>
      </c>
      <c r="AM10" s="14">
        <v>7.3597337055893094E-2</v>
      </c>
      <c r="AN10" s="14">
        <v>0.41661671419006702</v>
      </c>
      <c r="AO10" s="14"/>
      <c r="AP10" s="14">
        <v>0.30717606107713602</v>
      </c>
      <c r="AQ10" s="14">
        <v>0.37395752833840901</v>
      </c>
      <c r="AR10" s="14"/>
      <c r="AS10" s="14">
        <v>0.34258291992277101</v>
      </c>
      <c r="AT10" s="14" t="s">
        <v>88</v>
      </c>
      <c r="AU10" s="14" t="s">
        <v>88</v>
      </c>
      <c r="AV10" s="14"/>
      <c r="AW10" s="14">
        <v>0.37382302717080601</v>
      </c>
      <c r="AX10" s="14">
        <v>0.25566111091933202</v>
      </c>
      <c r="AY10" s="14"/>
      <c r="AZ10" s="14">
        <v>0.34498483217829501</v>
      </c>
      <c r="BA10" s="14">
        <v>0.33887507380190401</v>
      </c>
    </row>
    <row r="11" spans="2:53" x14ac:dyDescent="0.35">
      <c r="B11" s="15" t="s">
        <v>116</v>
      </c>
      <c r="C11" s="23">
        <v>0.120175667806946</v>
      </c>
      <c r="D11" s="23">
        <v>0.133210661183292</v>
      </c>
      <c r="E11" s="23">
        <v>0.103544947009718</v>
      </c>
      <c r="F11" s="23"/>
      <c r="G11" s="23">
        <v>0.197103410280902</v>
      </c>
      <c r="H11" s="23">
        <v>0.129504545637008</v>
      </c>
      <c r="I11" s="23">
        <v>7.6597339283246801E-2</v>
      </c>
      <c r="J11" s="23">
        <v>0.24162330965091799</v>
      </c>
      <c r="K11" s="23">
        <v>0.21670949709081799</v>
      </c>
      <c r="L11" s="23" t="s">
        <v>88</v>
      </c>
      <c r="M11" s="23"/>
      <c r="N11" s="23">
        <v>4.6417189683059502E-2</v>
      </c>
      <c r="O11" s="23">
        <v>0.10255637839107801</v>
      </c>
      <c r="P11" s="23">
        <v>0.185835868574661</v>
      </c>
      <c r="Q11" s="23">
        <v>0.17378889389098701</v>
      </c>
      <c r="R11" s="23"/>
      <c r="S11" s="23">
        <v>0.123774704954423</v>
      </c>
      <c r="T11" s="23">
        <v>0.12658252044434301</v>
      </c>
      <c r="U11" s="23">
        <v>0.31130069782499997</v>
      </c>
      <c r="V11" s="23">
        <v>0.107409090600055</v>
      </c>
      <c r="W11" s="23">
        <v>0</v>
      </c>
      <c r="X11" s="23">
        <v>6.9075556563873403E-2</v>
      </c>
      <c r="Y11" s="23">
        <v>7.3876034201794102E-2</v>
      </c>
      <c r="Z11" s="23">
        <v>0</v>
      </c>
      <c r="AA11" s="23">
        <v>9.1548507029683104E-2</v>
      </c>
      <c r="AB11" s="23"/>
      <c r="AC11" s="23">
        <v>0.23885124544563599</v>
      </c>
      <c r="AD11" s="23">
        <v>0.15025710699508299</v>
      </c>
      <c r="AE11" s="23">
        <v>0.114996533419028</v>
      </c>
      <c r="AF11" s="23">
        <v>7.3269311084866798E-2</v>
      </c>
      <c r="AG11" s="23">
        <v>2.4626936041991399E-2</v>
      </c>
      <c r="AH11" s="23"/>
      <c r="AI11" s="23">
        <v>6.6287963795720994E-2</v>
      </c>
      <c r="AJ11" s="23">
        <v>5.7569288965512201E-2</v>
      </c>
      <c r="AK11" s="23">
        <v>0.101608798433853</v>
      </c>
      <c r="AL11" s="23">
        <v>0.14417450242650301</v>
      </c>
      <c r="AM11" s="23">
        <v>0.253096454290336</v>
      </c>
      <c r="AN11" s="23">
        <v>8.8322228577690995E-2</v>
      </c>
      <c r="AO11" s="23"/>
      <c r="AP11" s="23">
        <v>0.120530306536089</v>
      </c>
      <c r="AQ11" s="23">
        <v>0.119861416511615</v>
      </c>
      <c r="AR11" s="23"/>
      <c r="AS11" s="23">
        <v>0.120175667806946</v>
      </c>
      <c r="AT11" s="23" t="s">
        <v>88</v>
      </c>
      <c r="AU11" s="23" t="s">
        <v>88</v>
      </c>
      <c r="AV11" s="23"/>
      <c r="AW11" s="23">
        <v>0.12959566984860801</v>
      </c>
      <c r="AX11" s="23">
        <v>3.2176729872884002E-2</v>
      </c>
      <c r="AY11" s="23"/>
      <c r="AZ11" s="23">
        <v>9.5818331770528106E-2</v>
      </c>
      <c r="BA11" s="23">
        <v>0.21240219374060801</v>
      </c>
    </row>
    <row r="12" spans="2:53" x14ac:dyDescent="0.35">
      <c r="B12" s="16" t="s">
        <v>213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207</v>
      </c>
      <c r="D7" s="10">
        <v>92</v>
      </c>
      <c r="E7" s="10">
        <v>115</v>
      </c>
      <c r="F7" s="10"/>
      <c r="G7" s="10">
        <v>3</v>
      </c>
      <c r="H7" s="10">
        <v>66</v>
      </c>
      <c r="I7" s="10">
        <v>111</v>
      </c>
      <c r="J7" s="10">
        <v>21</v>
      </c>
      <c r="K7" s="10">
        <v>6</v>
      </c>
      <c r="L7" s="10" t="s">
        <v>87</v>
      </c>
      <c r="M7" s="10"/>
      <c r="N7" s="10">
        <v>107</v>
      </c>
      <c r="O7" s="10">
        <v>44</v>
      </c>
      <c r="P7" s="10">
        <v>22</v>
      </c>
      <c r="Q7" s="10">
        <v>34</v>
      </c>
      <c r="R7" s="10"/>
      <c r="S7" s="10">
        <v>60</v>
      </c>
      <c r="T7" s="10">
        <v>26</v>
      </c>
      <c r="U7" s="10">
        <v>17</v>
      </c>
      <c r="V7" s="10">
        <v>19</v>
      </c>
      <c r="W7" s="10">
        <v>10</v>
      </c>
      <c r="X7" s="10">
        <v>23</v>
      </c>
      <c r="Y7" s="10">
        <v>19</v>
      </c>
      <c r="Z7" s="10">
        <v>11</v>
      </c>
      <c r="AA7" s="10">
        <v>22</v>
      </c>
      <c r="AB7" s="10"/>
      <c r="AC7" s="10">
        <v>12</v>
      </c>
      <c r="AD7" s="10">
        <v>29</v>
      </c>
      <c r="AE7" s="10">
        <v>75</v>
      </c>
      <c r="AF7" s="10">
        <v>47</v>
      </c>
      <c r="AG7" s="10">
        <v>23</v>
      </c>
      <c r="AH7" s="10"/>
      <c r="AI7" s="10">
        <v>89</v>
      </c>
      <c r="AJ7" s="10">
        <v>39</v>
      </c>
      <c r="AK7" s="10">
        <v>19</v>
      </c>
      <c r="AL7" s="10">
        <v>22</v>
      </c>
      <c r="AM7" s="10">
        <v>13</v>
      </c>
      <c r="AN7" s="10">
        <v>13</v>
      </c>
      <c r="AO7" s="10"/>
      <c r="AP7" s="10">
        <v>110</v>
      </c>
      <c r="AQ7" s="10">
        <v>97</v>
      </c>
      <c r="AR7" s="10"/>
      <c r="AS7" s="10">
        <v>207</v>
      </c>
      <c r="AT7" s="10" t="s">
        <v>87</v>
      </c>
      <c r="AU7" s="10" t="s">
        <v>87</v>
      </c>
      <c r="AV7" s="10"/>
      <c r="AW7" s="10">
        <v>131</v>
      </c>
      <c r="AX7" s="10">
        <v>71</v>
      </c>
      <c r="AY7" s="10"/>
      <c r="AZ7" s="10">
        <v>177</v>
      </c>
      <c r="BA7" s="10">
        <v>30</v>
      </c>
    </row>
    <row r="8" spans="2:53" ht="30" customHeight="1" x14ac:dyDescent="0.35">
      <c r="B8" s="11" t="s">
        <v>19</v>
      </c>
      <c r="C8" s="11">
        <v>191</v>
      </c>
      <c r="D8" s="11">
        <v>102</v>
      </c>
      <c r="E8" s="11">
        <v>88</v>
      </c>
      <c r="F8" s="11"/>
      <c r="G8" s="11">
        <v>3</v>
      </c>
      <c r="H8" s="11">
        <v>46</v>
      </c>
      <c r="I8" s="11">
        <v>112</v>
      </c>
      <c r="J8" s="11">
        <v>24</v>
      </c>
      <c r="K8" s="11">
        <v>7</v>
      </c>
      <c r="L8" s="11" t="s">
        <v>87</v>
      </c>
      <c r="M8" s="11"/>
      <c r="N8" s="11">
        <v>63</v>
      </c>
      <c r="O8" s="11">
        <v>45</v>
      </c>
      <c r="P8" s="11">
        <v>32</v>
      </c>
      <c r="Q8" s="11">
        <v>51</v>
      </c>
      <c r="R8" s="11"/>
      <c r="S8" s="11">
        <v>49</v>
      </c>
      <c r="T8" s="11">
        <v>25</v>
      </c>
      <c r="U8" s="11">
        <v>20</v>
      </c>
      <c r="V8" s="11">
        <v>23</v>
      </c>
      <c r="W8" s="11">
        <v>11</v>
      </c>
      <c r="X8" s="11">
        <v>16</v>
      </c>
      <c r="Y8" s="11">
        <v>18</v>
      </c>
      <c r="Z8" s="11">
        <v>11</v>
      </c>
      <c r="AA8" s="11">
        <v>19</v>
      </c>
      <c r="AB8" s="11"/>
      <c r="AC8" s="11">
        <v>15</v>
      </c>
      <c r="AD8" s="11">
        <v>36</v>
      </c>
      <c r="AE8" s="11">
        <v>67</v>
      </c>
      <c r="AF8" s="11">
        <v>35</v>
      </c>
      <c r="AG8" s="11">
        <v>13</v>
      </c>
      <c r="AH8" s="11"/>
      <c r="AI8" s="11">
        <v>73</v>
      </c>
      <c r="AJ8" s="11">
        <v>36</v>
      </c>
      <c r="AK8" s="11">
        <v>21</v>
      </c>
      <c r="AL8" s="11">
        <v>22</v>
      </c>
      <c r="AM8" s="11">
        <v>13</v>
      </c>
      <c r="AN8" s="11">
        <v>14</v>
      </c>
      <c r="AO8" s="11"/>
      <c r="AP8" s="11">
        <v>95</v>
      </c>
      <c r="AQ8" s="11">
        <v>95</v>
      </c>
      <c r="AR8" s="11"/>
      <c r="AS8" s="11">
        <v>191</v>
      </c>
      <c r="AT8" s="11" t="s">
        <v>87</v>
      </c>
      <c r="AU8" s="11" t="s">
        <v>87</v>
      </c>
      <c r="AV8" s="11"/>
      <c r="AW8" s="11">
        <v>132</v>
      </c>
      <c r="AX8" s="11">
        <v>53</v>
      </c>
      <c r="AY8" s="11"/>
      <c r="AZ8" s="11">
        <v>162</v>
      </c>
      <c r="BA8" s="11">
        <v>29</v>
      </c>
    </row>
    <row r="9" spans="2:53" x14ac:dyDescent="0.35">
      <c r="B9" s="15" t="s">
        <v>214</v>
      </c>
      <c r="C9" s="14">
        <v>0.188132324007042</v>
      </c>
      <c r="D9" s="14">
        <v>0.20347065691034699</v>
      </c>
      <c r="E9" s="14">
        <v>0.17034322825135301</v>
      </c>
      <c r="F9" s="14"/>
      <c r="G9" s="14">
        <v>0.43227563595914398</v>
      </c>
      <c r="H9" s="14">
        <v>0.30324842840196897</v>
      </c>
      <c r="I9" s="14">
        <v>0.16048939784174901</v>
      </c>
      <c r="J9" s="14">
        <v>8.3595015389255706E-2</v>
      </c>
      <c r="K9" s="14">
        <v>0.132695121695973</v>
      </c>
      <c r="L9" s="14" t="s">
        <v>88</v>
      </c>
      <c r="M9" s="14"/>
      <c r="N9" s="14">
        <v>0.102815441138844</v>
      </c>
      <c r="O9" s="14">
        <v>0.17217645281266</v>
      </c>
      <c r="P9" s="14">
        <v>0.27314594847095203</v>
      </c>
      <c r="Q9" s="14">
        <v>0.25438896077634998</v>
      </c>
      <c r="R9" s="14"/>
      <c r="S9" s="14">
        <v>0.172860057323133</v>
      </c>
      <c r="T9" s="14">
        <v>0.24503416002913</v>
      </c>
      <c r="U9" s="14">
        <v>0.161171210883926</v>
      </c>
      <c r="V9" s="14">
        <v>0.119453976313808</v>
      </c>
      <c r="W9" s="14">
        <v>0.10925323710382299</v>
      </c>
      <c r="X9" s="14">
        <v>0.21274739874445101</v>
      </c>
      <c r="Y9" s="14">
        <v>0.20979046432809301</v>
      </c>
      <c r="Z9" s="14">
        <v>0.12439112086223</v>
      </c>
      <c r="AA9" s="14">
        <v>0.31055157954852702</v>
      </c>
      <c r="AB9" s="14"/>
      <c r="AC9" s="14">
        <v>0.33030991811142102</v>
      </c>
      <c r="AD9" s="14">
        <v>0.187899016928637</v>
      </c>
      <c r="AE9" s="14">
        <v>0.15938115183620999</v>
      </c>
      <c r="AF9" s="14">
        <v>0.18836589174065901</v>
      </c>
      <c r="AG9" s="14">
        <v>0.21344385140960401</v>
      </c>
      <c r="AH9" s="14"/>
      <c r="AI9" s="14">
        <v>0.16756379449111899</v>
      </c>
      <c r="AJ9" s="14">
        <v>0.247686929473346</v>
      </c>
      <c r="AK9" s="14">
        <v>0.11303159353040899</v>
      </c>
      <c r="AL9" s="14">
        <v>0.15231931065316501</v>
      </c>
      <c r="AM9" s="14">
        <v>9.3861020109357998E-2</v>
      </c>
      <c r="AN9" s="14">
        <v>0.37220149879964698</v>
      </c>
      <c r="AO9" s="14"/>
      <c r="AP9" s="14">
        <v>0.172351594308957</v>
      </c>
      <c r="AQ9" s="14">
        <v>0.20394229315887999</v>
      </c>
      <c r="AR9" s="14"/>
      <c r="AS9" s="14">
        <v>0.188132324007042</v>
      </c>
      <c r="AT9" s="14" t="s">
        <v>88</v>
      </c>
      <c r="AU9" s="14" t="s">
        <v>88</v>
      </c>
      <c r="AV9" s="14"/>
      <c r="AW9" s="14">
        <v>0.109055258365208</v>
      </c>
      <c r="AX9" s="14">
        <v>0.38446597366958801</v>
      </c>
      <c r="AY9" s="14"/>
      <c r="AZ9" s="14">
        <v>0.190400767673469</v>
      </c>
      <c r="BA9" s="14">
        <v>0.175278305580154</v>
      </c>
    </row>
    <row r="10" spans="2:53" x14ac:dyDescent="0.35">
      <c r="B10" s="15" t="s">
        <v>215</v>
      </c>
      <c r="C10" s="14">
        <v>0.55264647132270295</v>
      </c>
      <c r="D10" s="14">
        <v>0.55398167532351805</v>
      </c>
      <c r="E10" s="14">
        <v>0.55109792807660096</v>
      </c>
      <c r="F10" s="14"/>
      <c r="G10" s="14">
        <v>0.38006236960749301</v>
      </c>
      <c r="H10" s="14">
        <v>0.506162657008004</v>
      </c>
      <c r="I10" s="14">
        <v>0.56791182736719104</v>
      </c>
      <c r="J10" s="14">
        <v>0.66663249238264999</v>
      </c>
      <c r="K10" s="14">
        <v>0.28113468356662802</v>
      </c>
      <c r="L10" s="14" t="s">
        <v>88</v>
      </c>
      <c r="M10" s="14"/>
      <c r="N10" s="14">
        <v>0.60041149008010697</v>
      </c>
      <c r="O10" s="14">
        <v>0.56194792335748101</v>
      </c>
      <c r="P10" s="14">
        <v>0.47774041969987502</v>
      </c>
      <c r="Q10" s="14">
        <v>0.53240919586528102</v>
      </c>
      <c r="R10" s="14"/>
      <c r="S10" s="14">
        <v>0.67023434855334296</v>
      </c>
      <c r="T10" s="14">
        <v>0.49926807618506203</v>
      </c>
      <c r="U10" s="14">
        <v>0.57993754547976695</v>
      </c>
      <c r="V10" s="14">
        <v>0.59879544919573602</v>
      </c>
      <c r="W10" s="14">
        <v>0.46294827617518503</v>
      </c>
      <c r="X10" s="14">
        <v>0.38944567190860602</v>
      </c>
      <c r="Y10" s="14">
        <v>0.61599197271536599</v>
      </c>
      <c r="Z10" s="14">
        <v>0.65842880903910705</v>
      </c>
      <c r="AA10" s="14">
        <v>0.303191607113456</v>
      </c>
      <c r="AB10" s="14"/>
      <c r="AC10" s="14">
        <v>0.41613413671914601</v>
      </c>
      <c r="AD10" s="14">
        <v>0.48338167691390699</v>
      </c>
      <c r="AE10" s="14">
        <v>0.52091674140290201</v>
      </c>
      <c r="AF10" s="14">
        <v>0.66284452394629401</v>
      </c>
      <c r="AG10" s="14">
        <v>0.60327130995026401</v>
      </c>
      <c r="AH10" s="14"/>
      <c r="AI10" s="14">
        <v>0.55302269913223301</v>
      </c>
      <c r="AJ10" s="14">
        <v>0.60548876760365999</v>
      </c>
      <c r="AK10" s="14">
        <v>0.526447899774382</v>
      </c>
      <c r="AL10" s="14">
        <v>0.55243880185940397</v>
      </c>
      <c r="AM10" s="14">
        <v>0.88579267560618102</v>
      </c>
      <c r="AN10" s="14">
        <v>0.19691129564406101</v>
      </c>
      <c r="AO10" s="14"/>
      <c r="AP10" s="14">
        <v>0.57806451023827299</v>
      </c>
      <c r="AQ10" s="14">
        <v>0.52718133638637799</v>
      </c>
      <c r="AR10" s="14"/>
      <c r="AS10" s="14">
        <v>0.55264647132270295</v>
      </c>
      <c r="AT10" s="14" t="s">
        <v>88</v>
      </c>
      <c r="AU10" s="14" t="s">
        <v>88</v>
      </c>
      <c r="AV10" s="14"/>
      <c r="AW10" s="14">
        <v>0.59752058998410196</v>
      </c>
      <c r="AX10" s="14">
        <v>0.45304376504830701</v>
      </c>
      <c r="AY10" s="14"/>
      <c r="AZ10" s="14">
        <v>0.561283984067248</v>
      </c>
      <c r="BA10" s="14">
        <v>0.503702453173138</v>
      </c>
    </row>
    <row r="11" spans="2:53" x14ac:dyDescent="0.35">
      <c r="B11" s="15" t="s">
        <v>216</v>
      </c>
      <c r="C11" s="14">
        <v>0.109488816395536</v>
      </c>
      <c r="D11" s="14">
        <v>0.129835103549654</v>
      </c>
      <c r="E11" s="14">
        <v>8.5891594145954694E-2</v>
      </c>
      <c r="F11" s="14"/>
      <c r="G11" s="14">
        <v>0.18766199443336401</v>
      </c>
      <c r="H11" s="14">
        <v>5.3476144144563101E-2</v>
      </c>
      <c r="I11" s="14">
        <v>0.114791984434422</v>
      </c>
      <c r="J11" s="14">
        <v>0.15282534493883501</v>
      </c>
      <c r="K11" s="14">
        <v>0.217942289104121</v>
      </c>
      <c r="L11" s="14" t="s">
        <v>88</v>
      </c>
      <c r="M11" s="14"/>
      <c r="N11" s="14">
        <v>0.147693376765451</v>
      </c>
      <c r="O11" s="14">
        <v>0.106868478981632</v>
      </c>
      <c r="P11" s="14">
        <v>4.7542171897227502E-2</v>
      </c>
      <c r="Q11" s="14">
        <v>0.10347748864864</v>
      </c>
      <c r="R11" s="14"/>
      <c r="S11" s="14">
        <v>0.11781923753840599</v>
      </c>
      <c r="T11" s="14">
        <v>7.5312068605041305E-2</v>
      </c>
      <c r="U11" s="14">
        <v>7.5390004882235795E-2</v>
      </c>
      <c r="V11" s="14">
        <v>0.17376153158275601</v>
      </c>
      <c r="W11" s="14">
        <v>0.18719283851599999</v>
      </c>
      <c r="X11" s="14">
        <v>9.2227190764370096E-2</v>
      </c>
      <c r="Y11" s="14">
        <v>9.5919175569626602E-3</v>
      </c>
      <c r="Z11" s="14">
        <v>0.116414845243539</v>
      </c>
      <c r="AA11" s="14">
        <v>0.147757932452274</v>
      </c>
      <c r="AB11" s="14"/>
      <c r="AC11" s="14">
        <v>2.2599420564316401E-2</v>
      </c>
      <c r="AD11" s="14">
        <v>7.49591676588027E-2</v>
      </c>
      <c r="AE11" s="14">
        <v>0.20167326737469099</v>
      </c>
      <c r="AF11" s="14">
        <v>7.2375224406986904E-2</v>
      </c>
      <c r="AG11" s="14">
        <v>5.0133155477668501E-2</v>
      </c>
      <c r="AH11" s="14"/>
      <c r="AI11" s="14">
        <v>0.143126070048643</v>
      </c>
      <c r="AJ11" s="14">
        <v>8.4748137017637198E-2</v>
      </c>
      <c r="AK11" s="14">
        <v>6.8480795108976394E-2</v>
      </c>
      <c r="AL11" s="14">
        <v>0.14712167131172099</v>
      </c>
      <c r="AM11" s="14">
        <v>2.03463042844612E-2</v>
      </c>
      <c r="AN11" s="14">
        <v>4.7414684574344099E-2</v>
      </c>
      <c r="AO11" s="14"/>
      <c r="AP11" s="14">
        <v>0.11345862612624801</v>
      </c>
      <c r="AQ11" s="14">
        <v>0.105511651170481</v>
      </c>
      <c r="AR11" s="14"/>
      <c r="AS11" s="14">
        <v>0.109488816395536</v>
      </c>
      <c r="AT11" s="14" t="s">
        <v>88</v>
      </c>
      <c r="AU11" s="14" t="s">
        <v>88</v>
      </c>
      <c r="AV11" s="14"/>
      <c r="AW11" s="14">
        <v>0.115989595827982</v>
      </c>
      <c r="AX11" s="14">
        <v>0.105316859759207</v>
      </c>
      <c r="AY11" s="14"/>
      <c r="AZ11" s="14">
        <v>0.104287067428341</v>
      </c>
      <c r="BA11" s="14">
        <v>0.13896425723012901</v>
      </c>
    </row>
    <row r="12" spans="2:53" x14ac:dyDescent="0.35">
      <c r="B12" s="15" t="s">
        <v>217</v>
      </c>
      <c r="C12" s="14">
        <v>4.2620128248580601E-2</v>
      </c>
      <c r="D12" s="14">
        <v>4.4086556046825903E-2</v>
      </c>
      <c r="E12" s="14">
        <v>4.0919394232293203E-2</v>
      </c>
      <c r="F12" s="14"/>
      <c r="G12" s="14">
        <v>0</v>
      </c>
      <c r="H12" s="14">
        <v>4.2935809119334797E-2</v>
      </c>
      <c r="I12" s="14">
        <v>4.0354203427883997E-2</v>
      </c>
      <c r="J12" s="14">
        <v>6.9667510133580496E-2</v>
      </c>
      <c r="K12" s="14">
        <v>0</v>
      </c>
      <c r="L12" s="14" t="s">
        <v>88</v>
      </c>
      <c r="M12" s="14"/>
      <c r="N12" s="14">
        <v>5.9327300086857299E-2</v>
      </c>
      <c r="O12" s="14">
        <v>4.8444283650147899E-2</v>
      </c>
      <c r="P12" s="14">
        <v>3.0917660039273501E-2</v>
      </c>
      <c r="Q12" s="14">
        <v>2.41468573709696E-2</v>
      </c>
      <c r="R12" s="14"/>
      <c r="S12" s="14">
        <v>2.1732588633854601E-2</v>
      </c>
      <c r="T12" s="14">
        <v>0.108614495492604</v>
      </c>
      <c r="U12" s="14">
        <v>0</v>
      </c>
      <c r="V12" s="14">
        <v>5.0050325503158501E-2</v>
      </c>
      <c r="W12" s="14">
        <v>5.8726891313391899E-2</v>
      </c>
      <c r="X12" s="14">
        <v>0.114683884567472</v>
      </c>
      <c r="Y12" s="14">
        <v>4.1909585864933797E-2</v>
      </c>
      <c r="Z12" s="14">
        <v>0</v>
      </c>
      <c r="AA12" s="14">
        <v>0</v>
      </c>
      <c r="AB12" s="14"/>
      <c r="AC12" s="14">
        <v>0.23095652460511701</v>
      </c>
      <c r="AD12" s="14">
        <v>4.0193032028209799E-2</v>
      </c>
      <c r="AE12" s="14">
        <v>3.3663643662490902E-2</v>
      </c>
      <c r="AF12" s="14">
        <v>3.0599614029212099E-2</v>
      </c>
      <c r="AG12" s="14">
        <v>0</v>
      </c>
      <c r="AH12" s="14"/>
      <c r="AI12" s="14">
        <v>5.6211588416874299E-2</v>
      </c>
      <c r="AJ12" s="14">
        <v>3.9824236573634202E-2</v>
      </c>
      <c r="AK12" s="14">
        <v>0</v>
      </c>
      <c r="AL12" s="14">
        <v>3.3551151039107302E-2</v>
      </c>
      <c r="AM12" s="14">
        <v>0</v>
      </c>
      <c r="AN12" s="14">
        <v>7.1057726339006005E-2</v>
      </c>
      <c r="AO12" s="14"/>
      <c r="AP12" s="14">
        <v>4.9789830701819797E-2</v>
      </c>
      <c r="AQ12" s="14">
        <v>3.54371413536635E-2</v>
      </c>
      <c r="AR12" s="14"/>
      <c r="AS12" s="14">
        <v>4.2620128248580601E-2</v>
      </c>
      <c r="AT12" s="14" t="s">
        <v>88</v>
      </c>
      <c r="AU12" s="14" t="s">
        <v>88</v>
      </c>
      <c r="AV12" s="14"/>
      <c r="AW12" s="14">
        <v>5.3435675456585202E-2</v>
      </c>
      <c r="AX12" s="14">
        <v>2.0130889802342799E-2</v>
      </c>
      <c r="AY12" s="14"/>
      <c r="AZ12" s="14">
        <v>4.256925670759E-2</v>
      </c>
      <c r="BA12" s="14">
        <v>4.2908389198135902E-2</v>
      </c>
    </row>
    <row r="13" spans="2:53" x14ac:dyDescent="0.35">
      <c r="B13" s="15" t="s">
        <v>116</v>
      </c>
      <c r="C13" s="23">
        <v>5.8584067960241001E-2</v>
      </c>
      <c r="D13" s="23">
        <v>3.3079020345757097E-2</v>
      </c>
      <c r="E13" s="23">
        <v>8.8164318768964703E-2</v>
      </c>
      <c r="F13" s="23"/>
      <c r="G13" s="23">
        <v>0</v>
      </c>
      <c r="H13" s="23">
        <v>4.5392824003343497E-2</v>
      </c>
      <c r="I13" s="23">
        <v>6.5396143044094204E-2</v>
      </c>
      <c r="J13" s="23">
        <v>2.72796371556791E-2</v>
      </c>
      <c r="K13" s="23">
        <v>0.17071115138931001</v>
      </c>
      <c r="L13" s="23" t="s">
        <v>88</v>
      </c>
      <c r="M13" s="23"/>
      <c r="N13" s="23">
        <v>4.9135711637383103E-2</v>
      </c>
      <c r="O13" s="23">
        <v>5.9059465510360801E-2</v>
      </c>
      <c r="P13" s="23">
        <v>3.3605165089068703E-2</v>
      </c>
      <c r="Q13" s="23">
        <v>8.5577497338758302E-2</v>
      </c>
      <c r="R13" s="23"/>
      <c r="S13" s="23">
        <v>1.3286789978549599E-2</v>
      </c>
      <c r="T13" s="23">
        <v>3.58855996511451E-2</v>
      </c>
      <c r="U13" s="23">
        <v>0.118375653952403</v>
      </c>
      <c r="V13" s="23">
        <v>0</v>
      </c>
      <c r="W13" s="23">
        <v>0</v>
      </c>
      <c r="X13" s="23">
        <v>7.5957423266311205E-2</v>
      </c>
      <c r="Y13" s="23">
        <v>6.5117417342363898E-2</v>
      </c>
      <c r="Z13" s="23">
        <v>0.100765224855124</v>
      </c>
      <c r="AA13" s="23">
        <v>0.20564433421438499</v>
      </c>
      <c r="AB13" s="23"/>
      <c r="AC13" s="23">
        <v>0</v>
      </c>
      <c r="AD13" s="23">
        <v>0.108442627747213</v>
      </c>
      <c r="AE13" s="23">
        <v>2.1006133047105701E-2</v>
      </c>
      <c r="AF13" s="23">
        <v>2.02067794200766E-2</v>
      </c>
      <c r="AG13" s="23">
        <v>0.104647245424812</v>
      </c>
      <c r="AH13" s="23"/>
      <c r="AI13" s="23">
        <v>2.76131476694602E-2</v>
      </c>
      <c r="AJ13" s="23">
        <v>1.7841376906502001E-2</v>
      </c>
      <c r="AK13" s="23">
        <v>0.11558596910831299</v>
      </c>
      <c r="AL13" s="23">
        <v>8.1017914963085302E-2</v>
      </c>
      <c r="AM13" s="23">
        <v>0</v>
      </c>
      <c r="AN13" s="23">
        <v>0.31241479464294197</v>
      </c>
      <c r="AO13" s="23"/>
      <c r="AP13" s="23">
        <v>3.6448547227398501E-2</v>
      </c>
      <c r="AQ13" s="23">
        <v>8.0760602673245599E-2</v>
      </c>
      <c r="AR13" s="23"/>
      <c r="AS13" s="23">
        <v>5.8584067960241001E-2</v>
      </c>
      <c r="AT13" s="23" t="s">
        <v>88</v>
      </c>
      <c r="AU13" s="23" t="s">
        <v>88</v>
      </c>
      <c r="AV13" s="23"/>
      <c r="AW13" s="23">
        <v>6.8762960686179195E-2</v>
      </c>
      <c r="AX13" s="23">
        <v>0</v>
      </c>
      <c r="AY13" s="23"/>
      <c r="AZ13" s="23">
        <v>4.9810296988381998E-2</v>
      </c>
      <c r="BA13" s="23">
        <v>0.10830018629048201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BA19"/>
  <sheetViews>
    <sheetView showGridLines="0" workbookViewId="0">
      <pane xSplit="2" topLeftCell="C1" activePane="topRight" state="frozen"/>
      <selection pane="topRight" activeCell="BC14" sqref="BC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207</v>
      </c>
      <c r="D7" s="10">
        <v>92</v>
      </c>
      <c r="E7" s="10">
        <v>115</v>
      </c>
      <c r="F7" s="10"/>
      <c r="G7" s="10">
        <v>3</v>
      </c>
      <c r="H7" s="10">
        <v>66</v>
      </c>
      <c r="I7" s="10">
        <v>111</v>
      </c>
      <c r="J7" s="10">
        <v>21</v>
      </c>
      <c r="K7" s="10">
        <v>6</v>
      </c>
      <c r="L7" s="10" t="s">
        <v>87</v>
      </c>
      <c r="M7" s="10"/>
      <c r="N7" s="10">
        <v>107</v>
      </c>
      <c r="O7" s="10">
        <v>44</v>
      </c>
      <c r="P7" s="10">
        <v>22</v>
      </c>
      <c r="Q7" s="10">
        <v>34</v>
      </c>
      <c r="R7" s="10"/>
      <c r="S7" s="10">
        <v>60</v>
      </c>
      <c r="T7" s="10">
        <v>26</v>
      </c>
      <c r="U7" s="10">
        <v>17</v>
      </c>
      <c r="V7" s="10">
        <v>19</v>
      </c>
      <c r="W7" s="10">
        <v>10</v>
      </c>
      <c r="X7" s="10">
        <v>23</v>
      </c>
      <c r="Y7" s="10">
        <v>19</v>
      </c>
      <c r="Z7" s="10">
        <v>11</v>
      </c>
      <c r="AA7" s="10">
        <v>22</v>
      </c>
      <c r="AB7" s="10"/>
      <c r="AC7" s="10">
        <v>12</v>
      </c>
      <c r="AD7" s="10">
        <v>29</v>
      </c>
      <c r="AE7" s="10">
        <v>75</v>
      </c>
      <c r="AF7" s="10">
        <v>47</v>
      </c>
      <c r="AG7" s="10">
        <v>23</v>
      </c>
      <c r="AH7" s="10"/>
      <c r="AI7" s="10">
        <v>89</v>
      </c>
      <c r="AJ7" s="10">
        <v>39</v>
      </c>
      <c r="AK7" s="10">
        <v>19</v>
      </c>
      <c r="AL7" s="10">
        <v>22</v>
      </c>
      <c r="AM7" s="10">
        <v>13</v>
      </c>
      <c r="AN7" s="10">
        <v>13</v>
      </c>
      <c r="AO7" s="10"/>
      <c r="AP7" s="10">
        <v>110</v>
      </c>
      <c r="AQ7" s="10">
        <v>97</v>
      </c>
      <c r="AR7" s="10"/>
      <c r="AS7" s="10">
        <v>207</v>
      </c>
      <c r="AT7" s="10" t="s">
        <v>87</v>
      </c>
      <c r="AU7" s="10" t="s">
        <v>87</v>
      </c>
      <c r="AV7" s="10"/>
      <c r="AW7" s="10">
        <v>131</v>
      </c>
      <c r="AX7" s="10">
        <v>71</v>
      </c>
      <c r="AY7" s="10"/>
      <c r="AZ7" s="10">
        <v>177</v>
      </c>
      <c r="BA7" s="10">
        <v>30</v>
      </c>
    </row>
    <row r="8" spans="2:53" ht="30" customHeight="1" x14ac:dyDescent="0.35">
      <c r="B8" s="11" t="s">
        <v>19</v>
      </c>
      <c r="C8" s="11">
        <v>191</v>
      </c>
      <c r="D8" s="11">
        <v>102</v>
      </c>
      <c r="E8" s="11">
        <v>88</v>
      </c>
      <c r="F8" s="11"/>
      <c r="G8" s="11">
        <v>3</v>
      </c>
      <c r="H8" s="11">
        <v>46</v>
      </c>
      <c r="I8" s="11">
        <v>112</v>
      </c>
      <c r="J8" s="11">
        <v>24</v>
      </c>
      <c r="K8" s="11">
        <v>7</v>
      </c>
      <c r="L8" s="11" t="s">
        <v>87</v>
      </c>
      <c r="M8" s="11"/>
      <c r="N8" s="11">
        <v>63</v>
      </c>
      <c r="O8" s="11">
        <v>45</v>
      </c>
      <c r="P8" s="11">
        <v>32</v>
      </c>
      <c r="Q8" s="11">
        <v>51</v>
      </c>
      <c r="R8" s="11"/>
      <c r="S8" s="11">
        <v>49</v>
      </c>
      <c r="T8" s="11">
        <v>25</v>
      </c>
      <c r="U8" s="11">
        <v>20</v>
      </c>
      <c r="V8" s="11">
        <v>23</v>
      </c>
      <c r="W8" s="11">
        <v>11</v>
      </c>
      <c r="X8" s="11">
        <v>16</v>
      </c>
      <c r="Y8" s="11">
        <v>18</v>
      </c>
      <c r="Z8" s="11">
        <v>11</v>
      </c>
      <c r="AA8" s="11">
        <v>19</v>
      </c>
      <c r="AB8" s="11"/>
      <c r="AC8" s="11">
        <v>15</v>
      </c>
      <c r="AD8" s="11">
        <v>36</v>
      </c>
      <c r="AE8" s="11">
        <v>67</v>
      </c>
      <c r="AF8" s="11">
        <v>35</v>
      </c>
      <c r="AG8" s="11">
        <v>13</v>
      </c>
      <c r="AH8" s="11"/>
      <c r="AI8" s="11">
        <v>73</v>
      </c>
      <c r="AJ8" s="11">
        <v>36</v>
      </c>
      <c r="AK8" s="11">
        <v>21</v>
      </c>
      <c r="AL8" s="11">
        <v>22</v>
      </c>
      <c r="AM8" s="11">
        <v>13</v>
      </c>
      <c r="AN8" s="11">
        <v>14</v>
      </c>
      <c r="AO8" s="11"/>
      <c r="AP8" s="11">
        <v>95</v>
      </c>
      <c r="AQ8" s="11">
        <v>95</v>
      </c>
      <c r="AR8" s="11"/>
      <c r="AS8" s="11">
        <v>191</v>
      </c>
      <c r="AT8" s="11" t="s">
        <v>87</v>
      </c>
      <c r="AU8" s="11" t="s">
        <v>87</v>
      </c>
      <c r="AV8" s="11"/>
      <c r="AW8" s="11">
        <v>132</v>
      </c>
      <c r="AX8" s="11">
        <v>53</v>
      </c>
      <c r="AY8" s="11"/>
      <c r="AZ8" s="11">
        <v>162</v>
      </c>
      <c r="BA8" s="11">
        <v>29</v>
      </c>
    </row>
    <row r="9" spans="2:53" x14ac:dyDescent="0.35">
      <c r="B9" s="15" t="s">
        <v>220</v>
      </c>
      <c r="C9" s="14">
        <v>0.242832845020889</v>
      </c>
      <c r="D9" s="14">
        <v>0.31786989809704902</v>
      </c>
      <c r="E9" s="14">
        <v>0.15580635193252301</v>
      </c>
      <c r="F9" s="14"/>
      <c r="G9" s="14">
        <v>0</v>
      </c>
      <c r="H9" s="14">
        <v>0.29571876917994999</v>
      </c>
      <c r="I9" s="14">
        <v>0.222113345762737</v>
      </c>
      <c r="J9" s="14">
        <v>0.33531980936436401</v>
      </c>
      <c r="K9" s="14">
        <v>0</v>
      </c>
      <c r="L9" s="14" t="s">
        <v>88</v>
      </c>
      <c r="M9" s="14"/>
      <c r="N9" s="14">
        <v>0.27563008743189299</v>
      </c>
      <c r="O9" s="14">
        <v>0.25906280739610099</v>
      </c>
      <c r="P9" s="14">
        <v>0.29291640162439198</v>
      </c>
      <c r="Q9" s="14">
        <v>0.15636348354364901</v>
      </c>
      <c r="R9" s="14"/>
      <c r="S9" s="14">
        <v>0.29078449542096602</v>
      </c>
      <c r="T9" s="14">
        <v>0.27295236398516298</v>
      </c>
      <c r="U9" s="14">
        <v>0.124928841048736</v>
      </c>
      <c r="V9" s="14">
        <v>0.31110900109258799</v>
      </c>
      <c r="W9" s="14">
        <v>0.19985458008335</v>
      </c>
      <c r="X9" s="14">
        <v>0.167270962520608</v>
      </c>
      <c r="Y9" s="14">
        <v>0.25000409634893</v>
      </c>
      <c r="Z9" s="14">
        <v>0.17760896668933401</v>
      </c>
      <c r="AA9" s="14">
        <v>0.24234668181313701</v>
      </c>
      <c r="AB9" s="14"/>
      <c r="AC9" s="14">
        <v>9.3798901513841904E-2</v>
      </c>
      <c r="AD9" s="14">
        <v>0.23242406507211699</v>
      </c>
      <c r="AE9" s="14">
        <v>0.18678664017857599</v>
      </c>
      <c r="AF9" s="14">
        <v>0.41494957497388002</v>
      </c>
      <c r="AG9" s="14">
        <v>0.52941507114286901</v>
      </c>
      <c r="AH9" s="14"/>
      <c r="AI9" s="14">
        <v>0.289321553872815</v>
      </c>
      <c r="AJ9" s="14">
        <v>0.30554714892329399</v>
      </c>
      <c r="AK9" s="14">
        <v>0.24124825489936899</v>
      </c>
      <c r="AL9" s="14">
        <v>0.128729932419057</v>
      </c>
      <c r="AM9" s="14">
        <v>0.16463964367412501</v>
      </c>
      <c r="AN9" s="14">
        <v>0.133685149612642</v>
      </c>
      <c r="AO9" s="14"/>
      <c r="AP9" s="14">
        <v>0.32929624468303498</v>
      </c>
      <c r="AQ9" s="14">
        <v>0.15620924094334701</v>
      </c>
      <c r="AR9" s="14"/>
      <c r="AS9" s="14">
        <v>0.242832845020889</v>
      </c>
      <c r="AT9" s="14" t="s">
        <v>88</v>
      </c>
      <c r="AU9" s="14" t="s">
        <v>88</v>
      </c>
      <c r="AV9" s="14"/>
      <c r="AW9" s="14">
        <v>0.189031852909022</v>
      </c>
      <c r="AX9" s="14">
        <v>0.37846152839423802</v>
      </c>
      <c r="AY9" s="14"/>
      <c r="AZ9" s="14">
        <v>0.26367852042661499</v>
      </c>
      <c r="BA9" s="14">
        <v>0.12471190609178601</v>
      </c>
    </row>
    <row r="10" spans="2:53" x14ac:dyDescent="0.35">
      <c r="B10" s="15" t="s">
        <v>221</v>
      </c>
      <c r="C10" s="14">
        <v>0.48631738224640197</v>
      </c>
      <c r="D10" s="14">
        <v>0.50054800955193501</v>
      </c>
      <c r="E10" s="14">
        <v>0.46981298157929202</v>
      </c>
      <c r="F10" s="14"/>
      <c r="G10" s="14">
        <v>0.38006236960749301</v>
      </c>
      <c r="H10" s="14">
        <v>0.44874042754229898</v>
      </c>
      <c r="I10" s="14">
        <v>0.50821793623728195</v>
      </c>
      <c r="J10" s="14">
        <v>0.50592143478384199</v>
      </c>
      <c r="K10" s="14">
        <v>0.35063741080009397</v>
      </c>
      <c r="L10" s="14" t="s">
        <v>88</v>
      </c>
      <c r="M10" s="14"/>
      <c r="N10" s="14">
        <v>0.485405884456867</v>
      </c>
      <c r="O10" s="14">
        <v>0.46667802596945401</v>
      </c>
      <c r="P10" s="14">
        <v>0.38906228003922499</v>
      </c>
      <c r="Q10" s="14">
        <v>0.56600091927735496</v>
      </c>
      <c r="R10" s="14"/>
      <c r="S10" s="14">
        <v>0.56345272392991996</v>
      </c>
      <c r="T10" s="14">
        <v>0.43853348696283001</v>
      </c>
      <c r="U10" s="14">
        <v>0.61560400704618001</v>
      </c>
      <c r="V10" s="14">
        <v>0.30589896732761401</v>
      </c>
      <c r="W10" s="14">
        <v>0.57343839489573001</v>
      </c>
      <c r="X10" s="14">
        <v>0.39278538726336398</v>
      </c>
      <c r="Y10" s="14">
        <v>0.53386875591082605</v>
      </c>
      <c r="Z10" s="14">
        <v>0.43503330382910799</v>
      </c>
      <c r="AA10" s="14">
        <v>0.44474165320993397</v>
      </c>
      <c r="AB10" s="14"/>
      <c r="AC10" s="14">
        <v>0.50616137376070403</v>
      </c>
      <c r="AD10" s="14">
        <v>0.39213679856142403</v>
      </c>
      <c r="AE10" s="14">
        <v>0.556584471717253</v>
      </c>
      <c r="AF10" s="14">
        <v>0.46579593291952998</v>
      </c>
      <c r="AG10" s="14">
        <v>0.29361991854194303</v>
      </c>
      <c r="AH10" s="14"/>
      <c r="AI10" s="14">
        <v>0.51898803063682097</v>
      </c>
      <c r="AJ10" s="14">
        <v>0.44378926363972598</v>
      </c>
      <c r="AK10" s="14">
        <v>0.25893127091643597</v>
      </c>
      <c r="AL10" s="14">
        <v>0.53759860779244395</v>
      </c>
      <c r="AM10" s="14">
        <v>0.73103154650781599</v>
      </c>
      <c r="AN10" s="14">
        <v>0.55390401900062902</v>
      </c>
      <c r="AO10" s="14"/>
      <c r="AP10" s="14">
        <v>0.44345824759364799</v>
      </c>
      <c r="AQ10" s="14">
        <v>0.52925592879642402</v>
      </c>
      <c r="AR10" s="14"/>
      <c r="AS10" s="14">
        <v>0.48631738224640197</v>
      </c>
      <c r="AT10" s="14" t="s">
        <v>88</v>
      </c>
      <c r="AU10" s="14" t="s">
        <v>88</v>
      </c>
      <c r="AV10" s="14"/>
      <c r="AW10" s="14">
        <v>0.53261822633995903</v>
      </c>
      <c r="AX10" s="14">
        <v>0.36317681889710701</v>
      </c>
      <c r="AY10" s="14"/>
      <c r="AZ10" s="14">
        <v>0.480607875309427</v>
      </c>
      <c r="BA10" s="14">
        <v>0.51867000729170798</v>
      </c>
    </row>
    <row r="11" spans="2:53" x14ac:dyDescent="0.35">
      <c r="B11" s="15" t="s">
        <v>222</v>
      </c>
      <c r="C11" s="14">
        <v>0.181468795090199</v>
      </c>
      <c r="D11" s="14">
        <v>0.13097823482785201</v>
      </c>
      <c r="E11" s="14">
        <v>0.240026750307858</v>
      </c>
      <c r="F11" s="14"/>
      <c r="G11" s="14">
        <v>0.43227563595914398</v>
      </c>
      <c r="H11" s="14">
        <v>0.233255585404951</v>
      </c>
      <c r="I11" s="14">
        <v>0.16740042524845</v>
      </c>
      <c r="J11" s="14">
        <v>9.0638835587185204E-2</v>
      </c>
      <c r="K11" s="14">
        <v>0.28113468356662802</v>
      </c>
      <c r="L11" s="14" t="s">
        <v>88</v>
      </c>
      <c r="M11" s="14"/>
      <c r="N11" s="14">
        <v>0.14477687476506201</v>
      </c>
      <c r="O11" s="14">
        <v>0.182685049489514</v>
      </c>
      <c r="P11" s="14">
        <v>0.21152516377938199</v>
      </c>
      <c r="Q11" s="14">
        <v>0.20691269546079799</v>
      </c>
      <c r="R11" s="14"/>
      <c r="S11" s="14">
        <v>0.110639327215396</v>
      </c>
      <c r="T11" s="14">
        <v>0.216383777784876</v>
      </c>
      <c r="U11" s="14">
        <v>0.14109152029205499</v>
      </c>
      <c r="V11" s="14">
        <v>0.25280706604227798</v>
      </c>
      <c r="W11" s="14">
        <v>0.16798013370752801</v>
      </c>
      <c r="X11" s="14">
        <v>0.28281620191796197</v>
      </c>
      <c r="Y11" s="14">
        <v>9.3411088205599693E-2</v>
      </c>
      <c r="Z11" s="14">
        <v>0.28659250462643399</v>
      </c>
      <c r="AA11" s="14">
        <v>0.218892400084988</v>
      </c>
      <c r="AB11" s="14"/>
      <c r="AC11" s="14">
        <v>0.377440304161137</v>
      </c>
      <c r="AD11" s="14">
        <v>0.172076089619635</v>
      </c>
      <c r="AE11" s="14">
        <v>0.194228761182968</v>
      </c>
      <c r="AF11" s="14">
        <v>0.102462248427269</v>
      </c>
      <c r="AG11" s="14">
        <v>9.58403239749058E-2</v>
      </c>
      <c r="AH11" s="14"/>
      <c r="AI11" s="14">
        <v>0.160615621869176</v>
      </c>
      <c r="AJ11" s="14">
        <v>0.12798657142769801</v>
      </c>
      <c r="AK11" s="14">
        <v>0.319243874474128</v>
      </c>
      <c r="AL11" s="14">
        <v>0.183583465381326</v>
      </c>
      <c r="AM11" s="14">
        <v>0.104328809818059</v>
      </c>
      <c r="AN11" s="14">
        <v>0.230420464820497</v>
      </c>
      <c r="AO11" s="14"/>
      <c r="AP11" s="14">
        <v>0.143900554496521</v>
      </c>
      <c r="AQ11" s="14">
        <v>0.21910664430492699</v>
      </c>
      <c r="AR11" s="14"/>
      <c r="AS11" s="14">
        <v>0.181468795090199</v>
      </c>
      <c r="AT11" s="14" t="s">
        <v>88</v>
      </c>
      <c r="AU11" s="14" t="s">
        <v>88</v>
      </c>
      <c r="AV11" s="14"/>
      <c r="AW11" s="14">
        <v>0.178068674318662</v>
      </c>
      <c r="AX11" s="14">
        <v>0.18647294974030099</v>
      </c>
      <c r="AY11" s="14"/>
      <c r="AZ11" s="14">
        <v>0.17846438132504799</v>
      </c>
      <c r="BA11" s="14">
        <v>0.19849314992466399</v>
      </c>
    </row>
    <row r="12" spans="2:53" x14ac:dyDescent="0.35">
      <c r="B12" s="15" t="s">
        <v>223</v>
      </c>
      <c r="C12" s="14">
        <v>1.8312310625626799E-2</v>
      </c>
      <c r="D12" s="14">
        <v>1.1566772109735E-2</v>
      </c>
      <c r="E12" s="14">
        <v>2.6135653053996701E-2</v>
      </c>
      <c r="F12" s="14"/>
      <c r="G12" s="14">
        <v>0</v>
      </c>
      <c r="H12" s="14">
        <v>0</v>
      </c>
      <c r="I12" s="14">
        <v>3.1214731677586701E-2</v>
      </c>
      <c r="J12" s="14">
        <v>0</v>
      </c>
      <c r="K12" s="14">
        <v>0</v>
      </c>
      <c r="L12" s="14" t="s">
        <v>88</v>
      </c>
      <c r="M12" s="14"/>
      <c r="N12" s="14">
        <v>1.8820210508206699E-2</v>
      </c>
      <c r="O12" s="14">
        <v>0</v>
      </c>
      <c r="P12" s="14">
        <v>3.09176604301027E-2</v>
      </c>
      <c r="Q12" s="14">
        <v>2.5946111182532899E-2</v>
      </c>
      <c r="R12" s="14"/>
      <c r="S12" s="14">
        <v>0</v>
      </c>
      <c r="T12" s="14">
        <v>1.34339494329643E-2</v>
      </c>
      <c r="U12" s="14">
        <v>0</v>
      </c>
      <c r="V12" s="14">
        <v>5.6926256886224998E-2</v>
      </c>
      <c r="W12" s="14">
        <v>0</v>
      </c>
      <c r="X12" s="14">
        <v>0.11468388534528</v>
      </c>
      <c r="Y12" s="14">
        <v>0</v>
      </c>
      <c r="Z12" s="14">
        <v>0</v>
      </c>
      <c r="AA12" s="14">
        <v>0</v>
      </c>
      <c r="AB12" s="14"/>
      <c r="AC12" s="14">
        <v>2.2599420564316401E-2</v>
      </c>
      <c r="AD12" s="14">
        <v>3.6728958827989898E-2</v>
      </c>
      <c r="AE12" s="14">
        <v>1.2774102469577799E-2</v>
      </c>
      <c r="AF12" s="14">
        <v>0</v>
      </c>
      <c r="AG12" s="14">
        <v>0</v>
      </c>
      <c r="AH12" s="14"/>
      <c r="AI12" s="14">
        <v>0</v>
      </c>
      <c r="AJ12" s="14">
        <v>3.6397806306213601E-2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2.2771405228597399E-2</v>
      </c>
      <c r="AQ12" s="14">
        <v>1.38449539528457E-2</v>
      </c>
      <c r="AR12" s="14"/>
      <c r="AS12" s="14">
        <v>1.8312310625626799E-2</v>
      </c>
      <c r="AT12" s="14" t="s">
        <v>88</v>
      </c>
      <c r="AU12" s="14" t="s">
        <v>88</v>
      </c>
      <c r="AV12" s="14"/>
      <c r="AW12" s="14">
        <v>2.63938410363064E-2</v>
      </c>
      <c r="AX12" s="14">
        <v>0</v>
      </c>
      <c r="AY12" s="14"/>
      <c r="AZ12" s="14">
        <v>7.3073836813894698E-3</v>
      </c>
      <c r="BA12" s="14">
        <v>8.0671158597633894E-2</v>
      </c>
    </row>
    <row r="13" spans="2:53" x14ac:dyDescent="0.35">
      <c r="B13" s="15" t="s">
        <v>116</v>
      </c>
      <c r="C13" s="18">
        <v>2.0640636742077601E-2</v>
      </c>
      <c r="D13" s="18">
        <v>0</v>
      </c>
      <c r="E13" s="18">
        <v>4.4579239833949E-2</v>
      </c>
      <c r="F13" s="18"/>
      <c r="G13" s="18">
        <v>0</v>
      </c>
      <c r="H13" s="18">
        <v>0</v>
      </c>
      <c r="I13" s="18">
        <v>2.9403926668533899E-2</v>
      </c>
      <c r="J13" s="18">
        <v>2.72796371556791E-2</v>
      </c>
      <c r="K13" s="18">
        <v>0</v>
      </c>
      <c r="L13" s="18" t="s">
        <v>88</v>
      </c>
      <c r="M13" s="18"/>
      <c r="N13" s="18">
        <v>1.02737401239086E-2</v>
      </c>
      <c r="O13" s="18">
        <v>2.3891730247598501E-2</v>
      </c>
      <c r="P13" s="18">
        <v>3.3605165089068703E-2</v>
      </c>
      <c r="Q13" s="18">
        <v>2.24446711197171E-2</v>
      </c>
      <c r="R13" s="18"/>
      <c r="S13" s="18">
        <v>1.3286789978549599E-2</v>
      </c>
      <c r="T13" s="18">
        <v>0</v>
      </c>
      <c r="U13" s="18">
        <v>5.3250046811360398E-2</v>
      </c>
      <c r="V13" s="18">
        <v>0</v>
      </c>
      <c r="W13" s="18">
        <v>0</v>
      </c>
      <c r="X13" s="18">
        <v>0</v>
      </c>
      <c r="Y13" s="18">
        <v>6.5117417342363898E-2</v>
      </c>
      <c r="Z13" s="18">
        <v>0.100765224855124</v>
      </c>
      <c r="AA13" s="18">
        <v>0</v>
      </c>
      <c r="AB13" s="18"/>
      <c r="AC13" s="18">
        <v>0</v>
      </c>
      <c r="AD13" s="18">
        <v>5.9836628108883502E-2</v>
      </c>
      <c r="AE13" s="18">
        <v>0</v>
      </c>
      <c r="AF13" s="18">
        <v>0</v>
      </c>
      <c r="AG13" s="18">
        <v>0</v>
      </c>
      <c r="AH13" s="18"/>
      <c r="AI13" s="18">
        <v>0</v>
      </c>
      <c r="AJ13" s="18">
        <v>1.7841376906502001E-2</v>
      </c>
      <c r="AK13" s="18">
        <v>5.1995136332923103E-2</v>
      </c>
      <c r="AL13" s="18">
        <v>4.9106515321166201E-2</v>
      </c>
      <c r="AM13" s="18">
        <v>0</v>
      </c>
      <c r="AN13" s="18">
        <v>8.1990366566232598E-2</v>
      </c>
      <c r="AO13" s="18"/>
      <c r="AP13" s="18">
        <v>0</v>
      </c>
      <c r="AQ13" s="18">
        <v>4.1319517656320297E-2</v>
      </c>
      <c r="AR13" s="18"/>
      <c r="AS13" s="18">
        <v>2.0640636742077601E-2</v>
      </c>
      <c r="AT13" s="18" t="s">
        <v>88</v>
      </c>
      <c r="AU13" s="18" t="s">
        <v>88</v>
      </c>
      <c r="AV13" s="18"/>
      <c r="AW13" s="18">
        <v>2.9749696594604101E-2</v>
      </c>
      <c r="AX13" s="18">
        <v>0</v>
      </c>
      <c r="AY13" s="18"/>
      <c r="AZ13" s="18">
        <v>1.06144016465625E-2</v>
      </c>
      <c r="BA13" s="18">
        <v>7.7453778094208406E-2</v>
      </c>
    </row>
    <row r="14" spans="2:53" x14ac:dyDescent="0.35">
      <c r="B14" s="26" t="s">
        <v>224</v>
      </c>
      <c r="C14" s="27">
        <v>0.72915022726729095</v>
      </c>
      <c r="D14" s="27">
        <v>0.81841790764898403</v>
      </c>
      <c r="E14" s="27">
        <v>0.62561933351181498</v>
      </c>
      <c r="F14" s="27"/>
      <c r="G14" s="27">
        <v>0.38006236960749301</v>
      </c>
      <c r="H14" s="27">
        <v>0.74445919672225003</v>
      </c>
      <c r="I14" s="27">
        <v>0.73033128200001995</v>
      </c>
      <c r="J14" s="27">
        <v>0.841241244148206</v>
      </c>
      <c r="K14" s="27">
        <v>0.35063741080009397</v>
      </c>
      <c r="L14" s="27" t="s">
        <v>88</v>
      </c>
      <c r="M14" s="27"/>
      <c r="N14" s="27">
        <v>0.76103597188876004</v>
      </c>
      <c r="O14" s="27">
        <v>0.72574083336555495</v>
      </c>
      <c r="P14" s="27">
        <v>0.68197868166361597</v>
      </c>
      <c r="Q14" s="27">
        <v>0.722364402821004</v>
      </c>
      <c r="R14" s="27"/>
      <c r="S14" s="27">
        <v>0.85423721935088703</v>
      </c>
      <c r="T14" s="27">
        <v>0.71148585094799299</v>
      </c>
      <c r="U14" s="27">
        <v>0.74053284809491704</v>
      </c>
      <c r="V14" s="27">
        <v>0.617007968420202</v>
      </c>
      <c r="W14" s="27">
        <v>0.77329297497908001</v>
      </c>
      <c r="X14" s="27">
        <v>0.56005634978397201</v>
      </c>
      <c r="Y14" s="27">
        <v>0.783872852259756</v>
      </c>
      <c r="Z14" s="27">
        <v>0.612642270518442</v>
      </c>
      <c r="AA14" s="27">
        <v>0.68708833502307098</v>
      </c>
      <c r="AB14" s="27"/>
      <c r="AC14" s="27">
        <v>0.59996027527454598</v>
      </c>
      <c r="AD14" s="27">
        <v>0.62456086363354102</v>
      </c>
      <c r="AE14" s="27">
        <v>0.74337111189582905</v>
      </c>
      <c r="AF14" s="27">
        <v>0.880745507893409</v>
      </c>
      <c r="AG14" s="27">
        <v>0.82303498968481303</v>
      </c>
      <c r="AH14" s="27"/>
      <c r="AI14" s="27">
        <v>0.80830958450963597</v>
      </c>
      <c r="AJ14" s="27">
        <v>0.74933641256301997</v>
      </c>
      <c r="AK14" s="27">
        <v>0.50017952581580405</v>
      </c>
      <c r="AL14" s="27">
        <v>0.66632854021150101</v>
      </c>
      <c r="AM14" s="27">
        <v>0.89567119018194097</v>
      </c>
      <c r="AN14" s="27">
        <v>0.68758916861327002</v>
      </c>
      <c r="AO14" s="27"/>
      <c r="AP14" s="27">
        <v>0.77275449227668302</v>
      </c>
      <c r="AQ14" s="27">
        <v>0.68546516973977101</v>
      </c>
      <c r="AR14" s="27"/>
      <c r="AS14" s="27">
        <v>0.72915022726729095</v>
      </c>
      <c r="AT14" s="27" t="s">
        <v>88</v>
      </c>
      <c r="AU14" s="27" t="s">
        <v>88</v>
      </c>
      <c r="AV14" s="27"/>
      <c r="AW14" s="27">
        <v>0.72165007924898095</v>
      </c>
      <c r="AX14" s="27">
        <v>0.74163834729134503</v>
      </c>
      <c r="AY14" s="27"/>
      <c r="AZ14" s="27">
        <v>0.74428639573604305</v>
      </c>
      <c r="BA14" s="27">
        <v>0.64338191338349404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207</v>
      </c>
      <c r="D7" s="10">
        <v>92</v>
      </c>
      <c r="E7" s="10">
        <v>115</v>
      </c>
      <c r="F7" s="10"/>
      <c r="G7" s="10">
        <v>3</v>
      </c>
      <c r="H7" s="10">
        <v>66</v>
      </c>
      <c r="I7" s="10">
        <v>111</v>
      </c>
      <c r="J7" s="10">
        <v>21</v>
      </c>
      <c r="K7" s="10">
        <v>6</v>
      </c>
      <c r="L7" s="10" t="s">
        <v>87</v>
      </c>
      <c r="M7" s="10"/>
      <c r="N7" s="10">
        <v>107</v>
      </c>
      <c r="O7" s="10">
        <v>44</v>
      </c>
      <c r="P7" s="10">
        <v>22</v>
      </c>
      <c r="Q7" s="10">
        <v>34</v>
      </c>
      <c r="R7" s="10"/>
      <c r="S7" s="10">
        <v>60</v>
      </c>
      <c r="T7" s="10">
        <v>26</v>
      </c>
      <c r="U7" s="10">
        <v>17</v>
      </c>
      <c r="V7" s="10">
        <v>19</v>
      </c>
      <c r="W7" s="10">
        <v>10</v>
      </c>
      <c r="X7" s="10">
        <v>23</v>
      </c>
      <c r="Y7" s="10">
        <v>19</v>
      </c>
      <c r="Z7" s="10">
        <v>11</v>
      </c>
      <c r="AA7" s="10">
        <v>22</v>
      </c>
      <c r="AB7" s="10"/>
      <c r="AC7" s="10">
        <v>12</v>
      </c>
      <c r="AD7" s="10">
        <v>29</v>
      </c>
      <c r="AE7" s="10">
        <v>75</v>
      </c>
      <c r="AF7" s="10">
        <v>47</v>
      </c>
      <c r="AG7" s="10">
        <v>23</v>
      </c>
      <c r="AH7" s="10"/>
      <c r="AI7" s="10">
        <v>89</v>
      </c>
      <c r="AJ7" s="10">
        <v>39</v>
      </c>
      <c r="AK7" s="10">
        <v>19</v>
      </c>
      <c r="AL7" s="10">
        <v>22</v>
      </c>
      <c r="AM7" s="10">
        <v>13</v>
      </c>
      <c r="AN7" s="10">
        <v>13</v>
      </c>
      <c r="AO7" s="10"/>
      <c r="AP7" s="10">
        <v>110</v>
      </c>
      <c r="AQ7" s="10">
        <v>97</v>
      </c>
      <c r="AR7" s="10"/>
      <c r="AS7" s="10">
        <v>207</v>
      </c>
      <c r="AT7" s="10" t="s">
        <v>87</v>
      </c>
      <c r="AU7" s="10" t="s">
        <v>87</v>
      </c>
      <c r="AV7" s="10"/>
      <c r="AW7" s="10">
        <v>131</v>
      </c>
      <c r="AX7" s="10">
        <v>71</v>
      </c>
      <c r="AY7" s="10"/>
      <c r="AZ7" s="10">
        <v>177</v>
      </c>
      <c r="BA7" s="10">
        <v>30</v>
      </c>
    </row>
    <row r="8" spans="2:53" ht="30" customHeight="1" x14ac:dyDescent="0.35">
      <c r="B8" s="11" t="s">
        <v>19</v>
      </c>
      <c r="C8" s="11">
        <v>191</v>
      </c>
      <c r="D8" s="11">
        <v>102</v>
      </c>
      <c r="E8" s="11">
        <v>88</v>
      </c>
      <c r="F8" s="11"/>
      <c r="G8" s="11">
        <v>3</v>
      </c>
      <c r="H8" s="11">
        <v>46</v>
      </c>
      <c r="I8" s="11">
        <v>112</v>
      </c>
      <c r="J8" s="11">
        <v>24</v>
      </c>
      <c r="K8" s="11">
        <v>7</v>
      </c>
      <c r="L8" s="11" t="s">
        <v>87</v>
      </c>
      <c r="M8" s="11"/>
      <c r="N8" s="11">
        <v>63</v>
      </c>
      <c r="O8" s="11">
        <v>45</v>
      </c>
      <c r="P8" s="11">
        <v>32</v>
      </c>
      <c r="Q8" s="11">
        <v>51</v>
      </c>
      <c r="R8" s="11"/>
      <c r="S8" s="11">
        <v>49</v>
      </c>
      <c r="T8" s="11">
        <v>25</v>
      </c>
      <c r="U8" s="11">
        <v>20</v>
      </c>
      <c r="V8" s="11">
        <v>23</v>
      </c>
      <c r="W8" s="11">
        <v>11</v>
      </c>
      <c r="X8" s="11">
        <v>16</v>
      </c>
      <c r="Y8" s="11">
        <v>18</v>
      </c>
      <c r="Z8" s="11">
        <v>11</v>
      </c>
      <c r="AA8" s="11">
        <v>19</v>
      </c>
      <c r="AB8" s="11"/>
      <c r="AC8" s="11">
        <v>15</v>
      </c>
      <c r="AD8" s="11">
        <v>36</v>
      </c>
      <c r="AE8" s="11">
        <v>67</v>
      </c>
      <c r="AF8" s="11">
        <v>35</v>
      </c>
      <c r="AG8" s="11">
        <v>13</v>
      </c>
      <c r="AH8" s="11"/>
      <c r="AI8" s="11">
        <v>73</v>
      </c>
      <c r="AJ8" s="11">
        <v>36</v>
      </c>
      <c r="AK8" s="11">
        <v>21</v>
      </c>
      <c r="AL8" s="11">
        <v>22</v>
      </c>
      <c r="AM8" s="11">
        <v>13</v>
      </c>
      <c r="AN8" s="11">
        <v>14</v>
      </c>
      <c r="AO8" s="11"/>
      <c r="AP8" s="11">
        <v>95</v>
      </c>
      <c r="AQ8" s="11">
        <v>95</v>
      </c>
      <c r="AR8" s="11"/>
      <c r="AS8" s="11">
        <v>191</v>
      </c>
      <c r="AT8" s="11" t="s">
        <v>87</v>
      </c>
      <c r="AU8" s="11" t="s">
        <v>87</v>
      </c>
      <c r="AV8" s="11"/>
      <c r="AW8" s="11">
        <v>132</v>
      </c>
      <c r="AX8" s="11">
        <v>53</v>
      </c>
      <c r="AY8" s="11"/>
      <c r="AZ8" s="11">
        <v>162</v>
      </c>
      <c r="BA8" s="11">
        <v>29</v>
      </c>
    </row>
    <row r="9" spans="2:53" x14ac:dyDescent="0.35">
      <c r="B9" s="15" t="s">
        <v>226</v>
      </c>
      <c r="C9" s="14">
        <v>0.29341390193642602</v>
      </c>
      <c r="D9" s="14">
        <v>0.311346063816895</v>
      </c>
      <c r="E9" s="14">
        <v>0.27261653452960399</v>
      </c>
      <c r="F9" s="14"/>
      <c r="G9" s="14">
        <v>0</v>
      </c>
      <c r="H9" s="14">
        <v>0.37191131307528902</v>
      </c>
      <c r="I9" s="14">
        <v>0.259339176432484</v>
      </c>
      <c r="J9" s="14">
        <v>0.37180345764318101</v>
      </c>
      <c r="K9" s="14">
        <v>0.17071115138931001</v>
      </c>
      <c r="L9" s="14" t="s">
        <v>88</v>
      </c>
      <c r="M9" s="14"/>
      <c r="N9" s="14">
        <v>0.24957799003469799</v>
      </c>
      <c r="O9" s="14">
        <v>0.30515073266343001</v>
      </c>
      <c r="P9" s="14">
        <v>0.38711428072959703</v>
      </c>
      <c r="Q9" s="14">
        <v>0.278358092214257</v>
      </c>
      <c r="R9" s="14"/>
      <c r="S9" s="14">
        <v>0.352834846872424</v>
      </c>
      <c r="T9" s="14">
        <v>0.202231283811976</v>
      </c>
      <c r="U9" s="14">
        <v>0.246231229327533</v>
      </c>
      <c r="V9" s="14">
        <v>0.46695229977129499</v>
      </c>
      <c r="W9" s="14">
        <v>0.12722906029557299</v>
      </c>
      <c r="X9" s="14">
        <v>0.15996873080002</v>
      </c>
      <c r="Y9" s="14">
        <v>0.30126013855319</v>
      </c>
      <c r="Z9" s="14">
        <v>0.211437090786111</v>
      </c>
      <c r="AA9" s="14">
        <v>0.34927083120684199</v>
      </c>
      <c r="AB9" s="14"/>
      <c r="AC9" s="14">
        <v>0.33030991811142102</v>
      </c>
      <c r="AD9" s="14">
        <v>0.230979088639234</v>
      </c>
      <c r="AE9" s="14">
        <v>0.340598548197246</v>
      </c>
      <c r="AF9" s="14">
        <v>0.30266687631157402</v>
      </c>
      <c r="AG9" s="14">
        <v>0.495119486630485</v>
      </c>
      <c r="AH9" s="14"/>
      <c r="AI9" s="14">
        <v>0.297933150599476</v>
      </c>
      <c r="AJ9" s="14">
        <v>0.43612878490270701</v>
      </c>
      <c r="AK9" s="14">
        <v>0.30623890731404002</v>
      </c>
      <c r="AL9" s="14">
        <v>0.257310110302581</v>
      </c>
      <c r="AM9" s="14">
        <v>0.223429567543767</v>
      </c>
      <c r="AN9" s="14">
        <v>0</v>
      </c>
      <c r="AO9" s="14"/>
      <c r="AP9" s="14">
        <v>0.28748384756536399</v>
      </c>
      <c r="AQ9" s="14">
        <v>0.29935494385710398</v>
      </c>
      <c r="AR9" s="14"/>
      <c r="AS9" s="14">
        <v>0.29341390193642602</v>
      </c>
      <c r="AT9" s="14" t="s">
        <v>88</v>
      </c>
      <c r="AU9" s="14" t="s">
        <v>88</v>
      </c>
      <c r="AV9" s="14"/>
      <c r="AW9" s="14">
        <v>0.25254143654193401</v>
      </c>
      <c r="AX9" s="14">
        <v>0.40211900475005102</v>
      </c>
      <c r="AY9" s="14"/>
      <c r="AZ9" s="14">
        <v>0.32172373301906099</v>
      </c>
      <c r="BA9" s="14">
        <v>0.13299771184806999</v>
      </c>
    </row>
    <row r="10" spans="2:53" x14ac:dyDescent="0.35">
      <c r="B10" s="15" t="s">
        <v>227</v>
      </c>
      <c r="C10" s="14">
        <v>0.377284908532173</v>
      </c>
      <c r="D10" s="14">
        <v>0.36003931591411997</v>
      </c>
      <c r="E10" s="14">
        <v>0.39728600645983803</v>
      </c>
      <c r="F10" s="14"/>
      <c r="G10" s="14">
        <v>0</v>
      </c>
      <c r="H10" s="14">
        <v>0.32319304876329802</v>
      </c>
      <c r="I10" s="14">
        <v>0.43088751160400601</v>
      </c>
      <c r="J10" s="14">
        <v>0.31048547708469798</v>
      </c>
      <c r="K10" s="14">
        <v>0.24311859076244399</v>
      </c>
      <c r="L10" s="14" t="s">
        <v>88</v>
      </c>
      <c r="M10" s="14"/>
      <c r="N10" s="14">
        <v>0.40550080453520498</v>
      </c>
      <c r="O10" s="14">
        <v>0.40838496296892501</v>
      </c>
      <c r="P10" s="14">
        <v>0.292401939856403</v>
      </c>
      <c r="Q10" s="14">
        <v>0.36825280872094801</v>
      </c>
      <c r="R10" s="14"/>
      <c r="S10" s="14">
        <v>0.44098179664534498</v>
      </c>
      <c r="T10" s="14">
        <v>0.51894166456299695</v>
      </c>
      <c r="U10" s="14">
        <v>0.40804161553176599</v>
      </c>
      <c r="V10" s="14">
        <v>0.17282146144841401</v>
      </c>
      <c r="W10" s="14">
        <v>0.50369934788649495</v>
      </c>
      <c r="X10" s="14">
        <v>0.47573819765042702</v>
      </c>
      <c r="Y10" s="14">
        <v>0.280860802260954</v>
      </c>
      <c r="Z10" s="14">
        <v>0.31415920980845002</v>
      </c>
      <c r="AA10" s="14">
        <v>0.20974344175079301</v>
      </c>
      <c r="AB10" s="14"/>
      <c r="AC10" s="14">
        <v>0.47605566511702602</v>
      </c>
      <c r="AD10" s="14">
        <v>0.33864850779789402</v>
      </c>
      <c r="AE10" s="14">
        <v>0.34839401921416402</v>
      </c>
      <c r="AF10" s="14">
        <v>0.54199850072773503</v>
      </c>
      <c r="AG10" s="14">
        <v>0.198038211834971</v>
      </c>
      <c r="AH10" s="14"/>
      <c r="AI10" s="14">
        <v>0.39161967020726501</v>
      </c>
      <c r="AJ10" s="14">
        <v>0.27756068400503597</v>
      </c>
      <c r="AK10" s="14">
        <v>0.29590314766384601</v>
      </c>
      <c r="AL10" s="14">
        <v>0.36693160502574301</v>
      </c>
      <c r="AM10" s="14">
        <v>0.55766504599795996</v>
      </c>
      <c r="AN10" s="14">
        <v>0.54772342763595105</v>
      </c>
      <c r="AO10" s="14"/>
      <c r="AP10" s="14">
        <v>0.38879282035145402</v>
      </c>
      <c r="AQ10" s="14">
        <v>0.36575567418459998</v>
      </c>
      <c r="AR10" s="14"/>
      <c r="AS10" s="14">
        <v>0.377284908532173</v>
      </c>
      <c r="AT10" s="14" t="s">
        <v>88</v>
      </c>
      <c r="AU10" s="14" t="s">
        <v>88</v>
      </c>
      <c r="AV10" s="14"/>
      <c r="AW10" s="14">
        <v>0.389184517719525</v>
      </c>
      <c r="AX10" s="14">
        <v>0.36810944652233002</v>
      </c>
      <c r="AY10" s="14"/>
      <c r="AZ10" s="14">
        <v>0.367828312377533</v>
      </c>
      <c r="BA10" s="14">
        <v>0.43087022035913097</v>
      </c>
    </row>
    <row r="11" spans="2:53" x14ac:dyDescent="0.35">
      <c r="B11" s="15" t="s">
        <v>228</v>
      </c>
      <c r="C11" s="14">
        <v>0.211276489630947</v>
      </c>
      <c r="D11" s="14">
        <v>0.243508821295332</v>
      </c>
      <c r="E11" s="14">
        <v>0.173894067563205</v>
      </c>
      <c r="F11" s="14"/>
      <c r="G11" s="14">
        <v>0.56772436404085602</v>
      </c>
      <c r="H11" s="14">
        <v>0.19217069009195101</v>
      </c>
      <c r="I11" s="14">
        <v>0.179812321411712</v>
      </c>
      <c r="J11" s="14">
        <v>0.24959114500751201</v>
      </c>
      <c r="K11" s="14">
        <v>0.58617025784824595</v>
      </c>
      <c r="L11" s="14" t="s">
        <v>88</v>
      </c>
      <c r="M11" s="14"/>
      <c r="N11" s="14">
        <v>0.26934021282352</v>
      </c>
      <c r="O11" s="14">
        <v>0.117204212844503</v>
      </c>
      <c r="P11" s="14">
        <v>0.21822476400768301</v>
      </c>
      <c r="Q11" s="14">
        <v>0.218201247819584</v>
      </c>
      <c r="R11" s="14"/>
      <c r="S11" s="14">
        <v>0.117276618896982</v>
      </c>
      <c r="T11" s="14">
        <v>0.24294145197388201</v>
      </c>
      <c r="U11" s="14">
        <v>0.29247710832934098</v>
      </c>
      <c r="V11" s="14">
        <v>0.193212286406373</v>
      </c>
      <c r="W11" s="14">
        <v>0.31034470050453999</v>
      </c>
      <c r="X11" s="14">
        <v>0.18177467572375</v>
      </c>
      <c r="Y11" s="14">
        <v>0.28557108209424797</v>
      </c>
      <c r="Z11" s="14">
        <v>0.257223629306776</v>
      </c>
      <c r="AA11" s="14">
        <v>0.21889242430570999</v>
      </c>
      <c r="AB11" s="14"/>
      <c r="AC11" s="14">
        <v>0.19363441677155299</v>
      </c>
      <c r="AD11" s="14">
        <v>0.25221376073304602</v>
      </c>
      <c r="AE11" s="14">
        <v>0.21874410619704199</v>
      </c>
      <c r="AF11" s="14">
        <v>0.104657476443808</v>
      </c>
      <c r="AG11" s="14">
        <v>0.12987729121935601</v>
      </c>
      <c r="AH11" s="14"/>
      <c r="AI11" s="14">
        <v>0.25518734381762598</v>
      </c>
      <c r="AJ11" s="14">
        <v>0.174410634315564</v>
      </c>
      <c r="AK11" s="14">
        <v>0.27738201358021403</v>
      </c>
      <c r="AL11" s="14">
        <v>0.152754854542163</v>
      </c>
      <c r="AM11" s="14">
        <v>0.21890538645827301</v>
      </c>
      <c r="AN11" s="14">
        <v>0.183713052393154</v>
      </c>
      <c r="AO11" s="14"/>
      <c r="AP11" s="14">
        <v>0.20970593860652201</v>
      </c>
      <c r="AQ11" s="14">
        <v>0.21284995066365001</v>
      </c>
      <c r="AR11" s="14"/>
      <c r="AS11" s="14">
        <v>0.211276489630947</v>
      </c>
      <c r="AT11" s="14" t="s">
        <v>88</v>
      </c>
      <c r="AU11" s="14" t="s">
        <v>88</v>
      </c>
      <c r="AV11" s="14"/>
      <c r="AW11" s="14">
        <v>0.25111207241894901</v>
      </c>
      <c r="AX11" s="14">
        <v>0.110715918719865</v>
      </c>
      <c r="AY11" s="14"/>
      <c r="AZ11" s="14">
        <v>0.20584696348152201</v>
      </c>
      <c r="BA11" s="14">
        <v>0.24204261805938801</v>
      </c>
    </row>
    <row r="12" spans="2:53" x14ac:dyDescent="0.35">
      <c r="B12" s="15" t="s">
        <v>229</v>
      </c>
      <c r="C12" s="14">
        <v>3.5096015012898898E-2</v>
      </c>
      <c r="D12" s="14">
        <v>4.7378086316244399E-2</v>
      </c>
      <c r="E12" s="14">
        <v>2.08515111368398E-2</v>
      </c>
      <c r="F12" s="14"/>
      <c r="G12" s="14">
        <v>0</v>
      </c>
      <c r="H12" s="14">
        <v>4.8055104056743701E-2</v>
      </c>
      <c r="I12" s="14">
        <v>4.0198209677394597E-2</v>
      </c>
      <c r="J12" s="14">
        <v>0</v>
      </c>
      <c r="K12" s="14">
        <v>0</v>
      </c>
      <c r="L12" s="14" t="s">
        <v>88</v>
      </c>
      <c r="M12" s="14"/>
      <c r="N12" s="14">
        <v>8.2973884234904607E-3</v>
      </c>
      <c r="O12" s="14">
        <v>5.9089576563945201E-2</v>
      </c>
      <c r="P12" s="14">
        <v>6.8653850317247897E-2</v>
      </c>
      <c r="Q12" s="14">
        <v>2.5946111182532899E-2</v>
      </c>
      <c r="R12" s="14"/>
      <c r="S12" s="14">
        <v>2.9065055450172898E-2</v>
      </c>
      <c r="T12" s="14">
        <v>0</v>
      </c>
      <c r="U12" s="14">
        <v>0</v>
      </c>
      <c r="V12" s="14">
        <v>0.15169396112716399</v>
      </c>
      <c r="W12" s="14">
        <v>0</v>
      </c>
      <c r="X12" s="14">
        <v>3.2496614032015099E-2</v>
      </c>
      <c r="Y12" s="14">
        <v>0</v>
      </c>
      <c r="Z12" s="14">
        <v>0.116414845243539</v>
      </c>
      <c r="AA12" s="14">
        <v>0</v>
      </c>
      <c r="AB12" s="14"/>
      <c r="AC12" s="14">
        <v>0</v>
      </c>
      <c r="AD12" s="14">
        <v>9.7873311147610803E-2</v>
      </c>
      <c r="AE12" s="14">
        <v>2.89630395350352E-2</v>
      </c>
      <c r="AF12" s="14">
        <v>0</v>
      </c>
      <c r="AG12" s="14">
        <v>0</v>
      </c>
      <c r="AH12" s="14"/>
      <c r="AI12" s="14">
        <v>1.6993472667744602E-2</v>
      </c>
      <c r="AJ12" s="14">
        <v>6.0583315789890603E-2</v>
      </c>
      <c r="AK12" s="14">
        <v>6.8480795108976394E-2</v>
      </c>
      <c r="AL12" s="14">
        <v>0</v>
      </c>
      <c r="AM12" s="14">
        <v>0</v>
      </c>
      <c r="AN12" s="14">
        <v>3.7528202418130999E-2</v>
      </c>
      <c r="AO12" s="14"/>
      <c r="AP12" s="14">
        <v>3.33020814474215E-2</v>
      </c>
      <c r="AQ12" s="14">
        <v>3.6893272482817298E-2</v>
      </c>
      <c r="AR12" s="14"/>
      <c r="AS12" s="14">
        <v>3.5096015012898898E-2</v>
      </c>
      <c r="AT12" s="14" t="s">
        <v>88</v>
      </c>
      <c r="AU12" s="14" t="s">
        <v>88</v>
      </c>
      <c r="AV12" s="14"/>
      <c r="AW12" s="14">
        <v>3.39898855171352E-2</v>
      </c>
      <c r="AX12" s="14">
        <v>4.1792298126063103E-2</v>
      </c>
      <c r="AY12" s="14"/>
      <c r="AZ12" s="14">
        <v>3.3153068573978497E-2</v>
      </c>
      <c r="BA12" s="14">
        <v>4.61056202757337E-2</v>
      </c>
    </row>
    <row r="13" spans="2:53" x14ac:dyDescent="0.35">
      <c r="B13" s="15" t="s">
        <v>116</v>
      </c>
      <c r="C13" s="23">
        <v>5.3899805727893102E-2</v>
      </c>
      <c r="D13" s="23">
        <v>2.8594012091649801E-2</v>
      </c>
      <c r="E13" s="23">
        <v>8.3248965705496503E-2</v>
      </c>
      <c r="F13" s="23"/>
      <c r="G13" s="23">
        <v>0</v>
      </c>
      <c r="H13" s="23">
        <v>4.5392824003343497E-2</v>
      </c>
      <c r="I13" s="23">
        <v>6.7558362957735998E-2</v>
      </c>
      <c r="J13" s="23">
        <v>2.72796371556791E-2</v>
      </c>
      <c r="K13" s="23">
        <v>0</v>
      </c>
      <c r="L13" s="23" t="s">
        <v>88</v>
      </c>
      <c r="M13" s="23"/>
      <c r="N13" s="23">
        <v>2.3845395673056002E-2</v>
      </c>
      <c r="O13" s="23">
        <v>7.4596751076694806E-2</v>
      </c>
      <c r="P13" s="23">
        <v>3.3605165089068703E-2</v>
      </c>
      <c r="Q13" s="23">
        <v>8.5577497338758302E-2</v>
      </c>
      <c r="R13" s="23"/>
      <c r="S13" s="23">
        <v>1.3286789978549599E-2</v>
      </c>
      <c r="T13" s="23">
        <v>3.58855996511451E-2</v>
      </c>
      <c r="U13" s="23">
        <v>5.3250046811360398E-2</v>
      </c>
      <c r="V13" s="23">
        <v>0</v>
      </c>
      <c r="W13" s="23">
        <v>0</v>
      </c>
      <c r="X13" s="23">
        <v>0.140074832873016</v>
      </c>
      <c r="Y13" s="23">
        <v>6.5117417342363898E-2</v>
      </c>
      <c r="Z13" s="23">
        <v>0.100765224855124</v>
      </c>
      <c r="AA13" s="23">
        <v>0.17278978754302601</v>
      </c>
      <c r="AB13" s="23"/>
      <c r="AC13" s="23">
        <v>0</v>
      </c>
      <c r="AD13" s="23">
        <v>5.9836628108883502E-2</v>
      </c>
      <c r="AE13" s="23">
        <v>5.3392210002207598E-2</v>
      </c>
      <c r="AF13" s="23">
        <v>2.02067794200766E-2</v>
      </c>
      <c r="AG13" s="23">
        <v>0</v>
      </c>
      <c r="AH13" s="23"/>
      <c r="AI13" s="23">
        <v>1.2076645460056001E-2</v>
      </c>
      <c r="AJ13" s="23">
        <v>3.7112229344490801E-2</v>
      </c>
      <c r="AK13" s="23">
        <v>5.1995136332923103E-2</v>
      </c>
      <c r="AL13" s="23">
        <v>8.1017914963085302E-2</v>
      </c>
      <c r="AM13" s="23">
        <v>0</v>
      </c>
      <c r="AN13" s="23">
        <v>0.23103531755276399</v>
      </c>
      <c r="AO13" s="23"/>
      <c r="AP13" s="23">
        <v>3.9926664174221901E-2</v>
      </c>
      <c r="AQ13" s="23">
        <v>6.7898837530878997E-2</v>
      </c>
      <c r="AR13" s="23"/>
      <c r="AS13" s="23">
        <v>5.3899805727893102E-2</v>
      </c>
      <c r="AT13" s="23" t="s">
        <v>88</v>
      </c>
      <c r="AU13" s="23" t="s">
        <v>88</v>
      </c>
      <c r="AV13" s="23"/>
      <c r="AW13" s="23">
        <v>5.6732907338558597E-2</v>
      </c>
      <c r="AX13" s="23">
        <v>1.3293646934494601E-2</v>
      </c>
      <c r="AY13" s="23"/>
      <c r="AZ13" s="23">
        <v>3.7296102461422301E-2</v>
      </c>
      <c r="BA13" s="23">
        <v>0.14798382945767799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B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207</v>
      </c>
      <c r="D7" s="10">
        <v>92</v>
      </c>
      <c r="E7" s="10">
        <v>115</v>
      </c>
      <c r="F7" s="10"/>
      <c r="G7" s="10">
        <v>3</v>
      </c>
      <c r="H7" s="10">
        <v>66</v>
      </c>
      <c r="I7" s="10">
        <v>111</v>
      </c>
      <c r="J7" s="10">
        <v>21</v>
      </c>
      <c r="K7" s="10">
        <v>6</v>
      </c>
      <c r="L7" s="10" t="s">
        <v>87</v>
      </c>
      <c r="M7" s="10"/>
      <c r="N7" s="10">
        <v>107</v>
      </c>
      <c r="O7" s="10">
        <v>44</v>
      </c>
      <c r="P7" s="10">
        <v>22</v>
      </c>
      <c r="Q7" s="10">
        <v>34</v>
      </c>
      <c r="R7" s="10"/>
      <c r="S7" s="10">
        <v>60</v>
      </c>
      <c r="T7" s="10">
        <v>26</v>
      </c>
      <c r="U7" s="10">
        <v>17</v>
      </c>
      <c r="V7" s="10">
        <v>19</v>
      </c>
      <c r="W7" s="10">
        <v>10</v>
      </c>
      <c r="X7" s="10">
        <v>23</v>
      </c>
      <c r="Y7" s="10">
        <v>19</v>
      </c>
      <c r="Z7" s="10">
        <v>11</v>
      </c>
      <c r="AA7" s="10">
        <v>22</v>
      </c>
      <c r="AB7" s="10"/>
      <c r="AC7" s="10">
        <v>12</v>
      </c>
      <c r="AD7" s="10">
        <v>29</v>
      </c>
      <c r="AE7" s="10">
        <v>75</v>
      </c>
      <c r="AF7" s="10">
        <v>47</v>
      </c>
      <c r="AG7" s="10">
        <v>23</v>
      </c>
      <c r="AH7" s="10"/>
      <c r="AI7" s="10">
        <v>89</v>
      </c>
      <c r="AJ7" s="10">
        <v>39</v>
      </c>
      <c r="AK7" s="10">
        <v>19</v>
      </c>
      <c r="AL7" s="10">
        <v>22</v>
      </c>
      <c r="AM7" s="10">
        <v>13</v>
      </c>
      <c r="AN7" s="10">
        <v>13</v>
      </c>
      <c r="AO7" s="10"/>
      <c r="AP7" s="10">
        <v>110</v>
      </c>
      <c r="AQ7" s="10">
        <v>97</v>
      </c>
      <c r="AR7" s="10"/>
      <c r="AS7" s="10">
        <v>207</v>
      </c>
      <c r="AT7" s="10" t="s">
        <v>87</v>
      </c>
      <c r="AU7" s="10" t="s">
        <v>87</v>
      </c>
      <c r="AV7" s="10"/>
      <c r="AW7" s="10">
        <v>131</v>
      </c>
      <c r="AX7" s="10">
        <v>71</v>
      </c>
      <c r="AY7" s="10"/>
      <c r="AZ7" s="10">
        <v>177</v>
      </c>
      <c r="BA7" s="10">
        <v>30</v>
      </c>
    </row>
    <row r="8" spans="2:53" ht="30" customHeight="1" x14ac:dyDescent="0.35">
      <c r="B8" s="11" t="s">
        <v>19</v>
      </c>
      <c r="C8" s="11">
        <v>191</v>
      </c>
      <c r="D8" s="11">
        <v>102</v>
      </c>
      <c r="E8" s="11">
        <v>88</v>
      </c>
      <c r="F8" s="11"/>
      <c r="G8" s="11">
        <v>3</v>
      </c>
      <c r="H8" s="11">
        <v>46</v>
      </c>
      <c r="I8" s="11">
        <v>112</v>
      </c>
      <c r="J8" s="11">
        <v>24</v>
      </c>
      <c r="K8" s="11">
        <v>7</v>
      </c>
      <c r="L8" s="11" t="s">
        <v>87</v>
      </c>
      <c r="M8" s="11"/>
      <c r="N8" s="11">
        <v>63</v>
      </c>
      <c r="O8" s="11">
        <v>45</v>
      </c>
      <c r="P8" s="11">
        <v>32</v>
      </c>
      <c r="Q8" s="11">
        <v>51</v>
      </c>
      <c r="R8" s="11"/>
      <c r="S8" s="11">
        <v>49</v>
      </c>
      <c r="T8" s="11">
        <v>25</v>
      </c>
      <c r="U8" s="11">
        <v>20</v>
      </c>
      <c r="V8" s="11">
        <v>23</v>
      </c>
      <c r="W8" s="11">
        <v>11</v>
      </c>
      <c r="X8" s="11">
        <v>16</v>
      </c>
      <c r="Y8" s="11">
        <v>18</v>
      </c>
      <c r="Z8" s="11">
        <v>11</v>
      </c>
      <c r="AA8" s="11">
        <v>19</v>
      </c>
      <c r="AB8" s="11"/>
      <c r="AC8" s="11">
        <v>15</v>
      </c>
      <c r="AD8" s="11">
        <v>36</v>
      </c>
      <c r="AE8" s="11">
        <v>67</v>
      </c>
      <c r="AF8" s="11">
        <v>35</v>
      </c>
      <c r="AG8" s="11">
        <v>13</v>
      </c>
      <c r="AH8" s="11"/>
      <c r="AI8" s="11">
        <v>73</v>
      </c>
      <c r="AJ8" s="11">
        <v>36</v>
      </c>
      <c r="AK8" s="11">
        <v>21</v>
      </c>
      <c r="AL8" s="11">
        <v>22</v>
      </c>
      <c r="AM8" s="11">
        <v>13</v>
      </c>
      <c r="AN8" s="11">
        <v>14</v>
      </c>
      <c r="AO8" s="11"/>
      <c r="AP8" s="11">
        <v>95</v>
      </c>
      <c r="AQ8" s="11">
        <v>95</v>
      </c>
      <c r="AR8" s="11"/>
      <c r="AS8" s="11">
        <v>191</v>
      </c>
      <c r="AT8" s="11" t="s">
        <v>87</v>
      </c>
      <c r="AU8" s="11" t="s">
        <v>87</v>
      </c>
      <c r="AV8" s="11"/>
      <c r="AW8" s="11">
        <v>132</v>
      </c>
      <c r="AX8" s="11">
        <v>53</v>
      </c>
      <c r="AY8" s="11"/>
      <c r="AZ8" s="11">
        <v>162</v>
      </c>
      <c r="BA8" s="11">
        <v>29</v>
      </c>
    </row>
    <row r="9" spans="2:53" ht="29" x14ac:dyDescent="0.35">
      <c r="B9" s="15" t="s">
        <v>231</v>
      </c>
      <c r="C9" s="14">
        <v>0.18122823971598201</v>
      </c>
      <c r="D9" s="14">
        <v>0.193227935962692</v>
      </c>
      <c r="E9" s="14">
        <v>0.16731122885713601</v>
      </c>
      <c r="F9" s="14"/>
      <c r="G9" s="14">
        <v>0.43227563595914398</v>
      </c>
      <c r="H9" s="14">
        <v>9.4366533106264902E-2</v>
      </c>
      <c r="I9" s="14">
        <v>0.215598025814626</v>
      </c>
      <c r="J9" s="14">
        <v>0.20781122434327501</v>
      </c>
      <c r="K9" s="14">
        <v>0</v>
      </c>
      <c r="L9" s="14" t="s">
        <v>88</v>
      </c>
      <c r="M9" s="14"/>
      <c r="N9" s="14">
        <v>9.3736087388066894E-2</v>
      </c>
      <c r="O9" s="14">
        <v>0.163214120834447</v>
      </c>
      <c r="P9" s="14">
        <v>0.33851399259357801</v>
      </c>
      <c r="Q9" s="14">
        <v>0.206528121120825</v>
      </c>
      <c r="R9" s="14"/>
      <c r="S9" s="14">
        <v>0.28070615376130897</v>
      </c>
      <c r="T9" s="14">
        <v>0.24116818371150001</v>
      </c>
      <c r="U9" s="14">
        <v>0</v>
      </c>
      <c r="V9" s="14">
        <v>0.16207271483556401</v>
      </c>
      <c r="W9" s="14">
        <v>0.10925323710382299</v>
      </c>
      <c r="X9" s="14">
        <v>0.15933964058938299</v>
      </c>
      <c r="Y9" s="14">
        <v>9.7050703459757498E-2</v>
      </c>
      <c r="Z9" s="14">
        <v>9.9004384347769106E-2</v>
      </c>
      <c r="AA9" s="14">
        <v>0.25119155633734702</v>
      </c>
      <c r="AB9" s="14"/>
      <c r="AC9" s="14">
        <v>7.2242985574884497E-2</v>
      </c>
      <c r="AD9" s="14">
        <v>0.12675466460901599</v>
      </c>
      <c r="AE9" s="14">
        <v>0.12455692078960599</v>
      </c>
      <c r="AF9" s="14">
        <v>0.377533152268553</v>
      </c>
      <c r="AG9" s="14">
        <v>0.20482447329350201</v>
      </c>
      <c r="AH9" s="14"/>
      <c r="AI9" s="14">
        <v>0.137623471624579</v>
      </c>
      <c r="AJ9" s="14">
        <v>0.29304780537611202</v>
      </c>
      <c r="AK9" s="14">
        <v>8.5550745733092695E-2</v>
      </c>
      <c r="AL9" s="14">
        <v>0.19765193630814301</v>
      </c>
      <c r="AM9" s="14">
        <v>2.5192581663955702E-2</v>
      </c>
      <c r="AN9" s="14">
        <v>0.37220149879964698</v>
      </c>
      <c r="AO9" s="14"/>
      <c r="AP9" s="14">
        <v>0.20137220226838701</v>
      </c>
      <c r="AQ9" s="14">
        <v>0.16104695325823701</v>
      </c>
      <c r="AR9" s="14"/>
      <c r="AS9" s="14">
        <v>0.18122823971598201</v>
      </c>
      <c r="AT9" s="14" t="s">
        <v>88</v>
      </c>
      <c r="AU9" s="14" t="s">
        <v>88</v>
      </c>
      <c r="AV9" s="14"/>
      <c r="AW9" s="14">
        <v>0.13000517714793899</v>
      </c>
      <c r="AX9" s="14">
        <v>0.27972132158336099</v>
      </c>
      <c r="AY9" s="14"/>
      <c r="AZ9" s="14">
        <v>0.188113690822198</v>
      </c>
      <c r="BA9" s="14">
        <v>0.142212188003251</v>
      </c>
    </row>
    <row r="10" spans="2:53" ht="29" x14ac:dyDescent="0.35">
      <c r="B10" s="15" t="s">
        <v>232</v>
      </c>
      <c r="C10" s="14">
        <v>0.70042013138700698</v>
      </c>
      <c r="D10" s="14">
        <v>0.65155147159563698</v>
      </c>
      <c r="E10" s="14">
        <v>0.75709703845123999</v>
      </c>
      <c r="F10" s="14"/>
      <c r="G10" s="14">
        <v>0.56772436404085602</v>
      </c>
      <c r="H10" s="14">
        <v>0.78004468777353897</v>
      </c>
      <c r="I10" s="14">
        <v>0.68431365741112005</v>
      </c>
      <c r="J10" s="14">
        <v>0.554486984614603</v>
      </c>
      <c r="K10" s="14">
        <v>1</v>
      </c>
      <c r="L10" s="14" t="s">
        <v>88</v>
      </c>
      <c r="M10" s="14"/>
      <c r="N10" s="14">
        <v>0.74085961669671896</v>
      </c>
      <c r="O10" s="14">
        <v>0.76548391774086999</v>
      </c>
      <c r="P10" s="14">
        <v>0.66148600740642205</v>
      </c>
      <c r="Q10" s="14">
        <v>0.61731119272193102</v>
      </c>
      <c r="R10" s="14"/>
      <c r="S10" s="14">
        <v>0.62905787561139603</v>
      </c>
      <c r="T10" s="14">
        <v>0.73199935471551103</v>
      </c>
      <c r="U10" s="14">
        <v>0.88162434604759699</v>
      </c>
      <c r="V10" s="14">
        <v>0.69476532426122195</v>
      </c>
      <c r="W10" s="14">
        <v>0.89074676289617705</v>
      </c>
      <c r="X10" s="14">
        <v>0.52119131650578299</v>
      </c>
      <c r="Y10" s="14">
        <v>0.71442891790575203</v>
      </c>
      <c r="Z10" s="14">
        <v>0.90099561565223096</v>
      </c>
      <c r="AA10" s="14">
        <v>0.56695234788442594</v>
      </c>
      <c r="AB10" s="14"/>
      <c r="AC10" s="14">
        <v>0.73921543770711695</v>
      </c>
      <c r="AD10" s="14">
        <v>0.78854566508881097</v>
      </c>
      <c r="AE10" s="14">
        <v>0.73643124350765599</v>
      </c>
      <c r="AF10" s="14">
        <v>0.58879626863400902</v>
      </c>
      <c r="AG10" s="14">
        <v>0.58047168017351403</v>
      </c>
      <c r="AH10" s="14"/>
      <c r="AI10" s="14">
        <v>0.76435643234877004</v>
      </c>
      <c r="AJ10" s="14">
        <v>0.59896137789886605</v>
      </c>
      <c r="AK10" s="14">
        <v>0.79886328515859495</v>
      </c>
      <c r="AL10" s="14">
        <v>0.68390155910186501</v>
      </c>
      <c r="AM10" s="14">
        <v>0.872157127741788</v>
      </c>
      <c r="AN10" s="14">
        <v>0.363242086404378</v>
      </c>
      <c r="AO10" s="14"/>
      <c r="AP10" s="14">
        <v>0.69548328167487095</v>
      </c>
      <c r="AQ10" s="14">
        <v>0.705366128381405</v>
      </c>
      <c r="AR10" s="14"/>
      <c r="AS10" s="14">
        <v>0.70042013138700698</v>
      </c>
      <c r="AT10" s="14" t="s">
        <v>88</v>
      </c>
      <c r="AU10" s="14" t="s">
        <v>88</v>
      </c>
      <c r="AV10" s="14"/>
      <c r="AW10" s="14">
        <v>0.74336300687826795</v>
      </c>
      <c r="AX10" s="14">
        <v>0.64906975986160698</v>
      </c>
      <c r="AY10" s="14"/>
      <c r="AZ10" s="14">
        <v>0.68341323117928898</v>
      </c>
      <c r="BA10" s="14">
        <v>0.79678884968036601</v>
      </c>
    </row>
    <row r="11" spans="2:53" ht="29" x14ac:dyDescent="0.35">
      <c r="B11" s="15" t="s">
        <v>233</v>
      </c>
      <c r="C11" s="14">
        <v>6.3379852898557507E-2</v>
      </c>
      <c r="D11" s="14">
        <v>9.8988197299476902E-2</v>
      </c>
      <c r="E11" s="14">
        <v>2.2081997894183501E-2</v>
      </c>
      <c r="F11" s="14"/>
      <c r="G11" s="14">
        <v>0</v>
      </c>
      <c r="H11" s="14">
        <v>5.6445533273562401E-2</v>
      </c>
      <c r="I11" s="14">
        <v>6.5700860012243803E-2</v>
      </c>
      <c r="J11" s="14">
        <v>9.1013736376300405E-2</v>
      </c>
      <c r="K11" s="14">
        <v>0</v>
      </c>
      <c r="L11" s="14" t="s">
        <v>88</v>
      </c>
      <c r="M11" s="14"/>
      <c r="N11" s="14">
        <v>0.114836845606515</v>
      </c>
      <c r="O11" s="14">
        <v>1.6335660635317901E-2</v>
      </c>
      <c r="P11" s="14">
        <v>0</v>
      </c>
      <c r="Q11" s="14">
        <v>8.1145369232692999E-2</v>
      </c>
      <c r="R11" s="14"/>
      <c r="S11" s="14">
        <v>7.6949180648745896E-2</v>
      </c>
      <c r="T11" s="14">
        <v>2.6832461572988499E-2</v>
      </c>
      <c r="U11" s="14">
        <v>6.5125607141042305E-2</v>
      </c>
      <c r="V11" s="14">
        <v>9.3111654373543296E-2</v>
      </c>
      <c r="W11" s="14">
        <v>0</v>
      </c>
      <c r="X11" s="14">
        <v>7.9369929255848903E-2</v>
      </c>
      <c r="Y11" s="14">
        <v>9.3165629018829896E-2</v>
      </c>
      <c r="Z11" s="14">
        <v>0</v>
      </c>
      <c r="AA11" s="14">
        <v>7.01876360826027E-2</v>
      </c>
      <c r="AB11" s="14"/>
      <c r="AC11" s="14">
        <v>0</v>
      </c>
      <c r="AD11" s="14">
        <v>5.4792405870199401E-2</v>
      </c>
      <c r="AE11" s="14">
        <v>9.0641263495215896E-2</v>
      </c>
      <c r="AF11" s="14">
        <v>1.3463799677361299E-2</v>
      </c>
      <c r="AG11" s="14">
        <v>0.21470384653298399</v>
      </c>
      <c r="AH11" s="14"/>
      <c r="AI11" s="14">
        <v>9.8020096026650794E-2</v>
      </c>
      <c r="AJ11" s="14">
        <v>2.4779594086050499E-2</v>
      </c>
      <c r="AK11" s="14">
        <v>6.3590832775389405E-2</v>
      </c>
      <c r="AL11" s="14">
        <v>3.3551151039107302E-2</v>
      </c>
      <c r="AM11" s="14">
        <v>0.102650290594256</v>
      </c>
      <c r="AN11" s="14">
        <v>0</v>
      </c>
      <c r="AO11" s="14"/>
      <c r="AP11" s="14">
        <v>6.6991804996571896E-2</v>
      </c>
      <c r="AQ11" s="14">
        <v>5.9761208365633402E-2</v>
      </c>
      <c r="AR11" s="14"/>
      <c r="AS11" s="14">
        <v>6.3379852898557507E-2</v>
      </c>
      <c r="AT11" s="14" t="s">
        <v>88</v>
      </c>
      <c r="AU11" s="14" t="s">
        <v>88</v>
      </c>
      <c r="AV11" s="14"/>
      <c r="AW11" s="14">
        <v>6.8353859870214598E-2</v>
      </c>
      <c r="AX11" s="14">
        <v>5.7915271620537098E-2</v>
      </c>
      <c r="AY11" s="14"/>
      <c r="AZ11" s="14">
        <v>7.0494593179696405E-2</v>
      </c>
      <c r="BA11" s="14">
        <v>2.3064545963768598E-2</v>
      </c>
    </row>
    <row r="12" spans="2:53" x14ac:dyDescent="0.35">
      <c r="B12" s="15" t="s">
        <v>116</v>
      </c>
      <c r="C12" s="23">
        <v>5.4971775998452703E-2</v>
      </c>
      <c r="D12" s="23">
        <v>5.6232395142194101E-2</v>
      </c>
      <c r="E12" s="23">
        <v>5.35097347974407E-2</v>
      </c>
      <c r="F12" s="23"/>
      <c r="G12" s="23">
        <v>0</v>
      </c>
      <c r="H12" s="23">
        <v>6.9143245846633394E-2</v>
      </c>
      <c r="I12" s="23">
        <v>3.4387456762010202E-2</v>
      </c>
      <c r="J12" s="23">
        <v>0.14668805466582199</v>
      </c>
      <c r="K12" s="23">
        <v>0</v>
      </c>
      <c r="L12" s="23" t="s">
        <v>88</v>
      </c>
      <c r="M12" s="23"/>
      <c r="N12" s="23">
        <v>5.0567450308699503E-2</v>
      </c>
      <c r="O12" s="23">
        <v>5.4966300789365201E-2</v>
      </c>
      <c r="P12" s="23">
        <v>0</v>
      </c>
      <c r="Q12" s="23">
        <v>9.5015316924550897E-2</v>
      </c>
      <c r="R12" s="23"/>
      <c r="S12" s="23">
        <v>1.3286789978549599E-2</v>
      </c>
      <c r="T12" s="23">
        <v>0</v>
      </c>
      <c r="U12" s="23">
        <v>5.3250046811360398E-2</v>
      </c>
      <c r="V12" s="23">
        <v>5.0050306529671101E-2</v>
      </c>
      <c r="W12" s="23">
        <v>0</v>
      </c>
      <c r="X12" s="23">
        <v>0.24009911364898601</v>
      </c>
      <c r="Y12" s="23">
        <v>9.5354749615660594E-2</v>
      </c>
      <c r="Z12" s="23">
        <v>0</v>
      </c>
      <c r="AA12" s="23">
        <v>0.111668459695625</v>
      </c>
      <c r="AB12" s="23"/>
      <c r="AC12" s="23">
        <v>0.18854157671799801</v>
      </c>
      <c r="AD12" s="23">
        <v>2.9907264431973699E-2</v>
      </c>
      <c r="AE12" s="23">
        <v>4.8370572207521702E-2</v>
      </c>
      <c r="AF12" s="23">
        <v>2.02067794200766E-2</v>
      </c>
      <c r="AG12" s="23">
        <v>0</v>
      </c>
      <c r="AH12" s="23"/>
      <c r="AI12" s="23">
        <v>0</v>
      </c>
      <c r="AJ12" s="23">
        <v>8.32112226389711E-2</v>
      </c>
      <c r="AK12" s="23">
        <v>5.1995136332923103E-2</v>
      </c>
      <c r="AL12" s="23">
        <v>8.4895353550884803E-2</v>
      </c>
      <c r="AM12" s="23">
        <v>0</v>
      </c>
      <c r="AN12" s="23">
        <v>0.26455641479597503</v>
      </c>
      <c r="AO12" s="23"/>
      <c r="AP12" s="23">
        <v>3.6152711060170199E-2</v>
      </c>
      <c r="AQ12" s="23">
        <v>7.3825709994724098E-2</v>
      </c>
      <c r="AR12" s="23"/>
      <c r="AS12" s="23">
        <v>5.4971775998452703E-2</v>
      </c>
      <c r="AT12" s="23" t="s">
        <v>88</v>
      </c>
      <c r="AU12" s="23" t="s">
        <v>88</v>
      </c>
      <c r="AV12" s="23"/>
      <c r="AW12" s="23">
        <v>5.8277956103579102E-2</v>
      </c>
      <c r="AX12" s="23">
        <v>1.3293646934494601E-2</v>
      </c>
      <c r="AY12" s="23"/>
      <c r="AZ12" s="23">
        <v>5.7978484818816199E-2</v>
      </c>
      <c r="BA12" s="23">
        <v>3.7934416352614901E-2</v>
      </c>
    </row>
    <row r="13" spans="2:53" x14ac:dyDescent="0.35">
      <c r="B13" s="16" t="s">
        <v>219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207</v>
      </c>
      <c r="D7" s="10">
        <v>92</v>
      </c>
      <c r="E7" s="10">
        <v>115</v>
      </c>
      <c r="F7" s="10"/>
      <c r="G7" s="10">
        <v>3</v>
      </c>
      <c r="H7" s="10">
        <v>66</v>
      </c>
      <c r="I7" s="10">
        <v>111</v>
      </c>
      <c r="J7" s="10">
        <v>21</v>
      </c>
      <c r="K7" s="10">
        <v>6</v>
      </c>
      <c r="L7" s="10" t="s">
        <v>87</v>
      </c>
      <c r="M7" s="10"/>
      <c r="N7" s="10">
        <v>107</v>
      </c>
      <c r="O7" s="10">
        <v>44</v>
      </c>
      <c r="P7" s="10">
        <v>22</v>
      </c>
      <c r="Q7" s="10">
        <v>34</v>
      </c>
      <c r="R7" s="10"/>
      <c r="S7" s="10">
        <v>60</v>
      </c>
      <c r="T7" s="10">
        <v>26</v>
      </c>
      <c r="U7" s="10">
        <v>17</v>
      </c>
      <c r="V7" s="10">
        <v>19</v>
      </c>
      <c r="W7" s="10">
        <v>10</v>
      </c>
      <c r="X7" s="10">
        <v>23</v>
      </c>
      <c r="Y7" s="10">
        <v>19</v>
      </c>
      <c r="Z7" s="10">
        <v>11</v>
      </c>
      <c r="AA7" s="10">
        <v>22</v>
      </c>
      <c r="AB7" s="10"/>
      <c r="AC7" s="10">
        <v>12</v>
      </c>
      <c r="AD7" s="10">
        <v>29</v>
      </c>
      <c r="AE7" s="10">
        <v>75</v>
      </c>
      <c r="AF7" s="10">
        <v>47</v>
      </c>
      <c r="AG7" s="10">
        <v>23</v>
      </c>
      <c r="AH7" s="10"/>
      <c r="AI7" s="10">
        <v>89</v>
      </c>
      <c r="AJ7" s="10">
        <v>39</v>
      </c>
      <c r="AK7" s="10">
        <v>19</v>
      </c>
      <c r="AL7" s="10">
        <v>22</v>
      </c>
      <c r="AM7" s="10">
        <v>13</v>
      </c>
      <c r="AN7" s="10">
        <v>13</v>
      </c>
      <c r="AO7" s="10"/>
      <c r="AP7" s="10">
        <v>110</v>
      </c>
      <c r="AQ7" s="10">
        <v>97</v>
      </c>
      <c r="AR7" s="10"/>
      <c r="AS7" s="10">
        <v>207</v>
      </c>
      <c r="AT7" s="10" t="s">
        <v>87</v>
      </c>
      <c r="AU7" s="10" t="s">
        <v>87</v>
      </c>
      <c r="AV7" s="10"/>
      <c r="AW7" s="10">
        <v>131</v>
      </c>
      <c r="AX7" s="10">
        <v>71</v>
      </c>
      <c r="AY7" s="10"/>
      <c r="AZ7" s="10">
        <v>177</v>
      </c>
      <c r="BA7" s="10">
        <v>30</v>
      </c>
    </row>
    <row r="8" spans="2:53" ht="30" customHeight="1" x14ac:dyDescent="0.35">
      <c r="B8" s="11" t="s">
        <v>19</v>
      </c>
      <c r="C8" s="11">
        <v>191</v>
      </c>
      <c r="D8" s="11">
        <v>102</v>
      </c>
      <c r="E8" s="11">
        <v>88</v>
      </c>
      <c r="F8" s="11"/>
      <c r="G8" s="11">
        <v>3</v>
      </c>
      <c r="H8" s="11">
        <v>46</v>
      </c>
      <c r="I8" s="11">
        <v>112</v>
      </c>
      <c r="J8" s="11">
        <v>24</v>
      </c>
      <c r="K8" s="11">
        <v>7</v>
      </c>
      <c r="L8" s="11" t="s">
        <v>87</v>
      </c>
      <c r="M8" s="11"/>
      <c r="N8" s="11">
        <v>63</v>
      </c>
      <c r="O8" s="11">
        <v>45</v>
      </c>
      <c r="P8" s="11">
        <v>32</v>
      </c>
      <c r="Q8" s="11">
        <v>51</v>
      </c>
      <c r="R8" s="11"/>
      <c r="S8" s="11">
        <v>49</v>
      </c>
      <c r="T8" s="11">
        <v>25</v>
      </c>
      <c r="U8" s="11">
        <v>20</v>
      </c>
      <c r="V8" s="11">
        <v>23</v>
      </c>
      <c r="W8" s="11">
        <v>11</v>
      </c>
      <c r="X8" s="11">
        <v>16</v>
      </c>
      <c r="Y8" s="11">
        <v>18</v>
      </c>
      <c r="Z8" s="11">
        <v>11</v>
      </c>
      <c r="AA8" s="11">
        <v>19</v>
      </c>
      <c r="AB8" s="11"/>
      <c r="AC8" s="11">
        <v>15</v>
      </c>
      <c r="AD8" s="11">
        <v>36</v>
      </c>
      <c r="AE8" s="11">
        <v>67</v>
      </c>
      <c r="AF8" s="11">
        <v>35</v>
      </c>
      <c r="AG8" s="11">
        <v>13</v>
      </c>
      <c r="AH8" s="11"/>
      <c r="AI8" s="11">
        <v>73</v>
      </c>
      <c r="AJ8" s="11">
        <v>36</v>
      </c>
      <c r="AK8" s="11">
        <v>21</v>
      </c>
      <c r="AL8" s="11">
        <v>22</v>
      </c>
      <c r="AM8" s="11">
        <v>13</v>
      </c>
      <c r="AN8" s="11">
        <v>14</v>
      </c>
      <c r="AO8" s="11"/>
      <c r="AP8" s="11">
        <v>95</v>
      </c>
      <c r="AQ8" s="11">
        <v>95</v>
      </c>
      <c r="AR8" s="11"/>
      <c r="AS8" s="11">
        <v>191</v>
      </c>
      <c r="AT8" s="11" t="s">
        <v>87</v>
      </c>
      <c r="AU8" s="11" t="s">
        <v>87</v>
      </c>
      <c r="AV8" s="11"/>
      <c r="AW8" s="11">
        <v>132</v>
      </c>
      <c r="AX8" s="11">
        <v>53</v>
      </c>
      <c r="AY8" s="11"/>
      <c r="AZ8" s="11">
        <v>162</v>
      </c>
      <c r="BA8" s="11">
        <v>29</v>
      </c>
    </row>
    <row r="9" spans="2:53" x14ac:dyDescent="0.35">
      <c r="B9" s="15" t="s">
        <v>235</v>
      </c>
      <c r="C9" s="14">
        <v>0.46168000404626303</v>
      </c>
      <c r="D9" s="14">
        <v>0.50188528175150104</v>
      </c>
      <c r="E9" s="14">
        <v>0.41505071652907399</v>
      </c>
      <c r="F9" s="14"/>
      <c r="G9" s="14">
        <v>0.18766199443336401</v>
      </c>
      <c r="H9" s="14">
        <v>0.47187603299182901</v>
      </c>
      <c r="I9" s="14">
        <v>0.44368573115542798</v>
      </c>
      <c r="J9" s="14">
        <v>0.51140915175462598</v>
      </c>
      <c r="K9" s="14">
        <v>0.631772031255875</v>
      </c>
      <c r="L9" s="14" t="s">
        <v>88</v>
      </c>
      <c r="M9" s="14"/>
      <c r="N9" s="14">
        <v>0.42092706055553197</v>
      </c>
      <c r="O9" s="14">
        <v>0.40170382153440698</v>
      </c>
      <c r="P9" s="14">
        <v>0.65121468903421298</v>
      </c>
      <c r="Q9" s="14">
        <v>0.44592760757240402</v>
      </c>
      <c r="R9" s="14"/>
      <c r="S9" s="14">
        <v>0.474464924378389</v>
      </c>
      <c r="T9" s="14">
        <v>0.49392711685158802</v>
      </c>
      <c r="U9" s="14">
        <v>0.49541050811808801</v>
      </c>
      <c r="V9" s="14">
        <v>0.54620073898804899</v>
      </c>
      <c r="W9" s="14">
        <v>0.495357338514542</v>
      </c>
      <c r="X9" s="14">
        <v>0.52574936845122899</v>
      </c>
      <c r="Y9" s="14">
        <v>0.34486567813062602</v>
      </c>
      <c r="Z9" s="14">
        <v>0.14026381575098401</v>
      </c>
      <c r="AA9" s="14">
        <v>0.46231090199916602</v>
      </c>
      <c r="AB9" s="14"/>
      <c r="AC9" s="14">
        <v>0.50602573787433003</v>
      </c>
      <c r="AD9" s="14">
        <v>0.53534262941933997</v>
      </c>
      <c r="AE9" s="14">
        <v>0.46351286355165899</v>
      </c>
      <c r="AF9" s="14">
        <v>0.40690873213810302</v>
      </c>
      <c r="AG9" s="14">
        <v>0.44569171312872702</v>
      </c>
      <c r="AH9" s="14"/>
      <c r="AI9" s="14">
        <v>0.41990639709266397</v>
      </c>
      <c r="AJ9" s="14">
        <v>0.51855019721181095</v>
      </c>
      <c r="AK9" s="14">
        <v>0.53649424608315199</v>
      </c>
      <c r="AL9" s="14">
        <v>0.50632346500824499</v>
      </c>
      <c r="AM9" s="14">
        <v>0.52992609258082402</v>
      </c>
      <c r="AN9" s="14">
        <v>0.35959851561996797</v>
      </c>
      <c r="AO9" s="14"/>
      <c r="AP9" s="14">
        <v>0.471363267785541</v>
      </c>
      <c r="AQ9" s="14">
        <v>0.45197879859277301</v>
      </c>
      <c r="AR9" s="14"/>
      <c r="AS9" s="14">
        <v>0.46168000404626303</v>
      </c>
      <c r="AT9" s="14" t="s">
        <v>88</v>
      </c>
      <c r="AU9" s="14" t="s">
        <v>88</v>
      </c>
      <c r="AV9" s="14"/>
      <c r="AW9" s="14">
        <v>0.44862492128253101</v>
      </c>
      <c r="AX9" s="14">
        <v>0.51907805980732802</v>
      </c>
      <c r="AY9" s="14"/>
      <c r="AZ9" s="14">
        <v>0.48700191763695799</v>
      </c>
      <c r="BA9" s="14">
        <v>0.31819469351547902</v>
      </c>
    </row>
    <row r="10" spans="2:53" x14ac:dyDescent="0.35">
      <c r="B10" s="15" t="s">
        <v>236</v>
      </c>
      <c r="C10" s="14">
        <v>0.46237697668317901</v>
      </c>
      <c r="D10" s="14">
        <v>0.449599382230705</v>
      </c>
      <c r="E10" s="14">
        <v>0.47719617852703999</v>
      </c>
      <c r="F10" s="14"/>
      <c r="G10" s="14">
        <v>0.38006236960749301</v>
      </c>
      <c r="H10" s="14">
        <v>0.47644820423154699</v>
      </c>
      <c r="I10" s="14">
        <v>0.45872006372659302</v>
      </c>
      <c r="J10" s="14">
        <v>0.48859084824537402</v>
      </c>
      <c r="K10" s="14">
        <v>0.368227968744125</v>
      </c>
      <c r="L10" s="14" t="s">
        <v>88</v>
      </c>
      <c r="M10" s="14"/>
      <c r="N10" s="14">
        <v>0.49152835522808103</v>
      </c>
      <c r="O10" s="14">
        <v>0.55806878758267697</v>
      </c>
      <c r="P10" s="14">
        <v>0.28426248544661498</v>
      </c>
      <c r="Q10" s="14">
        <v>0.45372577594282898</v>
      </c>
      <c r="R10" s="14"/>
      <c r="S10" s="14">
        <v>0.479084258286398</v>
      </c>
      <c r="T10" s="14">
        <v>0.418295648852331</v>
      </c>
      <c r="U10" s="14">
        <v>0.37726686589480202</v>
      </c>
      <c r="V10" s="14">
        <v>0.39687300412572601</v>
      </c>
      <c r="W10" s="14">
        <v>0.504642661485458</v>
      </c>
      <c r="X10" s="14">
        <v>0.292039079459536</v>
      </c>
      <c r="Y10" s="14">
        <v>0.55237677529358198</v>
      </c>
      <c r="Z10" s="14">
        <v>0.75897095939389203</v>
      </c>
      <c r="AA10" s="14">
        <v>0.51757608125164301</v>
      </c>
      <c r="AB10" s="14"/>
      <c r="AC10" s="14">
        <v>0.41973346814453399</v>
      </c>
      <c r="AD10" s="14">
        <v>0.36809178364378597</v>
      </c>
      <c r="AE10" s="14">
        <v>0.496914809370612</v>
      </c>
      <c r="AF10" s="14">
        <v>0.514973574426975</v>
      </c>
      <c r="AG10" s="14">
        <v>0.45846796289636799</v>
      </c>
      <c r="AH10" s="14"/>
      <c r="AI10" s="14">
        <v>0.54907229586128803</v>
      </c>
      <c r="AJ10" s="14">
        <v>0.36983211197388699</v>
      </c>
      <c r="AK10" s="14">
        <v>0.41151061758392499</v>
      </c>
      <c r="AL10" s="14">
        <v>0.34752165837174598</v>
      </c>
      <c r="AM10" s="14">
        <v>0.353818815091196</v>
      </c>
      <c r="AN10" s="14">
        <v>0.56241822298871902</v>
      </c>
      <c r="AO10" s="14"/>
      <c r="AP10" s="14">
        <v>0.46232466049401699</v>
      </c>
      <c r="AQ10" s="14">
        <v>0.46242938980681902</v>
      </c>
      <c r="AR10" s="14"/>
      <c r="AS10" s="14">
        <v>0.46237697668317901</v>
      </c>
      <c r="AT10" s="14" t="s">
        <v>88</v>
      </c>
      <c r="AU10" s="14" t="s">
        <v>88</v>
      </c>
      <c r="AV10" s="14"/>
      <c r="AW10" s="14">
        <v>0.45383202962022001</v>
      </c>
      <c r="AX10" s="14">
        <v>0.450915108791967</v>
      </c>
      <c r="AY10" s="14"/>
      <c r="AZ10" s="14">
        <v>0.45236659092658799</v>
      </c>
      <c r="BA10" s="14">
        <v>0.51910030857801204</v>
      </c>
    </row>
    <row r="11" spans="2:53" x14ac:dyDescent="0.35">
      <c r="B11" s="15" t="s">
        <v>237</v>
      </c>
      <c r="C11" s="14">
        <v>5.1267605327473799E-2</v>
      </c>
      <c r="D11" s="14">
        <v>4.8515336017793703E-2</v>
      </c>
      <c r="E11" s="14">
        <v>5.4459632948988701E-2</v>
      </c>
      <c r="F11" s="14"/>
      <c r="G11" s="14">
        <v>0</v>
      </c>
      <c r="H11" s="14">
        <v>2.01591582057211E-2</v>
      </c>
      <c r="I11" s="14">
        <v>7.9156579796616305E-2</v>
      </c>
      <c r="J11" s="14">
        <v>0</v>
      </c>
      <c r="K11" s="14">
        <v>0</v>
      </c>
      <c r="L11" s="14" t="s">
        <v>88</v>
      </c>
      <c r="M11" s="14"/>
      <c r="N11" s="14">
        <v>8.19066327920282E-2</v>
      </c>
      <c r="O11" s="14">
        <v>1.6335660635317901E-2</v>
      </c>
      <c r="P11" s="14">
        <v>3.3605165089068703E-2</v>
      </c>
      <c r="Q11" s="14">
        <v>5.5334638312475697E-2</v>
      </c>
      <c r="R11" s="14"/>
      <c r="S11" s="14">
        <v>2.1732588633854601E-2</v>
      </c>
      <c r="T11" s="14">
        <v>8.7777234296080101E-2</v>
      </c>
      <c r="U11" s="14">
        <v>7.4072579175749304E-2</v>
      </c>
      <c r="V11" s="14">
        <v>5.6926256886224998E-2</v>
      </c>
      <c r="W11" s="14">
        <v>0</v>
      </c>
      <c r="X11" s="14">
        <v>5.3153212751557599E-2</v>
      </c>
      <c r="Y11" s="14">
        <v>9.3165629018829896E-2</v>
      </c>
      <c r="Z11" s="14">
        <v>0.100765224855124</v>
      </c>
      <c r="AA11" s="14">
        <v>1.0056507562321E-2</v>
      </c>
      <c r="AB11" s="14"/>
      <c r="AC11" s="14">
        <v>0</v>
      </c>
      <c r="AD11" s="14">
        <v>6.6658322504899697E-2</v>
      </c>
      <c r="AE11" s="14">
        <v>3.9572327077728099E-2</v>
      </c>
      <c r="AF11" s="14">
        <v>6.7851313959478299E-2</v>
      </c>
      <c r="AG11" s="14">
        <v>0</v>
      </c>
      <c r="AH11" s="14"/>
      <c r="AI11" s="14">
        <v>2.6164941170609999E-2</v>
      </c>
      <c r="AJ11" s="14">
        <v>8.4334524951557396E-2</v>
      </c>
      <c r="AK11" s="14">
        <v>0</v>
      </c>
      <c r="AL11" s="14">
        <v>9.11918566352556E-2</v>
      </c>
      <c r="AM11" s="14">
        <v>0.11625509232797999</v>
      </c>
      <c r="AN11" s="14">
        <v>0</v>
      </c>
      <c r="AO11" s="14"/>
      <c r="AP11" s="14">
        <v>4.3347673674452303E-2</v>
      </c>
      <c r="AQ11" s="14">
        <v>5.9202211490465902E-2</v>
      </c>
      <c r="AR11" s="14"/>
      <c r="AS11" s="14">
        <v>5.1267605327473799E-2</v>
      </c>
      <c r="AT11" s="14" t="s">
        <v>88</v>
      </c>
      <c r="AU11" s="14" t="s">
        <v>88</v>
      </c>
      <c r="AV11" s="14"/>
      <c r="AW11" s="14">
        <v>7.2481198572295402E-2</v>
      </c>
      <c r="AX11" s="14">
        <v>3.5551717989743999E-3</v>
      </c>
      <c r="AY11" s="14"/>
      <c r="AZ11" s="14">
        <v>4.4396027781214702E-2</v>
      </c>
      <c r="BA11" s="14">
        <v>9.0205043231994006E-2</v>
      </c>
    </row>
    <row r="12" spans="2:53" x14ac:dyDescent="0.35">
      <c r="B12" s="15" t="s">
        <v>238</v>
      </c>
      <c r="C12" s="14">
        <v>1.23740958456334E-2</v>
      </c>
      <c r="D12" s="14">
        <v>0</v>
      </c>
      <c r="E12" s="14">
        <v>2.6725327969472201E-2</v>
      </c>
      <c r="F12" s="14"/>
      <c r="G12" s="14">
        <v>0.43227563595914398</v>
      </c>
      <c r="H12" s="14">
        <v>3.6782482038284401E-3</v>
      </c>
      <c r="I12" s="14">
        <v>8.8382295817578602E-3</v>
      </c>
      <c r="J12" s="14">
        <v>0</v>
      </c>
      <c r="K12" s="14">
        <v>0</v>
      </c>
      <c r="L12" s="14" t="s">
        <v>88</v>
      </c>
      <c r="M12" s="14"/>
      <c r="N12" s="14">
        <v>2.6702674180185001E-3</v>
      </c>
      <c r="O12" s="14">
        <v>0</v>
      </c>
      <c r="P12" s="14">
        <v>3.09176604301027E-2</v>
      </c>
      <c r="Q12" s="14">
        <v>2.3664242723919801E-2</v>
      </c>
      <c r="R12" s="14"/>
      <c r="S12" s="14">
        <v>2.4718228701357699E-2</v>
      </c>
      <c r="T12" s="14">
        <v>0</v>
      </c>
      <c r="U12" s="14">
        <v>0</v>
      </c>
      <c r="V12" s="14">
        <v>0</v>
      </c>
      <c r="W12" s="14">
        <v>0</v>
      </c>
      <c r="X12" s="14">
        <v>6.1530672593721997E-2</v>
      </c>
      <c r="Y12" s="14">
        <v>9.5919175569626602E-3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0</v>
      </c>
      <c r="AF12" s="14">
        <v>4.8624006400347598E-3</v>
      </c>
      <c r="AG12" s="14">
        <v>9.58403239749058E-2</v>
      </c>
      <c r="AH12" s="14"/>
      <c r="AI12" s="14">
        <v>2.3000899779177602E-3</v>
      </c>
      <c r="AJ12" s="14">
        <v>2.72831658627446E-2</v>
      </c>
      <c r="AK12" s="14">
        <v>0</v>
      </c>
      <c r="AL12" s="14">
        <v>5.49630199847536E-2</v>
      </c>
      <c r="AM12" s="14">
        <v>0</v>
      </c>
      <c r="AN12" s="14">
        <v>0</v>
      </c>
      <c r="AO12" s="14"/>
      <c r="AP12" s="14">
        <v>2.2964398045990399E-2</v>
      </c>
      <c r="AQ12" s="14">
        <v>1.7641713174531501E-3</v>
      </c>
      <c r="AR12" s="14"/>
      <c r="AS12" s="14">
        <v>1.23740958456334E-2</v>
      </c>
      <c r="AT12" s="14" t="s">
        <v>88</v>
      </c>
      <c r="AU12" s="14" t="s">
        <v>88</v>
      </c>
      <c r="AV12" s="14"/>
      <c r="AW12" s="14">
        <v>8.7434167793421901E-3</v>
      </c>
      <c r="AX12" s="14">
        <v>2.28964872284468E-2</v>
      </c>
      <c r="AY12" s="14"/>
      <c r="AZ12" s="14">
        <v>8.4578079220945807E-3</v>
      </c>
      <c r="BA12" s="14">
        <v>3.4565538321900201E-2</v>
      </c>
    </row>
    <row r="13" spans="2:53" x14ac:dyDescent="0.35">
      <c r="B13" s="15" t="s">
        <v>116</v>
      </c>
      <c r="C13" s="23">
        <v>1.23013180974515E-2</v>
      </c>
      <c r="D13" s="23">
        <v>0</v>
      </c>
      <c r="E13" s="23">
        <v>2.6568144025424501E-2</v>
      </c>
      <c r="F13" s="23"/>
      <c r="G13" s="23">
        <v>0</v>
      </c>
      <c r="H13" s="23">
        <v>2.78383563670743E-2</v>
      </c>
      <c r="I13" s="23">
        <v>9.5993957396052799E-3</v>
      </c>
      <c r="J13" s="23">
        <v>0</v>
      </c>
      <c r="K13" s="23">
        <v>0</v>
      </c>
      <c r="L13" s="23" t="s">
        <v>88</v>
      </c>
      <c r="M13" s="23"/>
      <c r="N13" s="23">
        <v>2.9676840063410899E-3</v>
      </c>
      <c r="O13" s="23">
        <v>2.3891730247598501E-2</v>
      </c>
      <c r="P13" s="23">
        <v>0</v>
      </c>
      <c r="Q13" s="23">
        <v>2.13477354483716E-2</v>
      </c>
      <c r="R13" s="23"/>
      <c r="S13" s="23">
        <v>0</v>
      </c>
      <c r="T13" s="23">
        <v>0</v>
      </c>
      <c r="U13" s="23">
        <v>5.3250046811360398E-2</v>
      </c>
      <c r="V13" s="23">
        <v>0</v>
      </c>
      <c r="W13" s="23">
        <v>0</v>
      </c>
      <c r="X13" s="23">
        <v>6.7527666743954995E-2</v>
      </c>
      <c r="Y13" s="23">
        <v>0</v>
      </c>
      <c r="Z13" s="23">
        <v>0</v>
      </c>
      <c r="AA13" s="23">
        <v>1.0056509186869501E-2</v>
      </c>
      <c r="AB13" s="23"/>
      <c r="AC13" s="23">
        <v>7.4240793981135797E-2</v>
      </c>
      <c r="AD13" s="23">
        <v>2.9907264431973699E-2</v>
      </c>
      <c r="AE13" s="23">
        <v>0</v>
      </c>
      <c r="AF13" s="23">
        <v>5.4039788354088803E-3</v>
      </c>
      <c r="AG13" s="23">
        <v>0</v>
      </c>
      <c r="AH13" s="23"/>
      <c r="AI13" s="23">
        <v>2.5562758975193698E-3</v>
      </c>
      <c r="AJ13" s="23">
        <v>0</v>
      </c>
      <c r="AK13" s="23">
        <v>5.1995136332923103E-2</v>
      </c>
      <c r="AL13" s="23">
        <v>0</v>
      </c>
      <c r="AM13" s="23">
        <v>0</v>
      </c>
      <c r="AN13" s="23">
        <v>7.7983261391312703E-2</v>
      </c>
      <c r="AO13" s="23"/>
      <c r="AP13" s="23">
        <v>0</v>
      </c>
      <c r="AQ13" s="23">
        <v>2.4625428792488701E-2</v>
      </c>
      <c r="AR13" s="23"/>
      <c r="AS13" s="23">
        <v>1.23013180974515E-2</v>
      </c>
      <c r="AT13" s="23" t="s">
        <v>88</v>
      </c>
      <c r="AU13" s="23" t="s">
        <v>88</v>
      </c>
      <c r="AV13" s="23"/>
      <c r="AW13" s="23">
        <v>1.6318433745611899E-2</v>
      </c>
      <c r="AX13" s="23">
        <v>3.5551723732840301E-3</v>
      </c>
      <c r="AY13" s="23"/>
      <c r="AZ13" s="23">
        <v>7.7776557331441102E-3</v>
      </c>
      <c r="BA13" s="23">
        <v>3.7934416352614901E-2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BA19"/>
  <sheetViews>
    <sheetView showGridLines="0" topLeftCell="A5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207</v>
      </c>
      <c r="D7" s="10">
        <v>92</v>
      </c>
      <c r="E7" s="10">
        <v>115</v>
      </c>
      <c r="F7" s="10"/>
      <c r="G7" s="10">
        <v>3</v>
      </c>
      <c r="H7" s="10">
        <v>66</v>
      </c>
      <c r="I7" s="10">
        <v>111</v>
      </c>
      <c r="J7" s="10">
        <v>21</v>
      </c>
      <c r="K7" s="10">
        <v>6</v>
      </c>
      <c r="L7" s="10" t="s">
        <v>87</v>
      </c>
      <c r="M7" s="10"/>
      <c r="N7" s="10">
        <v>107</v>
      </c>
      <c r="O7" s="10">
        <v>44</v>
      </c>
      <c r="P7" s="10">
        <v>22</v>
      </c>
      <c r="Q7" s="10">
        <v>34</v>
      </c>
      <c r="R7" s="10"/>
      <c r="S7" s="10">
        <v>60</v>
      </c>
      <c r="T7" s="10">
        <v>26</v>
      </c>
      <c r="U7" s="10">
        <v>17</v>
      </c>
      <c r="V7" s="10">
        <v>19</v>
      </c>
      <c r="W7" s="10">
        <v>10</v>
      </c>
      <c r="X7" s="10">
        <v>23</v>
      </c>
      <c r="Y7" s="10">
        <v>19</v>
      </c>
      <c r="Z7" s="10">
        <v>11</v>
      </c>
      <c r="AA7" s="10">
        <v>22</v>
      </c>
      <c r="AB7" s="10"/>
      <c r="AC7" s="10">
        <v>12</v>
      </c>
      <c r="AD7" s="10">
        <v>29</v>
      </c>
      <c r="AE7" s="10">
        <v>75</v>
      </c>
      <c r="AF7" s="10">
        <v>47</v>
      </c>
      <c r="AG7" s="10">
        <v>23</v>
      </c>
      <c r="AH7" s="10"/>
      <c r="AI7" s="10">
        <v>89</v>
      </c>
      <c r="AJ7" s="10">
        <v>39</v>
      </c>
      <c r="AK7" s="10">
        <v>19</v>
      </c>
      <c r="AL7" s="10">
        <v>22</v>
      </c>
      <c r="AM7" s="10">
        <v>13</v>
      </c>
      <c r="AN7" s="10">
        <v>13</v>
      </c>
      <c r="AO7" s="10"/>
      <c r="AP7" s="10">
        <v>110</v>
      </c>
      <c r="AQ7" s="10">
        <v>97</v>
      </c>
      <c r="AR7" s="10"/>
      <c r="AS7" s="10">
        <v>207</v>
      </c>
      <c r="AT7" s="10" t="s">
        <v>87</v>
      </c>
      <c r="AU7" s="10" t="s">
        <v>87</v>
      </c>
      <c r="AV7" s="10"/>
      <c r="AW7" s="10">
        <v>131</v>
      </c>
      <c r="AX7" s="10">
        <v>71</v>
      </c>
      <c r="AY7" s="10"/>
      <c r="AZ7" s="10">
        <v>177</v>
      </c>
      <c r="BA7" s="10">
        <v>30</v>
      </c>
    </row>
    <row r="8" spans="2:53" ht="30" customHeight="1" x14ac:dyDescent="0.35">
      <c r="B8" s="11" t="s">
        <v>19</v>
      </c>
      <c r="C8" s="11">
        <v>191</v>
      </c>
      <c r="D8" s="11">
        <v>102</v>
      </c>
      <c r="E8" s="11">
        <v>88</v>
      </c>
      <c r="F8" s="11"/>
      <c r="G8" s="11">
        <v>3</v>
      </c>
      <c r="H8" s="11">
        <v>46</v>
      </c>
      <c r="I8" s="11">
        <v>112</v>
      </c>
      <c r="J8" s="11">
        <v>24</v>
      </c>
      <c r="K8" s="11">
        <v>7</v>
      </c>
      <c r="L8" s="11" t="s">
        <v>87</v>
      </c>
      <c r="M8" s="11"/>
      <c r="N8" s="11">
        <v>63</v>
      </c>
      <c r="O8" s="11">
        <v>45</v>
      </c>
      <c r="P8" s="11">
        <v>32</v>
      </c>
      <c r="Q8" s="11">
        <v>51</v>
      </c>
      <c r="R8" s="11"/>
      <c r="S8" s="11">
        <v>49</v>
      </c>
      <c r="T8" s="11">
        <v>25</v>
      </c>
      <c r="U8" s="11">
        <v>20</v>
      </c>
      <c r="V8" s="11">
        <v>23</v>
      </c>
      <c r="W8" s="11">
        <v>11</v>
      </c>
      <c r="X8" s="11">
        <v>16</v>
      </c>
      <c r="Y8" s="11">
        <v>18</v>
      </c>
      <c r="Z8" s="11">
        <v>11</v>
      </c>
      <c r="AA8" s="11">
        <v>19</v>
      </c>
      <c r="AB8" s="11"/>
      <c r="AC8" s="11">
        <v>15</v>
      </c>
      <c r="AD8" s="11">
        <v>36</v>
      </c>
      <c r="AE8" s="11">
        <v>67</v>
      </c>
      <c r="AF8" s="11">
        <v>35</v>
      </c>
      <c r="AG8" s="11">
        <v>13</v>
      </c>
      <c r="AH8" s="11"/>
      <c r="AI8" s="11">
        <v>73</v>
      </c>
      <c r="AJ8" s="11">
        <v>36</v>
      </c>
      <c r="AK8" s="11">
        <v>21</v>
      </c>
      <c r="AL8" s="11">
        <v>22</v>
      </c>
      <c r="AM8" s="11">
        <v>13</v>
      </c>
      <c r="AN8" s="11">
        <v>14</v>
      </c>
      <c r="AO8" s="11"/>
      <c r="AP8" s="11">
        <v>95</v>
      </c>
      <c r="AQ8" s="11">
        <v>95</v>
      </c>
      <c r="AR8" s="11"/>
      <c r="AS8" s="11">
        <v>191</v>
      </c>
      <c r="AT8" s="11" t="s">
        <v>87</v>
      </c>
      <c r="AU8" s="11" t="s">
        <v>87</v>
      </c>
      <c r="AV8" s="11"/>
      <c r="AW8" s="11">
        <v>132</v>
      </c>
      <c r="AX8" s="11">
        <v>53</v>
      </c>
      <c r="AY8" s="11"/>
      <c r="AZ8" s="11">
        <v>162</v>
      </c>
      <c r="BA8" s="11">
        <v>29</v>
      </c>
    </row>
    <row r="9" spans="2:53" x14ac:dyDescent="0.35">
      <c r="B9" s="15" t="s">
        <v>220</v>
      </c>
      <c r="C9" s="14">
        <v>0.50176188482508</v>
      </c>
      <c r="D9" s="14">
        <v>0.63162323489248695</v>
      </c>
      <c r="E9" s="14">
        <v>0.35115125419948201</v>
      </c>
      <c r="F9" s="14"/>
      <c r="G9" s="14">
        <v>0.38006236960749301</v>
      </c>
      <c r="H9" s="14">
        <v>0.42746938027325099</v>
      </c>
      <c r="I9" s="14">
        <v>0.49629088694545298</v>
      </c>
      <c r="J9" s="14">
        <v>0.72747916503194598</v>
      </c>
      <c r="K9" s="14">
        <v>0.35063741080009397</v>
      </c>
      <c r="L9" s="14" t="s">
        <v>88</v>
      </c>
      <c r="M9" s="14"/>
      <c r="N9" s="14">
        <v>0.49034368090777802</v>
      </c>
      <c r="O9" s="14">
        <v>0.42143058684193102</v>
      </c>
      <c r="P9" s="14">
        <v>0.56717550136997896</v>
      </c>
      <c r="Q9" s="14">
        <v>0.54577990108508401</v>
      </c>
      <c r="R9" s="14"/>
      <c r="S9" s="14">
        <v>0.63655125956852499</v>
      </c>
      <c r="T9" s="14">
        <v>0.45112426613868101</v>
      </c>
      <c r="U9" s="14">
        <v>0.48650682182909399</v>
      </c>
      <c r="V9" s="14">
        <v>0.55011731737088498</v>
      </c>
      <c r="W9" s="14">
        <v>0.62670974961571102</v>
      </c>
      <c r="X9" s="14">
        <v>0.28827766305198299</v>
      </c>
      <c r="Y9" s="14">
        <v>0.42495083215681601</v>
      </c>
      <c r="Z9" s="14">
        <v>0.58879330001099595</v>
      </c>
      <c r="AA9" s="14">
        <v>0.30316889666528501</v>
      </c>
      <c r="AB9" s="14"/>
      <c r="AC9" s="14">
        <v>0.38430864730098402</v>
      </c>
      <c r="AD9" s="14">
        <v>0.52920663129463397</v>
      </c>
      <c r="AE9" s="14">
        <v>0.55255417143141905</v>
      </c>
      <c r="AF9" s="14">
        <v>0.46648971208238899</v>
      </c>
      <c r="AG9" s="14">
        <v>0.33155454857769801</v>
      </c>
      <c r="AH9" s="14"/>
      <c r="AI9" s="14">
        <v>0.58068896266555803</v>
      </c>
      <c r="AJ9" s="14">
        <v>0.35417934923634098</v>
      </c>
      <c r="AK9" s="14">
        <v>0.60778104125273602</v>
      </c>
      <c r="AL9" s="14">
        <v>0.60957692373969097</v>
      </c>
      <c r="AM9" s="14">
        <v>0.47064693998738999</v>
      </c>
      <c r="AN9" s="14">
        <v>0.305421328359685</v>
      </c>
      <c r="AO9" s="14"/>
      <c r="AP9" s="14">
        <v>0.57765671554703402</v>
      </c>
      <c r="AQ9" s="14">
        <v>0.425726431746906</v>
      </c>
      <c r="AR9" s="14"/>
      <c r="AS9" s="14">
        <v>0.50176188482508</v>
      </c>
      <c r="AT9" s="14" t="s">
        <v>88</v>
      </c>
      <c r="AU9" s="14" t="s">
        <v>88</v>
      </c>
      <c r="AV9" s="14"/>
      <c r="AW9" s="14">
        <v>0.50208991965268901</v>
      </c>
      <c r="AX9" s="14">
        <v>0.52992163417643501</v>
      </c>
      <c r="AY9" s="14"/>
      <c r="AZ9" s="14">
        <v>0.55873126909237103</v>
      </c>
      <c r="BA9" s="14">
        <v>0.178947822488839</v>
      </c>
    </row>
    <row r="10" spans="2:53" x14ac:dyDescent="0.35">
      <c r="B10" s="15" t="s">
        <v>221</v>
      </c>
      <c r="C10" s="14">
        <v>0.34511422099323602</v>
      </c>
      <c r="D10" s="14">
        <v>0.26537073467063499</v>
      </c>
      <c r="E10" s="14">
        <v>0.43759914246599602</v>
      </c>
      <c r="F10" s="14"/>
      <c r="G10" s="14">
        <v>0</v>
      </c>
      <c r="H10" s="14">
        <v>0.42399861776692499</v>
      </c>
      <c r="I10" s="14">
        <v>0.37649046467251901</v>
      </c>
      <c r="J10" s="14">
        <v>0.103425746508387</v>
      </c>
      <c r="K10" s="14">
        <v>0.28113468356662802</v>
      </c>
      <c r="L10" s="14" t="s">
        <v>88</v>
      </c>
      <c r="M10" s="14"/>
      <c r="N10" s="14">
        <v>0.39177505340871099</v>
      </c>
      <c r="O10" s="14">
        <v>0.39767897956123499</v>
      </c>
      <c r="P10" s="14">
        <v>0.25322091898867599</v>
      </c>
      <c r="Q10" s="14">
        <v>0.29867448834111598</v>
      </c>
      <c r="R10" s="14"/>
      <c r="S10" s="14">
        <v>0.27000340450499599</v>
      </c>
      <c r="T10" s="14">
        <v>0.33171664068732698</v>
      </c>
      <c r="U10" s="14">
        <v>0.37429501419348898</v>
      </c>
      <c r="V10" s="14">
        <v>0.25726501020699699</v>
      </c>
      <c r="W10" s="14">
        <v>0.27723337081135202</v>
      </c>
      <c r="X10" s="14">
        <v>0.56925449321926003</v>
      </c>
      <c r="Y10" s="14">
        <v>0.31933822945945001</v>
      </c>
      <c r="Z10" s="14">
        <v>0.23926820009875299</v>
      </c>
      <c r="AA10" s="14">
        <v>0.56995729177141596</v>
      </c>
      <c r="AB10" s="14"/>
      <c r="AC10" s="14">
        <v>0.34168099664062401</v>
      </c>
      <c r="AD10" s="14">
        <v>0.20978915641925899</v>
      </c>
      <c r="AE10" s="14">
        <v>0.34810328782049199</v>
      </c>
      <c r="AF10" s="14">
        <v>0.43234485361157199</v>
      </c>
      <c r="AG10" s="14">
        <v>0.53552902673243596</v>
      </c>
      <c r="AH10" s="14"/>
      <c r="AI10" s="14">
        <v>0.318124262271682</v>
      </c>
      <c r="AJ10" s="14">
        <v>0.45571471401376201</v>
      </c>
      <c r="AK10" s="14">
        <v>0.28590675676940902</v>
      </c>
      <c r="AL10" s="14">
        <v>0.15182091082927501</v>
      </c>
      <c r="AM10" s="14">
        <v>0.41309796768462997</v>
      </c>
      <c r="AN10" s="14">
        <v>0.489289960004131</v>
      </c>
      <c r="AO10" s="14"/>
      <c r="AP10" s="14">
        <v>0.31115596541826102</v>
      </c>
      <c r="AQ10" s="14">
        <v>0.37913539639906901</v>
      </c>
      <c r="AR10" s="14"/>
      <c r="AS10" s="14">
        <v>0.34511422099323602</v>
      </c>
      <c r="AT10" s="14" t="s">
        <v>88</v>
      </c>
      <c r="AU10" s="14" t="s">
        <v>88</v>
      </c>
      <c r="AV10" s="14"/>
      <c r="AW10" s="14">
        <v>0.33393187551221898</v>
      </c>
      <c r="AX10" s="14">
        <v>0.32722844760863901</v>
      </c>
      <c r="AY10" s="14"/>
      <c r="AZ10" s="14">
        <v>0.31171026973238902</v>
      </c>
      <c r="BA10" s="14">
        <v>0.53439597896348801</v>
      </c>
    </row>
    <row r="11" spans="2:53" x14ac:dyDescent="0.35">
      <c r="B11" s="15" t="s">
        <v>222</v>
      </c>
      <c r="C11" s="14">
        <v>8.3047083918277503E-2</v>
      </c>
      <c r="D11" s="14">
        <v>6.7435029207533997E-2</v>
      </c>
      <c r="E11" s="14">
        <v>0.10115363682355601</v>
      </c>
      <c r="F11" s="14"/>
      <c r="G11" s="14">
        <v>0</v>
      </c>
      <c r="H11" s="14">
        <v>0.11091840523279101</v>
      </c>
      <c r="I11" s="14">
        <v>6.3166510396370196E-2</v>
      </c>
      <c r="J11" s="14">
        <v>0.15620609258930701</v>
      </c>
      <c r="K11" s="14">
        <v>0</v>
      </c>
      <c r="L11" s="14" t="s">
        <v>88</v>
      </c>
      <c r="M11" s="14"/>
      <c r="N11" s="14">
        <v>5.1436041262659597E-2</v>
      </c>
      <c r="O11" s="14">
        <v>7.6689734567583295E-2</v>
      </c>
      <c r="P11" s="14">
        <v>0.145998414552276</v>
      </c>
      <c r="Q11" s="14">
        <v>8.8201512985561101E-2</v>
      </c>
      <c r="R11" s="14"/>
      <c r="S11" s="14">
        <v>5.0957421742666403E-2</v>
      </c>
      <c r="T11" s="14">
        <v>0.122577071688681</v>
      </c>
      <c r="U11" s="14">
        <v>7.4072579175749304E-2</v>
      </c>
      <c r="V11" s="14">
        <v>0.192617672422118</v>
      </c>
      <c r="W11" s="14">
        <v>9.6056879572937695E-2</v>
      </c>
      <c r="X11" s="14">
        <v>0</v>
      </c>
      <c r="Y11" s="14">
        <v>0.18852037863449</v>
      </c>
      <c r="Z11" s="14">
        <v>0</v>
      </c>
      <c r="AA11" s="14">
        <v>0</v>
      </c>
      <c r="AB11" s="14"/>
      <c r="AC11" s="14">
        <v>0.19976956207725699</v>
      </c>
      <c r="AD11" s="14">
        <v>0.124277388799247</v>
      </c>
      <c r="AE11" s="14">
        <v>5.8693634698233903E-2</v>
      </c>
      <c r="AF11" s="14">
        <v>6.1856028124505101E-2</v>
      </c>
      <c r="AG11" s="14">
        <v>0</v>
      </c>
      <c r="AH11" s="14"/>
      <c r="AI11" s="14">
        <v>4.8770644297160201E-2</v>
      </c>
      <c r="AJ11" s="14">
        <v>0.131461903170421</v>
      </c>
      <c r="AK11" s="14">
        <v>4.27213910153817E-2</v>
      </c>
      <c r="AL11" s="14">
        <v>3.3551151039107302E-2</v>
      </c>
      <c r="AM11" s="14">
        <v>0.11625509232797999</v>
      </c>
      <c r="AN11" s="14">
        <v>8.977724782674E-2</v>
      </c>
      <c r="AO11" s="14"/>
      <c r="AP11" s="14">
        <v>4.2138255784302997E-2</v>
      </c>
      <c r="AQ11" s="14">
        <v>0.124031710308177</v>
      </c>
      <c r="AR11" s="14"/>
      <c r="AS11" s="14">
        <v>8.3047083918277503E-2</v>
      </c>
      <c r="AT11" s="14" t="s">
        <v>88</v>
      </c>
      <c r="AU11" s="14" t="s">
        <v>88</v>
      </c>
      <c r="AV11" s="14"/>
      <c r="AW11" s="14">
        <v>9.6433431291085697E-2</v>
      </c>
      <c r="AX11" s="14">
        <v>5.8588042593579401E-2</v>
      </c>
      <c r="AY11" s="14"/>
      <c r="AZ11" s="14">
        <v>7.0566368122127798E-2</v>
      </c>
      <c r="BA11" s="14">
        <v>0.15376841290642401</v>
      </c>
    </row>
    <row r="12" spans="2:53" x14ac:dyDescent="0.35">
      <c r="B12" s="15" t="s">
        <v>223</v>
      </c>
      <c r="C12" s="14">
        <v>5.6357047060065796E-3</v>
      </c>
      <c r="D12" s="14">
        <v>0</v>
      </c>
      <c r="E12" s="14">
        <v>1.2171883787394E-2</v>
      </c>
      <c r="F12" s="14"/>
      <c r="G12" s="14">
        <v>0</v>
      </c>
      <c r="H12" s="14">
        <v>0</v>
      </c>
      <c r="I12" s="14">
        <v>9.6064889793822297E-3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0</v>
      </c>
      <c r="P12" s="14">
        <v>3.3605165089068703E-2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0.100765224855124</v>
      </c>
      <c r="AA12" s="14">
        <v>0</v>
      </c>
      <c r="AB12" s="14"/>
      <c r="AC12" s="14">
        <v>0</v>
      </c>
      <c r="AD12" s="14">
        <v>2.99293636769098E-2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4.9106515321166201E-2</v>
      </c>
      <c r="AM12" s="14">
        <v>0</v>
      </c>
      <c r="AN12" s="14">
        <v>0</v>
      </c>
      <c r="AO12" s="14"/>
      <c r="AP12" s="14">
        <v>0</v>
      </c>
      <c r="AQ12" s="14">
        <v>1.12818515734514E-2</v>
      </c>
      <c r="AR12" s="14"/>
      <c r="AS12" s="14">
        <v>5.6357047060065796E-3</v>
      </c>
      <c r="AT12" s="14" t="s">
        <v>88</v>
      </c>
      <c r="AU12" s="14" t="s">
        <v>88</v>
      </c>
      <c r="AV12" s="14"/>
      <c r="AW12" s="14">
        <v>8.1228358986953492E-3</v>
      </c>
      <c r="AX12" s="14">
        <v>0</v>
      </c>
      <c r="AY12" s="14"/>
      <c r="AZ12" s="14">
        <v>0</v>
      </c>
      <c r="BA12" s="14">
        <v>3.7570133235858498E-2</v>
      </c>
    </row>
    <row r="13" spans="2:53" x14ac:dyDescent="0.35">
      <c r="B13" s="15" t="s">
        <v>116</v>
      </c>
      <c r="C13" s="14">
        <v>1.4298116507977901E-2</v>
      </c>
      <c r="D13" s="14">
        <v>0</v>
      </c>
      <c r="E13" s="14">
        <v>3.0880789819991501E-2</v>
      </c>
      <c r="F13" s="14"/>
      <c r="G13" s="14">
        <v>0</v>
      </c>
      <c r="H13" s="14">
        <v>2.37504218432899E-2</v>
      </c>
      <c r="I13" s="14">
        <v>1.4672597014272501E-2</v>
      </c>
      <c r="J13" s="14">
        <v>0</v>
      </c>
      <c r="K13" s="14">
        <v>0</v>
      </c>
      <c r="L13" s="14" t="s">
        <v>88</v>
      </c>
      <c r="M13" s="14"/>
      <c r="N13" s="14">
        <v>0</v>
      </c>
      <c r="O13" s="14">
        <v>3.6518312131918702E-2</v>
      </c>
      <c r="P13" s="14">
        <v>0</v>
      </c>
      <c r="Q13" s="14">
        <v>2.13477354483716E-2</v>
      </c>
      <c r="R13" s="14"/>
      <c r="S13" s="14">
        <v>0</v>
      </c>
      <c r="T13" s="14">
        <v>3.58855996511451E-2</v>
      </c>
      <c r="U13" s="14">
        <v>0</v>
      </c>
      <c r="V13" s="14">
        <v>0</v>
      </c>
      <c r="W13" s="14">
        <v>0</v>
      </c>
      <c r="X13" s="14">
        <v>6.7527666743954995E-2</v>
      </c>
      <c r="Y13" s="14">
        <v>0</v>
      </c>
      <c r="Z13" s="14">
        <v>7.1173275035126299E-2</v>
      </c>
      <c r="AA13" s="14">
        <v>0</v>
      </c>
      <c r="AB13" s="14"/>
      <c r="AC13" s="14">
        <v>7.4240793981135797E-2</v>
      </c>
      <c r="AD13" s="14">
        <v>0</v>
      </c>
      <c r="AE13" s="14">
        <v>1.31963496667565E-2</v>
      </c>
      <c r="AF13" s="14">
        <v>0</v>
      </c>
      <c r="AG13" s="14">
        <v>0</v>
      </c>
      <c r="AH13" s="14"/>
      <c r="AI13" s="14">
        <v>2.2466051565893E-2</v>
      </c>
      <c r="AJ13" s="14">
        <v>0</v>
      </c>
      <c r="AK13" s="14">
        <v>0</v>
      </c>
      <c r="AL13" s="14">
        <v>0</v>
      </c>
      <c r="AM13" s="14">
        <v>0</v>
      </c>
      <c r="AN13" s="14">
        <v>7.7983261391312703E-2</v>
      </c>
      <c r="AO13" s="14"/>
      <c r="AP13" s="14">
        <v>1.7199615611002E-2</v>
      </c>
      <c r="AQ13" s="14">
        <v>1.13912413386715E-2</v>
      </c>
      <c r="AR13" s="14"/>
      <c r="AS13" s="14">
        <v>1.4298116507977901E-2</v>
      </c>
      <c r="AT13" s="14" t="s">
        <v>88</v>
      </c>
      <c r="AU13" s="14" t="s">
        <v>88</v>
      </c>
      <c r="AV13" s="14"/>
      <c r="AW13" s="14">
        <v>2.0608115597495199E-2</v>
      </c>
      <c r="AX13" s="14">
        <v>0</v>
      </c>
      <c r="AY13" s="14"/>
      <c r="AZ13" s="14">
        <v>0</v>
      </c>
      <c r="BA13" s="14">
        <v>9.5317652405390405E-2</v>
      </c>
    </row>
    <row r="14" spans="2:53" x14ac:dyDescent="0.35">
      <c r="B14" s="26" t="s">
        <v>224</v>
      </c>
      <c r="C14" s="27">
        <v>0.84687610581831596</v>
      </c>
      <c r="D14" s="27">
        <v>0.89699396956312105</v>
      </c>
      <c r="E14" s="27">
        <v>0.78875039666547797</v>
      </c>
      <c r="F14" s="27"/>
      <c r="G14" s="27">
        <v>0.38006236960749301</v>
      </c>
      <c r="H14" s="27">
        <v>0.85146799804017703</v>
      </c>
      <c r="I14" s="27">
        <v>0.87278135161797199</v>
      </c>
      <c r="J14" s="27">
        <v>0.83090491154033397</v>
      </c>
      <c r="K14" s="27">
        <v>0.63177209436672199</v>
      </c>
      <c r="L14" s="27" t="s">
        <v>88</v>
      </c>
      <c r="M14" s="27"/>
      <c r="N14" s="27">
        <v>0.88211873431648902</v>
      </c>
      <c r="O14" s="27">
        <v>0.81910956640316601</v>
      </c>
      <c r="P14" s="27">
        <v>0.82039642035865501</v>
      </c>
      <c r="Q14" s="27">
        <v>0.84445438942619999</v>
      </c>
      <c r="R14" s="27"/>
      <c r="S14" s="27">
        <v>0.90655466407352103</v>
      </c>
      <c r="T14" s="27">
        <v>0.78284090682600804</v>
      </c>
      <c r="U14" s="27">
        <v>0.86080183602258298</v>
      </c>
      <c r="V14" s="27">
        <v>0.80738232757788198</v>
      </c>
      <c r="W14" s="27">
        <v>0.90394312042706204</v>
      </c>
      <c r="X14" s="27">
        <v>0.85753215627124302</v>
      </c>
      <c r="Y14" s="27">
        <v>0.74428906161626596</v>
      </c>
      <c r="Z14" s="27">
        <v>0.82806150010974999</v>
      </c>
      <c r="AA14" s="27">
        <v>0.87312618843670098</v>
      </c>
      <c r="AB14" s="27"/>
      <c r="AC14" s="27">
        <v>0.72598964394160803</v>
      </c>
      <c r="AD14" s="27">
        <v>0.73899578771389296</v>
      </c>
      <c r="AE14" s="27">
        <v>0.90065745925191099</v>
      </c>
      <c r="AF14" s="27">
        <v>0.89883456569396203</v>
      </c>
      <c r="AG14" s="27">
        <v>0.86708357531013303</v>
      </c>
      <c r="AH14" s="27"/>
      <c r="AI14" s="27">
        <v>0.89881322493724003</v>
      </c>
      <c r="AJ14" s="27">
        <v>0.80989406325010305</v>
      </c>
      <c r="AK14" s="27">
        <v>0.89368779802214504</v>
      </c>
      <c r="AL14" s="27">
        <v>0.76139783456896604</v>
      </c>
      <c r="AM14" s="27">
        <v>0.88374490767201996</v>
      </c>
      <c r="AN14" s="27">
        <v>0.79471128836381599</v>
      </c>
      <c r="AO14" s="27"/>
      <c r="AP14" s="27">
        <v>0.88881268096529498</v>
      </c>
      <c r="AQ14" s="27">
        <v>0.80486182814597496</v>
      </c>
      <c r="AR14" s="27"/>
      <c r="AS14" s="27">
        <v>0.84687610581831596</v>
      </c>
      <c r="AT14" s="27" t="s">
        <v>88</v>
      </c>
      <c r="AU14" s="27" t="s">
        <v>88</v>
      </c>
      <c r="AV14" s="27"/>
      <c r="AW14" s="27">
        <v>0.83602179516490704</v>
      </c>
      <c r="AX14" s="27">
        <v>0.85715008178507401</v>
      </c>
      <c r="AY14" s="27"/>
      <c r="AZ14" s="27">
        <v>0.87044153882476005</v>
      </c>
      <c r="BA14" s="27">
        <v>0.71334380145232701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363</v>
      </c>
      <c r="D7" s="10">
        <v>168</v>
      </c>
      <c r="E7" s="10">
        <v>195</v>
      </c>
      <c r="F7" s="10"/>
      <c r="G7" s="10">
        <v>7</v>
      </c>
      <c r="H7" s="10">
        <v>124</v>
      </c>
      <c r="I7" s="10">
        <v>179</v>
      </c>
      <c r="J7" s="10">
        <v>43</v>
      </c>
      <c r="K7" s="10">
        <v>10</v>
      </c>
      <c r="L7" s="10" t="s">
        <v>87</v>
      </c>
      <c r="M7" s="10"/>
      <c r="N7" s="10">
        <v>174</v>
      </c>
      <c r="O7" s="10">
        <v>85</v>
      </c>
      <c r="P7" s="10">
        <v>48</v>
      </c>
      <c r="Q7" s="10">
        <v>56</v>
      </c>
      <c r="R7" s="10"/>
      <c r="S7" s="10">
        <v>82</v>
      </c>
      <c r="T7" s="10">
        <v>57</v>
      </c>
      <c r="U7" s="10">
        <v>33</v>
      </c>
      <c r="V7" s="10">
        <v>40</v>
      </c>
      <c r="W7" s="10">
        <v>21</v>
      </c>
      <c r="X7" s="10">
        <v>31</v>
      </c>
      <c r="Y7" s="10">
        <v>33</v>
      </c>
      <c r="Z7" s="10">
        <v>20</v>
      </c>
      <c r="AA7" s="10">
        <v>46</v>
      </c>
      <c r="AB7" s="10"/>
      <c r="AC7" s="10">
        <v>31</v>
      </c>
      <c r="AD7" s="10">
        <v>61</v>
      </c>
      <c r="AE7" s="10">
        <v>132</v>
      </c>
      <c r="AF7" s="10">
        <v>78</v>
      </c>
      <c r="AG7" s="10">
        <v>30</v>
      </c>
      <c r="AH7" s="10"/>
      <c r="AI7" s="10">
        <v>146</v>
      </c>
      <c r="AJ7" s="10">
        <v>63</v>
      </c>
      <c r="AK7" s="10">
        <v>37</v>
      </c>
      <c r="AL7" s="10">
        <v>44</v>
      </c>
      <c r="AM7" s="10">
        <v>18</v>
      </c>
      <c r="AN7" s="10">
        <v>27</v>
      </c>
      <c r="AO7" s="10"/>
      <c r="AP7" s="10">
        <v>178</v>
      </c>
      <c r="AQ7" s="10">
        <v>185</v>
      </c>
      <c r="AR7" s="10"/>
      <c r="AS7" s="10">
        <v>363</v>
      </c>
      <c r="AT7" s="10" t="s">
        <v>87</v>
      </c>
      <c r="AU7" s="10" t="s">
        <v>87</v>
      </c>
      <c r="AV7" s="10"/>
      <c r="AW7" s="10">
        <v>251</v>
      </c>
      <c r="AX7" s="10">
        <v>101</v>
      </c>
      <c r="AY7" s="10"/>
      <c r="AZ7" s="10">
        <v>301</v>
      </c>
      <c r="BA7" s="10">
        <v>61</v>
      </c>
    </row>
    <row r="8" spans="2:53" ht="30" customHeight="1" x14ac:dyDescent="0.35">
      <c r="B8" s="11" t="s">
        <v>19</v>
      </c>
      <c r="C8" s="11">
        <v>355</v>
      </c>
      <c r="D8" s="11">
        <v>199</v>
      </c>
      <c r="E8" s="11">
        <v>156</v>
      </c>
      <c r="F8" s="11"/>
      <c r="G8" s="11">
        <v>6</v>
      </c>
      <c r="H8" s="11">
        <v>98</v>
      </c>
      <c r="I8" s="11">
        <v>191</v>
      </c>
      <c r="J8" s="11">
        <v>47</v>
      </c>
      <c r="K8" s="11">
        <v>13</v>
      </c>
      <c r="L8" s="11" t="s">
        <v>87</v>
      </c>
      <c r="M8" s="11"/>
      <c r="N8" s="11">
        <v>103</v>
      </c>
      <c r="O8" s="11">
        <v>95</v>
      </c>
      <c r="P8" s="11">
        <v>72</v>
      </c>
      <c r="Q8" s="11">
        <v>85</v>
      </c>
      <c r="R8" s="11"/>
      <c r="S8" s="11">
        <v>70</v>
      </c>
      <c r="T8" s="11">
        <v>61</v>
      </c>
      <c r="U8" s="11">
        <v>44</v>
      </c>
      <c r="V8" s="11">
        <v>47</v>
      </c>
      <c r="W8" s="11">
        <v>21</v>
      </c>
      <c r="X8" s="11">
        <v>23</v>
      </c>
      <c r="Y8" s="11">
        <v>30</v>
      </c>
      <c r="Z8" s="11">
        <v>19</v>
      </c>
      <c r="AA8" s="11">
        <v>39</v>
      </c>
      <c r="AB8" s="11"/>
      <c r="AC8" s="11">
        <v>41</v>
      </c>
      <c r="AD8" s="11">
        <v>77</v>
      </c>
      <c r="AE8" s="11">
        <v>124</v>
      </c>
      <c r="AF8" s="11">
        <v>59</v>
      </c>
      <c r="AG8" s="11">
        <v>16</v>
      </c>
      <c r="AH8" s="11"/>
      <c r="AI8" s="11">
        <v>128</v>
      </c>
      <c r="AJ8" s="11">
        <v>61</v>
      </c>
      <c r="AK8" s="11">
        <v>37</v>
      </c>
      <c r="AL8" s="11">
        <v>47</v>
      </c>
      <c r="AM8" s="11">
        <v>19</v>
      </c>
      <c r="AN8" s="11">
        <v>28</v>
      </c>
      <c r="AO8" s="11"/>
      <c r="AP8" s="11">
        <v>167</v>
      </c>
      <c r="AQ8" s="11">
        <v>188</v>
      </c>
      <c r="AR8" s="11"/>
      <c r="AS8" s="11">
        <v>355</v>
      </c>
      <c r="AT8" s="11" t="s">
        <v>87</v>
      </c>
      <c r="AU8" s="11" t="s">
        <v>87</v>
      </c>
      <c r="AV8" s="11"/>
      <c r="AW8" s="11">
        <v>267</v>
      </c>
      <c r="AX8" s="11">
        <v>74</v>
      </c>
      <c r="AY8" s="11"/>
      <c r="AZ8" s="11">
        <v>290</v>
      </c>
      <c r="BA8" s="11">
        <v>64</v>
      </c>
    </row>
    <row r="9" spans="2:53" x14ac:dyDescent="0.35">
      <c r="B9" s="15" t="s">
        <v>154</v>
      </c>
      <c r="C9" s="14">
        <v>0.50321192841937501</v>
      </c>
      <c r="D9" s="14">
        <v>0.47389335531670801</v>
      </c>
      <c r="E9" s="14">
        <v>0.540618085013855</v>
      </c>
      <c r="F9" s="14"/>
      <c r="G9" s="14">
        <v>0.52985277243292705</v>
      </c>
      <c r="H9" s="14">
        <v>0.53679899470154302</v>
      </c>
      <c r="I9" s="14">
        <v>0.482286225294972</v>
      </c>
      <c r="J9" s="14">
        <v>0.44140827564510499</v>
      </c>
      <c r="K9" s="14">
        <v>0.77847440344004903</v>
      </c>
      <c r="L9" s="14" t="s">
        <v>88</v>
      </c>
      <c r="M9" s="14"/>
      <c r="N9" s="14">
        <v>0.58319473959062196</v>
      </c>
      <c r="O9" s="14">
        <v>0.52130864855586301</v>
      </c>
      <c r="P9" s="14">
        <v>0.35384661163746101</v>
      </c>
      <c r="Q9" s="14">
        <v>0.51211138438635495</v>
      </c>
      <c r="R9" s="14"/>
      <c r="S9" s="14">
        <v>0.55407339311046699</v>
      </c>
      <c r="T9" s="14">
        <v>0.436683434850133</v>
      </c>
      <c r="U9" s="14">
        <v>0.66540122023111503</v>
      </c>
      <c r="V9" s="14">
        <v>0.51804357727720496</v>
      </c>
      <c r="W9" s="14">
        <v>0.39440848602571599</v>
      </c>
      <c r="X9" s="14">
        <v>0.46756478100271798</v>
      </c>
      <c r="Y9" s="14">
        <v>0.50498274141939004</v>
      </c>
      <c r="Z9" s="14">
        <v>0.45046673691719502</v>
      </c>
      <c r="AA9" s="14">
        <v>0.41870785262557503</v>
      </c>
      <c r="AB9" s="14"/>
      <c r="AC9" s="14">
        <v>0.519363112533617</v>
      </c>
      <c r="AD9" s="14">
        <v>0.34093204272108102</v>
      </c>
      <c r="AE9" s="14">
        <v>0.53801305806325594</v>
      </c>
      <c r="AF9" s="14">
        <v>0.65239582786649997</v>
      </c>
      <c r="AG9" s="14">
        <v>0.46150647052879701</v>
      </c>
      <c r="AH9" s="14"/>
      <c r="AI9" s="14">
        <v>0.54587411655098905</v>
      </c>
      <c r="AJ9" s="14">
        <v>0.52030823629604706</v>
      </c>
      <c r="AK9" s="14">
        <v>0.56181772838419897</v>
      </c>
      <c r="AL9" s="14">
        <v>0.52650208453513403</v>
      </c>
      <c r="AM9" s="14">
        <v>0.46592541784110902</v>
      </c>
      <c r="AN9" s="14">
        <v>0.46378675709581002</v>
      </c>
      <c r="AO9" s="14"/>
      <c r="AP9" s="14">
        <v>0.52281604069401699</v>
      </c>
      <c r="AQ9" s="14">
        <v>0.485840397422101</v>
      </c>
      <c r="AR9" s="14"/>
      <c r="AS9" s="14">
        <v>0.50321192841937501</v>
      </c>
      <c r="AT9" s="14" t="s">
        <v>88</v>
      </c>
      <c r="AU9" s="14" t="s">
        <v>88</v>
      </c>
      <c r="AV9" s="14"/>
      <c r="AW9" s="14">
        <v>0.47285707715339698</v>
      </c>
      <c r="AX9" s="14">
        <v>0.64937191679440998</v>
      </c>
      <c r="AY9" s="14"/>
      <c r="AZ9" s="14">
        <v>0.52703158837464603</v>
      </c>
      <c r="BA9" s="14">
        <v>0.40550003448406202</v>
      </c>
    </row>
    <row r="10" spans="2:53" x14ac:dyDescent="0.35">
      <c r="B10" s="15" t="s">
        <v>155</v>
      </c>
      <c r="C10" s="14">
        <v>0.32057004948241502</v>
      </c>
      <c r="D10" s="14">
        <v>0.32875170844095702</v>
      </c>
      <c r="E10" s="14">
        <v>0.31013146452351797</v>
      </c>
      <c r="F10" s="14"/>
      <c r="G10" s="14">
        <v>0.470147227567073</v>
      </c>
      <c r="H10" s="14">
        <v>0.31855987811603498</v>
      </c>
      <c r="I10" s="14">
        <v>0.34798466537571798</v>
      </c>
      <c r="J10" s="14">
        <v>0.23589709387829899</v>
      </c>
      <c r="K10" s="14">
        <v>0.163222475025563</v>
      </c>
      <c r="L10" s="14" t="s">
        <v>88</v>
      </c>
      <c r="M10" s="14"/>
      <c r="N10" s="14">
        <v>0.348487050400906</v>
      </c>
      <c r="O10" s="14">
        <v>0.326986592829414</v>
      </c>
      <c r="P10" s="14">
        <v>0.46924943112971901</v>
      </c>
      <c r="Q10" s="14">
        <v>0.15422551080137301</v>
      </c>
      <c r="R10" s="14"/>
      <c r="S10" s="14">
        <v>0.24504226764867901</v>
      </c>
      <c r="T10" s="14">
        <v>0.40304747111828398</v>
      </c>
      <c r="U10" s="14">
        <v>0.11264531142579701</v>
      </c>
      <c r="V10" s="14">
        <v>0.350082226001454</v>
      </c>
      <c r="W10" s="14">
        <v>0.57364244020314803</v>
      </c>
      <c r="X10" s="14">
        <v>0.31425728967831001</v>
      </c>
      <c r="Y10" s="14">
        <v>0.267451420125561</v>
      </c>
      <c r="Z10" s="14">
        <v>0.33604016978928197</v>
      </c>
      <c r="AA10" s="14">
        <v>0.428229561713379</v>
      </c>
      <c r="AB10" s="14"/>
      <c r="AC10" s="14">
        <v>0.23460204668468901</v>
      </c>
      <c r="AD10" s="14">
        <v>0.35714677266929501</v>
      </c>
      <c r="AE10" s="14">
        <v>0.32619262226870599</v>
      </c>
      <c r="AF10" s="14">
        <v>0.232302297914255</v>
      </c>
      <c r="AG10" s="14">
        <v>0.53849352947120299</v>
      </c>
      <c r="AH10" s="14"/>
      <c r="AI10" s="14">
        <v>0.354606788890998</v>
      </c>
      <c r="AJ10" s="14">
        <v>0.36732225611214397</v>
      </c>
      <c r="AK10" s="14">
        <v>0.28309332128239001</v>
      </c>
      <c r="AL10" s="14">
        <v>0.24204701152059099</v>
      </c>
      <c r="AM10" s="14">
        <v>0.20525184897996199</v>
      </c>
      <c r="AN10" s="14">
        <v>0.34285776902315601</v>
      </c>
      <c r="AO10" s="14"/>
      <c r="AP10" s="14">
        <v>0.29277014691951397</v>
      </c>
      <c r="AQ10" s="14">
        <v>0.345204007007609</v>
      </c>
      <c r="AR10" s="14"/>
      <c r="AS10" s="14">
        <v>0.32057004948241502</v>
      </c>
      <c r="AT10" s="14" t="s">
        <v>88</v>
      </c>
      <c r="AU10" s="14" t="s">
        <v>88</v>
      </c>
      <c r="AV10" s="14"/>
      <c r="AW10" s="14">
        <v>0.33129207356734103</v>
      </c>
      <c r="AX10" s="14">
        <v>0.29877098148494302</v>
      </c>
      <c r="AY10" s="14"/>
      <c r="AZ10" s="14">
        <v>0.307445350253996</v>
      </c>
      <c r="BA10" s="14">
        <v>0.38699808084791398</v>
      </c>
    </row>
    <row r="11" spans="2:53" x14ac:dyDescent="0.35">
      <c r="B11" s="15" t="s">
        <v>116</v>
      </c>
      <c r="C11" s="23">
        <v>0.176218022098209</v>
      </c>
      <c r="D11" s="23">
        <v>0.19735493624233599</v>
      </c>
      <c r="E11" s="23">
        <v>0.149250450462627</v>
      </c>
      <c r="F11" s="23"/>
      <c r="G11" s="23">
        <v>0</v>
      </c>
      <c r="H11" s="23">
        <v>0.144641127182423</v>
      </c>
      <c r="I11" s="23">
        <v>0.16972910932931001</v>
      </c>
      <c r="J11" s="23">
        <v>0.32269463047659602</v>
      </c>
      <c r="K11" s="23">
        <v>5.8303121534387797E-2</v>
      </c>
      <c r="L11" s="23" t="s">
        <v>88</v>
      </c>
      <c r="M11" s="23"/>
      <c r="N11" s="23">
        <v>6.8318210008471797E-2</v>
      </c>
      <c r="O11" s="23">
        <v>0.15170475861472399</v>
      </c>
      <c r="P11" s="23">
        <v>0.17690395723282001</v>
      </c>
      <c r="Q11" s="23">
        <v>0.33366310481227202</v>
      </c>
      <c r="R11" s="23"/>
      <c r="S11" s="23">
        <v>0.200884339240854</v>
      </c>
      <c r="T11" s="23">
        <v>0.16026909403158199</v>
      </c>
      <c r="U11" s="23">
        <v>0.22195346834308799</v>
      </c>
      <c r="V11" s="23">
        <v>0.13187419672134101</v>
      </c>
      <c r="W11" s="23">
        <v>3.1949073771135802E-2</v>
      </c>
      <c r="X11" s="23">
        <v>0.21817792931897201</v>
      </c>
      <c r="Y11" s="23">
        <v>0.22756583845504899</v>
      </c>
      <c r="Z11" s="23">
        <v>0.21349309329352201</v>
      </c>
      <c r="AA11" s="23">
        <v>0.153062585661046</v>
      </c>
      <c r="AB11" s="23"/>
      <c r="AC11" s="23">
        <v>0.24603484078169399</v>
      </c>
      <c r="AD11" s="23">
        <v>0.30192118460962403</v>
      </c>
      <c r="AE11" s="23">
        <v>0.13579431966803801</v>
      </c>
      <c r="AF11" s="23">
        <v>0.115301874219245</v>
      </c>
      <c r="AG11" s="23">
        <v>0</v>
      </c>
      <c r="AH11" s="23"/>
      <c r="AI11" s="23">
        <v>9.9519094558013096E-2</v>
      </c>
      <c r="AJ11" s="23">
        <v>0.112369507591809</v>
      </c>
      <c r="AK11" s="23">
        <v>0.155088950333411</v>
      </c>
      <c r="AL11" s="23">
        <v>0.231450903944275</v>
      </c>
      <c r="AM11" s="23">
        <v>0.32882273317892902</v>
      </c>
      <c r="AN11" s="23">
        <v>0.193355473881034</v>
      </c>
      <c r="AO11" s="23"/>
      <c r="AP11" s="23">
        <v>0.18441381238646901</v>
      </c>
      <c r="AQ11" s="23">
        <v>0.168955595570291</v>
      </c>
      <c r="AR11" s="23"/>
      <c r="AS11" s="23">
        <v>0.176218022098209</v>
      </c>
      <c r="AT11" s="23" t="s">
        <v>88</v>
      </c>
      <c r="AU11" s="23" t="s">
        <v>88</v>
      </c>
      <c r="AV11" s="23"/>
      <c r="AW11" s="23">
        <v>0.195850849279262</v>
      </c>
      <c r="AX11" s="23">
        <v>5.1857101720647301E-2</v>
      </c>
      <c r="AY11" s="23"/>
      <c r="AZ11" s="23">
        <v>0.165523061371359</v>
      </c>
      <c r="BA11" s="23">
        <v>0.20750188466802399</v>
      </c>
    </row>
    <row r="12" spans="2:53" x14ac:dyDescent="0.35">
      <c r="B12" s="16" t="s">
        <v>213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BA18"/>
  <sheetViews>
    <sheetView showGridLines="0" topLeftCell="A7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249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195</v>
      </c>
      <c r="D7" s="10">
        <v>87</v>
      </c>
      <c r="E7" s="10">
        <v>108</v>
      </c>
      <c r="F7" s="10"/>
      <c r="G7" s="10">
        <v>4</v>
      </c>
      <c r="H7" s="10">
        <v>70</v>
      </c>
      <c r="I7" s="10">
        <v>93</v>
      </c>
      <c r="J7" s="10">
        <v>21</v>
      </c>
      <c r="K7" s="10">
        <v>7</v>
      </c>
      <c r="L7" s="10" t="s">
        <v>87</v>
      </c>
      <c r="M7" s="10"/>
      <c r="N7" s="10">
        <v>102</v>
      </c>
      <c r="O7" s="10">
        <v>46</v>
      </c>
      <c r="P7" s="10">
        <v>18</v>
      </c>
      <c r="Q7" s="10">
        <v>29</v>
      </c>
      <c r="R7" s="10"/>
      <c r="S7" s="10">
        <v>51</v>
      </c>
      <c r="T7" s="10">
        <v>26</v>
      </c>
      <c r="U7" s="10">
        <v>23</v>
      </c>
      <c r="V7" s="10">
        <v>21</v>
      </c>
      <c r="W7" s="10">
        <v>10</v>
      </c>
      <c r="X7" s="10">
        <v>17</v>
      </c>
      <c r="Y7" s="10">
        <v>18</v>
      </c>
      <c r="Z7" s="10">
        <v>10</v>
      </c>
      <c r="AA7" s="10">
        <v>19</v>
      </c>
      <c r="AB7" s="10"/>
      <c r="AC7" s="10">
        <v>15</v>
      </c>
      <c r="AD7" s="10">
        <v>23</v>
      </c>
      <c r="AE7" s="10">
        <v>74</v>
      </c>
      <c r="AF7" s="10">
        <v>51</v>
      </c>
      <c r="AG7" s="10">
        <v>16</v>
      </c>
      <c r="AH7" s="10"/>
      <c r="AI7" s="10">
        <v>86</v>
      </c>
      <c r="AJ7" s="10">
        <v>34</v>
      </c>
      <c r="AK7" s="10">
        <v>21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92</v>
      </c>
      <c r="AR7" s="10"/>
      <c r="AS7" s="10">
        <v>195</v>
      </c>
      <c r="AT7" s="10" t="s">
        <v>87</v>
      </c>
      <c r="AU7" s="10" t="s">
        <v>87</v>
      </c>
      <c r="AV7" s="10"/>
      <c r="AW7" s="10">
        <v>123</v>
      </c>
      <c r="AX7" s="10">
        <v>68</v>
      </c>
      <c r="AY7" s="10"/>
      <c r="AZ7" s="10">
        <v>168</v>
      </c>
      <c r="BA7" s="10">
        <v>27</v>
      </c>
    </row>
    <row r="8" spans="2:53" ht="30" customHeight="1" x14ac:dyDescent="0.35">
      <c r="B8" s="11" t="s">
        <v>19</v>
      </c>
      <c r="C8" s="11">
        <v>179</v>
      </c>
      <c r="D8" s="11">
        <v>94</v>
      </c>
      <c r="E8" s="11">
        <v>84</v>
      </c>
      <c r="F8" s="11"/>
      <c r="G8" s="11">
        <v>3</v>
      </c>
      <c r="H8" s="11">
        <v>53</v>
      </c>
      <c r="I8" s="11">
        <v>92</v>
      </c>
      <c r="J8" s="11">
        <v>21</v>
      </c>
      <c r="K8" s="11">
        <v>10</v>
      </c>
      <c r="L8" s="11" t="s">
        <v>87</v>
      </c>
      <c r="M8" s="11"/>
      <c r="N8" s="11">
        <v>60</v>
      </c>
      <c r="O8" s="11">
        <v>49</v>
      </c>
      <c r="P8" s="11">
        <v>25</v>
      </c>
      <c r="Q8" s="11">
        <v>44</v>
      </c>
      <c r="R8" s="11"/>
      <c r="S8" s="11">
        <v>39</v>
      </c>
      <c r="T8" s="11">
        <v>27</v>
      </c>
      <c r="U8" s="11">
        <v>30</v>
      </c>
      <c r="V8" s="11">
        <v>25</v>
      </c>
      <c r="W8" s="11">
        <v>8</v>
      </c>
      <c r="X8" s="11">
        <v>11</v>
      </c>
      <c r="Y8" s="11">
        <v>15</v>
      </c>
      <c r="Z8" s="11">
        <v>9</v>
      </c>
      <c r="AA8" s="11">
        <v>16</v>
      </c>
      <c r="AB8" s="11"/>
      <c r="AC8" s="11">
        <v>21</v>
      </c>
      <c r="AD8" s="11">
        <v>26</v>
      </c>
      <c r="AE8" s="11">
        <v>67</v>
      </c>
      <c r="AF8" s="11">
        <v>38</v>
      </c>
      <c r="AG8" s="11">
        <v>8</v>
      </c>
      <c r="AH8" s="11"/>
      <c r="AI8" s="11">
        <v>70</v>
      </c>
      <c r="AJ8" s="11">
        <v>32</v>
      </c>
      <c r="AK8" s="11">
        <v>21</v>
      </c>
      <c r="AL8" s="11">
        <v>25</v>
      </c>
      <c r="AM8" s="11">
        <v>9</v>
      </c>
      <c r="AN8" s="11">
        <v>13</v>
      </c>
      <c r="AO8" s="11"/>
      <c r="AP8" s="11">
        <v>87</v>
      </c>
      <c r="AQ8" s="11">
        <v>91</v>
      </c>
      <c r="AR8" s="11"/>
      <c r="AS8" s="11">
        <v>179</v>
      </c>
      <c r="AT8" s="11" t="s">
        <v>87</v>
      </c>
      <c r="AU8" s="11" t="s">
        <v>87</v>
      </c>
      <c r="AV8" s="11"/>
      <c r="AW8" s="11">
        <v>126</v>
      </c>
      <c r="AX8" s="11">
        <v>48</v>
      </c>
      <c r="AY8" s="11"/>
      <c r="AZ8" s="11">
        <v>153</v>
      </c>
      <c r="BA8" s="11">
        <v>26</v>
      </c>
    </row>
    <row r="9" spans="2:53" x14ac:dyDescent="0.35">
      <c r="B9" s="15" t="s">
        <v>214</v>
      </c>
      <c r="C9" s="14">
        <v>0.19088293928379099</v>
      </c>
      <c r="D9" s="14">
        <v>0.21720095433888501</v>
      </c>
      <c r="E9" s="14">
        <v>0.16144933558157101</v>
      </c>
      <c r="F9" s="14"/>
      <c r="G9" s="14">
        <v>0</v>
      </c>
      <c r="H9" s="14">
        <v>0.124864335477665</v>
      </c>
      <c r="I9" s="14">
        <v>0.23429015775905199</v>
      </c>
      <c r="J9" s="14">
        <v>0.15399653459805701</v>
      </c>
      <c r="K9" s="14">
        <v>0.27837716453256101</v>
      </c>
      <c r="L9" s="14" t="s">
        <v>88</v>
      </c>
      <c r="M9" s="14"/>
      <c r="N9" s="14">
        <v>0.15559561440884201</v>
      </c>
      <c r="O9" s="14">
        <v>8.9424849111729404E-2</v>
      </c>
      <c r="P9" s="14">
        <v>0.16327670573908801</v>
      </c>
      <c r="Q9" s="14">
        <v>0.37063391173319998</v>
      </c>
      <c r="R9" s="14"/>
      <c r="S9" s="14">
        <v>0.2135295661362</v>
      </c>
      <c r="T9" s="14">
        <v>0.21906485460925401</v>
      </c>
      <c r="U9" s="14">
        <v>0.14302268695026699</v>
      </c>
      <c r="V9" s="14">
        <v>0.168654326682836</v>
      </c>
      <c r="W9" s="14">
        <v>0.191254645655446</v>
      </c>
      <c r="X9" s="14">
        <v>0.33232898040331599</v>
      </c>
      <c r="Y9" s="14">
        <v>0.18913798721178701</v>
      </c>
      <c r="Z9" s="14">
        <v>0.20736870606077901</v>
      </c>
      <c r="AA9" s="14">
        <v>0.11122834384036</v>
      </c>
      <c r="AB9" s="14"/>
      <c r="AC9" s="14">
        <v>0.24294755327370099</v>
      </c>
      <c r="AD9" s="14">
        <v>0.10896637330436899</v>
      </c>
      <c r="AE9" s="14">
        <v>0.222677600235689</v>
      </c>
      <c r="AF9" s="14">
        <v>0.202538043692856</v>
      </c>
      <c r="AG9" s="14">
        <v>0.24119129783646301</v>
      </c>
      <c r="AH9" s="14"/>
      <c r="AI9" s="14">
        <v>0.17601250437653801</v>
      </c>
      <c r="AJ9" s="14">
        <v>0.206935177460083</v>
      </c>
      <c r="AK9" s="14">
        <v>3.1441746105246401E-2</v>
      </c>
      <c r="AL9" s="14">
        <v>0.195680517687216</v>
      </c>
      <c r="AM9" s="14">
        <v>3.6405658495633E-2</v>
      </c>
      <c r="AN9" s="14">
        <v>0.43717523559259802</v>
      </c>
      <c r="AO9" s="14"/>
      <c r="AP9" s="14">
        <v>0.25151909024920799</v>
      </c>
      <c r="AQ9" s="14">
        <v>0.13306297480340101</v>
      </c>
      <c r="AR9" s="14"/>
      <c r="AS9" s="14">
        <v>0.19088293928379099</v>
      </c>
      <c r="AT9" s="14" t="s">
        <v>88</v>
      </c>
      <c r="AU9" s="14" t="s">
        <v>88</v>
      </c>
      <c r="AV9" s="14"/>
      <c r="AW9" s="14">
        <v>0.13481633302344601</v>
      </c>
      <c r="AX9" s="14">
        <v>0.28178294620956901</v>
      </c>
      <c r="AY9" s="14"/>
      <c r="AZ9" s="14">
        <v>0.19779271053466199</v>
      </c>
      <c r="BA9" s="14">
        <v>0.15004783148511799</v>
      </c>
    </row>
    <row r="10" spans="2:53" x14ac:dyDescent="0.35">
      <c r="B10" s="15" t="s">
        <v>215</v>
      </c>
      <c r="C10" s="14">
        <v>0.56739059425432303</v>
      </c>
      <c r="D10" s="14">
        <v>0.55529179479200097</v>
      </c>
      <c r="E10" s="14">
        <v>0.58092167811080497</v>
      </c>
      <c r="F10" s="14"/>
      <c r="G10" s="14">
        <v>0.56846163778720804</v>
      </c>
      <c r="H10" s="14">
        <v>0.623076155949988</v>
      </c>
      <c r="I10" s="14">
        <v>0.53406468748792302</v>
      </c>
      <c r="J10" s="14">
        <v>0.61945379100495701</v>
      </c>
      <c r="K10" s="14">
        <v>0.47187439727994801</v>
      </c>
      <c r="L10" s="14" t="s">
        <v>88</v>
      </c>
      <c r="M10" s="14"/>
      <c r="N10" s="14">
        <v>0.63791258852619204</v>
      </c>
      <c r="O10" s="14">
        <v>0.58112045143062097</v>
      </c>
      <c r="P10" s="14">
        <v>0.48151780950560003</v>
      </c>
      <c r="Q10" s="14">
        <v>0.504559453970713</v>
      </c>
      <c r="R10" s="14"/>
      <c r="S10" s="14">
        <v>0.61323504768585901</v>
      </c>
      <c r="T10" s="14">
        <v>0.601112091570288</v>
      </c>
      <c r="U10" s="14">
        <v>0.488073040776764</v>
      </c>
      <c r="V10" s="14">
        <v>0.56344272666288697</v>
      </c>
      <c r="W10" s="14">
        <v>0.727740312982608</v>
      </c>
      <c r="X10" s="14">
        <v>0.46647054527232301</v>
      </c>
      <c r="Y10" s="14">
        <v>0.49230502930888198</v>
      </c>
      <c r="Z10" s="14">
        <v>0.66984458756482002</v>
      </c>
      <c r="AA10" s="14">
        <v>0.55463411872867796</v>
      </c>
      <c r="AB10" s="14"/>
      <c r="AC10" s="14">
        <v>0.53080885525871202</v>
      </c>
      <c r="AD10" s="14">
        <v>0.48435072804027901</v>
      </c>
      <c r="AE10" s="14">
        <v>0.57604149328592003</v>
      </c>
      <c r="AF10" s="14">
        <v>0.61799691672927703</v>
      </c>
      <c r="AG10" s="14">
        <v>0.53698915155295901</v>
      </c>
      <c r="AH10" s="14"/>
      <c r="AI10" s="14">
        <v>0.64374746746867595</v>
      </c>
      <c r="AJ10" s="14">
        <v>0.635596012444827</v>
      </c>
      <c r="AK10" s="14">
        <v>0.53153877297280805</v>
      </c>
      <c r="AL10" s="14">
        <v>0.46701702702883402</v>
      </c>
      <c r="AM10" s="14">
        <v>0.76320445488039601</v>
      </c>
      <c r="AN10" s="14">
        <v>0.30656619044008099</v>
      </c>
      <c r="AO10" s="14"/>
      <c r="AP10" s="14">
        <v>0.53485987166584104</v>
      </c>
      <c r="AQ10" s="14">
        <v>0.59841045937835102</v>
      </c>
      <c r="AR10" s="14"/>
      <c r="AS10" s="14">
        <v>0.56739059425432303</v>
      </c>
      <c r="AT10" s="14" t="s">
        <v>88</v>
      </c>
      <c r="AU10" s="14" t="s">
        <v>88</v>
      </c>
      <c r="AV10" s="14"/>
      <c r="AW10" s="14">
        <v>0.56779341755039903</v>
      </c>
      <c r="AX10" s="14">
        <v>0.59902892340615199</v>
      </c>
      <c r="AY10" s="14"/>
      <c r="AZ10" s="14">
        <v>0.55572364619222603</v>
      </c>
      <c r="BA10" s="14">
        <v>0.63633948771258297</v>
      </c>
    </row>
    <row r="11" spans="2:53" x14ac:dyDescent="0.35">
      <c r="B11" s="15" t="s">
        <v>216</v>
      </c>
      <c r="C11" s="14">
        <v>0.10425774635226601</v>
      </c>
      <c r="D11" s="14">
        <v>0.12785454293036499</v>
      </c>
      <c r="E11" s="14">
        <v>7.7867505383572205E-2</v>
      </c>
      <c r="F11" s="14"/>
      <c r="G11" s="14">
        <v>0</v>
      </c>
      <c r="H11" s="14">
        <v>0.10253943672812101</v>
      </c>
      <c r="I11" s="14">
        <v>0.110522795353848</v>
      </c>
      <c r="J11" s="14">
        <v>0.14642110858735999</v>
      </c>
      <c r="K11" s="14">
        <v>0</v>
      </c>
      <c r="L11" s="14" t="s">
        <v>88</v>
      </c>
      <c r="M11" s="14"/>
      <c r="N11" s="14">
        <v>7.4273108609285293E-2</v>
      </c>
      <c r="O11" s="14">
        <v>0.18163666033495299</v>
      </c>
      <c r="P11" s="14">
        <v>7.4369745189135805E-2</v>
      </c>
      <c r="Q11" s="14">
        <v>7.5356450852652898E-2</v>
      </c>
      <c r="R11" s="14"/>
      <c r="S11" s="14">
        <v>0.115297694415538</v>
      </c>
      <c r="T11" s="14">
        <v>2.46855620847314E-2</v>
      </c>
      <c r="U11" s="14">
        <v>0.13259238897748901</v>
      </c>
      <c r="V11" s="14">
        <v>0.18436088489959701</v>
      </c>
      <c r="W11" s="14">
        <v>8.10050413619465E-2</v>
      </c>
      <c r="X11" s="14">
        <v>2.43073165852403E-2</v>
      </c>
      <c r="Y11" s="14">
        <v>9.5538153785259206E-2</v>
      </c>
      <c r="Z11" s="14">
        <v>0</v>
      </c>
      <c r="AA11" s="14">
        <v>0.16472589179236299</v>
      </c>
      <c r="AB11" s="14"/>
      <c r="AC11" s="14">
        <v>0.17180590778673899</v>
      </c>
      <c r="AD11" s="14">
        <v>0.117310883427043</v>
      </c>
      <c r="AE11" s="14">
        <v>8.1122515427782899E-2</v>
      </c>
      <c r="AF11" s="14">
        <v>7.7879080788115507E-2</v>
      </c>
      <c r="AG11" s="14">
        <v>0</v>
      </c>
      <c r="AH11" s="14"/>
      <c r="AI11" s="14">
        <v>7.1231238952600195E-2</v>
      </c>
      <c r="AJ11" s="14">
        <v>5.96904233419654E-2</v>
      </c>
      <c r="AK11" s="14">
        <v>0.18612943422336101</v>
      </c>
      <c r="AL11" s="14">
        <v>0.10095933991610601</v>
      </c>
      <c r="AM11" s="14">
        <v>2.9402330229938899E-2</v>
      </c>
      <c r="AN11" s="14">
        <v>0.21619975106887501</v>
      </c>
      <c r="AO11" s="14"/>
      <c r="AP11" s="14">
        <v>0.13292413821024299</v>
      </c>
      <c r="AQ11" s="14">
        <v>7.6922736912856199E-2</v>
      </c>
      <c r="AR11" s="14"/>
      <c r="AS11" s="14">
        <v>0.10425774635226601</v>
      </c>
      <c r="AT11" s="14" t="s">
        <v>88</v>
      </c>
      <c r="AU11" s="14" t="s">
        <v>88</v>
      </c>
      <c r="AV11" s="14"/>
      <c r="AW11" s="14">
        <v>0.13622649387001101</v>
      </c>
      <c r="AX11" s="14">
        <v>3.0469807312565302E-2</v>
      </c>
      <c r="AY11" s="14"/>
      <c r="AZ11" s="14">
        <v>0.10274107706404099</v>
      </c>
      <c r="BA11" s="14">
        <v>0.113220901807201</v>
      </c>
    </row>
    <row r="12" spans="2:53" x14ac:dyDescent="0.35">
      <c r="B12" s="15" t="s">
        <v>217</v>
      </c>
      <c r="C12" s="14">
        <v>3.5568524324867498E-2</v>
      </c>
      <c r="D12" s="14">
        <v>4.6888426024661201E-2</v>
      </c>
      <c r="E12" s="14">
        <v>2.2908545983707802E-2</v>
      </c>
      <c r="F12" s="14"/>
      <c r="G12" s="14">
        <v>0.272867117577695</v>
      </c>
      <c r="H12" s="14">
        <v>4.3407788075376298E-2</v>
      </c>
      <c r="I12" s="14">
        <v>3.4448694408934097E-2</v>
      </c>
      <c r="J12" s="14">
        <v>0</v>
      </c>
      <c r="K12" s="14">
        <v>0</v>
      </c>
      <c r="L12" s="14" t="s">
        <v>88</v>
      </c>
      <c r="M12" s="14"/>
      <c r="N12" s="14">
        <v>3.4556673896246198E-2</v>
      </c>
      <c r="O12" s="14">
        <v>8.64748646450334E-2</v>
      </c>
      <c r="P12" s="14">
        <v>0</v>
      </c>
      <c r="Q12" s="14">
        <v>0</v>
      </c>
      <c r="R12" s="14"/>
      <c r="S12" s="14">
        <v>1.3547282497448901E-2</v>
      </c>
      <c r="T12" s="14">
        <v>7.8685627623428803E-2</v>
      </c>
      <c r="U12" s="14">
        <v>9.5858471309202595E-2</v>
      </c>
      <c r="V12" s="14">
        <v>0</v>
      </c>
      <c r="W12" s="14">
        <v>0</v>
      </c>
      <c r="X12" s="14">
        <v>0</v>
      </c>
      <c r="Y12" s="14">
        <v>5.9114103244928398E-2</v>
      </c>
      <c r="Z12" s="14">
        <v>0</v>
      </c>
      <c r="AA12" s="14">
        <v>0</v>
      </c>
      <c r="AB12" s="14"/>
      <c r="AC12" s="14">
        <v>0</v>
      </c>
      <c r="AD12" s="14">
        <v>4.08627405106173E-2</v>
      </c>
      <c r="AE12" s="14">
        <v>2.8305321214185102E-2</v>
      </c>
      <c r="AF12" s="14">
        <v>8.8730515161099893E-2</v>
      </c>
      <c r="AG12" s="14">
        <v>0</v>
      </c>
      <c r="AH12" s="14"/>
      <c r="AI12" s="14">
        <v>1.5646632757173502E-2</v>
      </c>
      <c r="AJ12" s="14">
        <v>5.5812114995493899E-2</v>
      </c>
      <c r="AK12" s="14">
        <v>5.1518684338154E-2</v>
      </c>
      <c r="AL12" s="14">
        <v>7.0470254677982305E-2</v>
      </c>
      <c r="AM12" s="14">
        <v>0</v>
      </c>
      <c r="AN12" s="14">
        <v>0</v>
      </c>
      <c r="AO12" s="14"/>
      <c r="AP12" s="14">
        <v>3.2717560483285897E-2</v>
      </c>
      <c r="AQ12" s="14">
        <v>3.8287077950560897E-2</v>
      </c>
      <c r="AR12" s="14"/>
      <c r="AS12" s="14">
        <v>3.5568524324867498E-2</v>
      </c>
      <c r="AT12" s="14" t="s">
        <v>88</v>
      </c>
      <c r="AU12" s="14" t="s">
        <v>88</v>
      </c>
      <c r="AV12" s="14"/>
      <c r="AW12" s="14">
        <v>4.0729984476591298E-2</v>
      </c>
      <c r="AX12" s="14">
        <v>2.55043313940173E-2</v>
      </c>
      <c r="AY12" s="14"/>
      <c r="AZ12" s="14">
        <v>4.1587128904720598E-2</v>
      </c>
      <c r="BA12" s="14">
        <v>0</v>
      </c>
    </row>
    <row r="13" spans="2:53" x14ac:dyDescent="0.35">
      <c r="B13" s="26" t="s">
        <v>116</v>
      </c>
      <c r="C13" s="23">
        <v>6.6487264347405303E-2</v>
      </c>
      <c r="D13" s="23">
        <v>3.5596557520087301E-2</v>
      </c>
      <c r="E13" s="23">
        <v>0.101034885850522</v>
      </c>
      <c r="F13" s="23"/>
      <c r="G13" s="23">
        <v>0</v>
      </c>
      <c r="H13" s="23">
        <v>8.9916205198744201E-2</v>
      </c>
      <c r="I13" s="23">
        <v>4.7206834610179001E-2</v>
      </c>
      <c r="J13" s="23">
        <v>8.0128565809626795E-2</v>
      </c>
      <c r="K13" s="23">
        <v>0.115783846874248</v>
      </c>
      <c r="L13" s="23" t="s">
        <v>88</v>
      </c>
      <c r="M13" s="23"/>
      <c r="N13" s="23">
        <v>5.3031218882359801E-2</v>
      </c>
      <c r="O13" s="23">
        <v>1.48573783374924E-2</v>
      </c>
      <c r="P13" s="23">
        <v>0.22800980222008599</v>
      </c>
      <c r="Q13" s="23">
        <v>4.9450183443434402E-2</v>
      </c>
      <c r="R13" s="23"/>
      <c r="S13" s="23">
        <v>1.6792370547456199E-2</v>
      </c>
      <c r="T13" s="23">
        <v>7.6451864112297499E-2</v>
      </c>
      <c r="U13" s="23">
        <v>9.5972487277487195E-2</v>
      </c>
      <c r="V13" s="23">
        <v>2.88728331967435E-2</v>
      </c>
      <c r="W13" s="23">
        <v>0</v>
      </c>
      <c r="X13" s="23">
        <v>4.85505134333531E-2</v>
      </c>
      <c r="Y13" s="23">
        <v>0.115569986398739</v>
      </c>
      <c r="Z13" s="23">
        <v>0.122786706374402</v>
      </c>
      <c r="AA13" s="23">
        <v>0.139443143979778</v>
      </c>
      <c r="AB13" s="23"/>
      <c r="AC13" s="23">
        <v>5.4437683680848198E-2</v>
      </c>
      <c r="AD13" s="23">
        <v>0.20070002311842899</v>
      </c>
      <c r="AE13" s="23">
        <v>4.13940009831631E-2</v>
      </c>
      <c r="AF13" s="23">
        <v>0</v>
      </c>
      <c r="AG13" s="23">
        <v>0.174333545032577</v>
      </c>
      <c r="AH13" s="23"/>
      <c r="AI13" s="23">
        <v>8.0565765360988695E-2</v>
      </c>
      <c r="AJ13" s="23">
        <v>2.0423134119458501E-2</v>
      </c>
      <c r="AK13" s="23">
        <v>6.3008124828806397E-2</v>
      </c>
      <c r="AL13" s="23">
        <v>8.9466817446165803E-2</v>
      </c>
      <c r="AM13" s="23">
        <v>0.17098755639403199</v>
      </c>
      <c r="AN13" s="23">
        <v>4.0058822898445701E-2</v>
      </c>
      <c r="AO13" s="23"/>
      <c r="AP13" s="23">
        <v>1.44115309731994E-2</v>
      </c>
      <c r="AQ13" s="23">
        <v>0.116144391425015</v>
      </c>
      <c r="AR13" s="23"/>
      <c r="AS13" s="23">
        <v>6.6487264347405303E-2</v>
      </c>
      <c r="AT13" s="23" t="s">
        <v>88</v>
      </c>
      <c r="AU13" s="23" t="s">
        <v>88</v>
      </c>
      <c r="AV13" s="23"/>
      <c r="AW13" s="23">
        <v>9.4262690127379506E-2</v>
      </c>
      <c r="AX13" s="23">
        <v>0</v>
      </c>
      <c r="AY13" s="23"/>
      <c r="AZ13" s="23">
        <v>6.0750229398400198E-2</v>
      </c>
      <c r="BA13" s="23">
        <v>0.100391778995098</v>
      </c>
    </row>
    <row r="14" spans="2:53" x14ac:dyDescent="0.35">
      <c r="B14" s="25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BA19"/>
  <sheetViews>
    <sheetView showGridLines="0" workbookViewId="0">
      <pane xSplit="2" topLeftCell="C1" activePane="topRight" state="frozen"/>
      <selection pane="topRight" activeCell="A13" sqref="A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195</v>
      </c>
      <c r="D7" s="10">
        <v>87</v>
      </c>
      <c r="E7" s="10">
        <v>108</v>
      </c>
      <c r="F7" s="10"/>
      <c r="G7" s="10">
        <v>4</v>
      </c>
      <c r="H7" s="10">
        <v>70</v>
      </c>
      <c r="I7" s="10">
        <v>93</v>
      </c>
      <c r="J7" s="10">
        <v>21</v>
      </c>
      <c r="K7" s="10">
        <v>7</v>
      </c>
      <c r="L7" s="10" t="s">
        <v>87</v>
      </c>
      <c r="M7" s="10"/>
      <c r="N7" s="10">
        <v>102</v>
      </c>
      <c r="O7" s="10">
        <v>46</v>
      </c>
      <c r="P7" s="10">
        <v>18</v>
      </c>
      <c r="Q7" s="10">
        <v>29</v>
      </c>
      <c r="R7" s="10"/>
      <c r="S7" s="10">
        <v>51</v>
      </c>
      <c r="T7" s="10">
        <v>26</v>
      </c>
      <c r="U7" s="10">
        <v>23</v>
      </c>
      <c r="V7" s="10">
        <v>21</v>
      </c>
      <c r="W7" s="10">
        <v>10</v>
      </c>
      <c r="X7" s="10">
        <v>17</v>
      </c>
      <c r="Y7" s="10">
        <v>18</v>
      </c>
      <c r="Z7" s="10">
        <v>10</v>
      </c>
      <c r="AA7" s="10">
        <v>19</v>
      </c>
      <c r="AB7" s="10"/>
      <c r="AC7" s="10">
        <v>15</v>
      </c>
      <c r="AD7" s="10">
        <v>23</v>
      </c>
      <c r="AE7" s="10">
        <v>74</v>
      </c>
      <c r="AF7" s="10">
        <v>51</v>
      </c>
      <c r="AG7" s="10">
        <v>16</v>
      </c>
      <c r="AH7" s="10"/>
      <c r="AI7" s="10">
        <v>86</v>
      </c>
      <c r="AJ7" s="10">
        <v>34</v>
      </c>
      <c r="AK7" s="10">
        <v>21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92</v>
      </c>
      <c r="AR7" s="10"/>
      <c r="AS7" s="10">
        <v>195</v>
      </c>
      <c r="AT7" s="10" t="s">
        <v>87</v>
      </c>
      <c r="AU7" s="10" t="s">
        <v>87</v>
      </c>
      <c r="AV7" s="10"/>
      <c r="AW7" s="10">
        <v>123</v>
      </c>
      <c r="AX7" s="10">
        <v>68</v>
      </c>
      <c r="AY7" s="10"/>
      <c r="AZ7" s="10">
        <v>168</v>
      </c>
      <c r="BA7" s="10">
        <v>27</v>
      </c>
    </row>
    <row r="8" spans="2:53" ht="30" customHeight="1" x14ac:dyDescent="0.35">
      <c r="B8" s="11" t="s">
        <v>19</v>
      </c>
      <c r="C8" s="11">
        <v>179</v>
      </c>
      <c r="D8" s="11">
        <v>94</v>
      </c>
      <c r="E8" s="11">
        <v>84</v>
      </c>
      <c r="F8" s="11"/>
      <c r="G8" s="11">
        <v>3</v>
      </c>
      <c r="H8" s="11">
        <v>53</v>
      </c>
      <c r="I8" s="11">
        <v>92</v>
      </c>
      <c r="J8" s="11">
        <v>21</v>
      </c>
      <c r="K8" s="11">
        <v>10</v>
      </c>
      <c r="L8" s="11" t="s">
        <v>87</v>
      </c>
      <c r="M8" s="11"/>
      <c r="N8" s="11">
        <v>60</v>
      </c>
      <c r="O8" s="11">
        <v>49</v>
      </c>
      <c r="P8" s="11">
        <v>25</v>
      </c>
      <c r="Q8" s="11">
        <v>44</v>
      </c>
      <c r="R8" s="11"/>
      <c r="S8" s="11">
        <v>39</v>
      </c>
      <c r="T8" s="11">
        <v>27</v>
      </c>
      <c r="U8" s="11">
        <v>30</v>
      </c>
      <c r="V8" s="11">
        <v>25</v>
      </c>
      <c r="W8" s="11">
        <v>8</v>
      </c>
      <c r="X8" s="11">
        <v>11</v>
      </c>
      <c r="Y8" s="11">
        <v>15</v>
      </c>
      <c r="Z8" s="11">
        <v>9</v>
      </c>
      <c r="AA8" s="11">
        <v>16</v>
      </c>
      <c r="AB8" s="11"/>
      <c r="AC8" s="11">
        <v>21</v>
      </c>
      <c r="AD8" s="11">
        <v>26</v>
      </c>
      <c r="AE8" s="11">
        <v>67</v>
      </c>
      <c r="AF8" s="11">
        <v>38</v>
      </c>
      <c r="AG8" s="11">
        <v>8</v>
      </c>
      <c r="AH8" s="11"/>
      <c r="AI8" s="11">
        <v>70</v>
      </c>
      <c r="AJ8" s="11">
        <v>32</v>
      </c>
      <c r="AK8" s="11">
        <v>21</v>
      </c>
      <c r="AL8" s="11">
        <v>25</v>
      </c>
      <c r="AM8" s="11">
        <v>9</v>
      </c>
      <c r="AN8" s="11">
        <v>13</v>
      </c>
      <c r="AO8" s="11"/>
      <c r="AP8" s="11">
        <v>87</v>
      </c>
      <c r="AQ8" s="11">
        <v>91</v>
      </c>
      <c r="AR8" s="11"/>
      <c r="AS8" s="11">
        <v>179</v>
      </c>
      <c r="AT8" s="11" t="s">
        <v>87</v>
      </c>
      <c r="AU8" s="11" t="s">
        <v>87</v>
      </c>
      <c r="AV8" s="11"/>
      <c r="AW8" s="11">
        <v>126</v>
      </c>
      <c r="AX8" s="11">
        <v>48</v>
      </c>
      <c r="AY8" s="11"/>
      <c r="AZ8" s="11">
        <v>153</v>
      </c>
      <c r="BA8" s="11">
        <v>26</v>
      </c>
    </row>
    <row r="9" spans="2:53" x14ac:dyDescent="0.35">
      <c r="B9" s="15" t="s">
        <v>220</v>
      </c>
      <c r="C9" s="14">
        <v>0.23939826993558</v>
      </c>
      <c r="D9" s="14">
        <v>0.224890983789477</v>
      </c>
      <c r="E9" s="14">
        <v>0.25562296280566199</v>
      </c>
      <c r="F9" s="14"/>
      <c r="G9" s="14">
        <v>0.272867117577695</v>
      </c>
      <c r="H9" s="14">
        <v>0.24297195483980799</v>
      </c>
      <c r="I9" s="14">
        <v>0.234676875961807</v>
      </c>
      <c r="J9" s="14">
        <v>0.18526686240068599</v>
      </c>
      <c r="K9" s="14">
        <v>0.36837686007892001</v>
      </c>
      <c r="L9" s="14" t="s">
        <v>88</v>
      </c>
      <c r="M9" s="14"/>
      <c r="N9" s="14">
        <v>0.22845547946821601</v>
      </c>
      <c r="O9" s="14">
        <v>0.185709428031676</v>
      </c>
      <c r="P9" s="14">
        <v>0.11509662223131201</v>
      </c>
      <c r="Q9" s="14">
        <v>0.38776514913711202</v>
      </c>
      <c r="R9" s="14"/>
      <c r="S9" s="14">
        <v>0.31549427991085299</v>
      </c>
      <c r="T9" s="14">
        <v>0.27306491388311699</v>
      </c>
      <c r="U9" s="14">
        <v>0.24803950959184601</v>
      </c>
      <c r="V9" s="14">
        <v>0.182882557563318</v>
      </c>
      <c r="W9" s="14">
        <v>0.21604962764055399</v>
      </c>
      <c r="X9" s="14">
        <v>0.235044843248784</v>
      </c>
      <c r="Y9" s="14">
        <v>0.25637326356096402</v>
      </c>
      <c r="Z9" s="14">
        <v>6.4848205507859594E-2</v>
      </c>
      <c r="AA9" s="14">
        <v>0.16697351906206401</v>
      </c>
      <c r="AB9" s="14"/>
      <c r="AC9" s="14">
        <v>0.19319466042623401</v>
      </c>
      <c r="AD9" s="14">
        <v>0.11384046972695</v>
      </c>
      <c r="AE9" s="14">
        <v>0.24633994023618599</v>
      </c>
      <c r="AF9" s="14">
        <v>0.22724093215633401</v>
      </c>
      <c r="AG9" s="14">
        <v>0.61421817475200702</v>
      </c>
      <c r="AH9" s="14"/>
      <c r="AI9" s="14">
        <v>0.24216062245432701</v>
      </c>
      <c r="AJ9" s="14">
        <v>0.21832215892609799</v>
      </c>
      <c r="AK9" s="14">
        <v>0.127907891450736</v>
      </c>
      <c r="AL9" s="14">
        <v>0.28616195764376001</v>
      </c>
      <c r="AM9" s="14">
        <v>0.38616898646339498</v>
      </c>
      <c r="AN9" s="14">
        <v>0.161278149331958</v>
      </c>
      <c r="AO9" s="14"/>
      <c r="AP9" s="14">
        <v>0.29298672761515399</v>
      </c>
      <c r="AQ9" s="14">
        <v>0.18829867554742399</v>
      </c>
      <c r="AR9" s="14"/>
      <c r="AS9" s="14">
        <v>0.23939826993558</v>
      </c>
      <c r="AT9" s="14" t="s">
        <v>88</v>
      </c>
      <c r="AU9" s="14" t="s">
        <v>88</v>
      </c>
      <c r="AV9" s="14"/>
      <c r="AW9" s="14">
        <v>0.16882342030752101</v>
      </c>
      <c r="AX9" s="14">
        <v>0.39166283613620401</v>
      </c>
      <c r="AY9" s="14"/>
      <c r="AZ9" s="14">
        <v>0.24802376325018499</v>
      </c>
      <c r="BA9" s="14">
        <v>0.18842365203137501</v>
      </c>
    </row>
    <row r="10" spans="2:53" x14ac:dyDescent="0.35">
      <c r="B10" s="15" t="s">
        <v>221</v>
      </c>
      <c r="C10" s="14">
        <v>0.55877975115080103</v>
      </c>
      <c r="D10" s="14">
        <v>0.61131762698129399</v>
      </c>
      <c r="E10" s="14">
        <v>0.50002231776101203</v>
      </c>
      <c r="F10" s="14"/>
      <c r="G10" s="14">
        <v>0.56846163778720804</v>
      </c>
      <c r="H10" s="14">
        <v>0.60518273195052896</v>
      </c>
      <c r="I10" s="14">
        <v>0.55507705571853705</v>
      </c>
      <c r="J10" s="14">
        <v>0.59568348787561698</v>
      </c>
      <c r="K10" s="14">
        <v>0.26360198137164897</v>
      </c>
      <c r="L10" s="14" t="s">
        <v>88</v>
      </c>
      <c r="M10" s="14"/>
      <c r="N10" s="14">
        <v>0.58941259539215995</v>
      </c>
      <c r="O10" s="14">
        <v>0.54443636138749896</v>
      </c>
      <c r="P10" s="14">
        <v>0.55916409662455802</v>
      </c>
      <c r="Q10" s="14">
        <v>0.53254294194071605</v>
      </c>
      <c r="R10" s="14"/>
      <c r="S10" s="14">
        <v>0.50657516232297894</v>
      </c>
      <c r="T10" s="14">
        <v>0.56123505854504996</v>
      </c>
      <c r="U10" s="14">
        <v>0.560129539929343</v>
      </c>
      <c r="V10" s="14">
        <v>0.54321554860214305</v>
      </c>
      <c r="W10" s="14">
        <v>0.70294533099750001</v>
      </c>
      <c r="X10" s="14">
        <v>0.53675798846648204</v>
      </c>
      <c r="Y10" s="14">
        <v>0.53251859750203201</v>
      </c>
      <c r="Z10" s="14">
        <v>0.61956821795253403</v>
      </c>
      <c r="AA10" s="14">
        <v>0.632532575031582</v>
      </c>
      <c r="AB10" s="14"/>
      <c r="AC10" s="14">
        <v>0.75236765589291799</v>
      </c>
      <c r="AD10" s="14">
        <v>0.50975959766412104</v>
      </c>
      <c r="AE10" s="14">
        <v>0.55707237513135499</v>
      </c>
      <c r="AF10" s="14">
        <v>0.57474308101406402</v>
      </c>
      <c r="AG10" s="14">
        <v>0.338295819669991</v>
      </c>
      <c r="AH10" s="14"/>
      <c r="AI10" s="14">
        <v>0.633117514410522</v>
      </c>
      <c r="AJ10" s="14">
        <v>0.51132980790536597</v>
      </c>
      <c r="AK10" s="14">
        <v>0.54001755685540598</v>
      </c>
      <c r="AL10" s="14">
        <v>0.481450720641379</v>
      </c>
      <c r="AM10" s="14">
        <v>0.41344112691263402</v>
      </c>
      <c r="AN10" s="14">
        <v>0.61330323428815803</v>
      </c>
      <c r="AO10" s="14"/>
      <c r="AP10" s="14">
        <v>0.53714282089548504</v>
      </c>
      <c r="AQ10" s="14">
        <v>0.57941177542853906</v>
      </c>
      <c r="AR10" s="14"/>
      <c r="AS10" s="14">
        <v>0.55877975115080103</v>
      </c>
      <c r="AT10" s="14" t="s">
        <v>88</v>
      </c>
      <c r="AU10" s="14" t="s">
        <v>88</v>
      </c>
      <c r="AV10" s="14"/>
      <c r="AW10" s="14">
        <v>0.61250531429758703</v>
      </c>
      <c r="AX10" s="14">
        <v>0.430910005796456</v>
      </c>
      <c r="AY10" s="14"/>
      <c r="AZ10" s="14">
        <v>0.55738436622090304</v>
      </c>
      <c r="BA10" s="14">
        <v>0.56702614483942604</v>
      </c>
    </row>
    <row r="11" spans="2:53" x14ac:dyDescent="0.35">
      <c r="B11" s="15" t="s">
        <v>222</v>
      </c>
      <c r="C11" s="14">
        <v>0.100053196612008</v>
      </c>
      <c r="D11" s="14">
        <v>8.6125125633659094E-2</v>
      </c>
      <c r="E11" s="14">
        <v>0.115630105457713</v>
      </c>
      <c r="F11" s="14"/>
      <c r="G11" s="14">
        <v>0</v>
      </c>
      <c r="H11" s="14">
        <v>4.5450781057203002E-2</v>
      </c>
      <c r="I11" s="14">
        <v>0.134054363491492</v>
      </c>
      <c r="J11" s="14">
        <v>9.4322225245354802E-2</v>
      </c>
      <c r="K11" s="14">
        <v>0.118272720361939</v>
      </c>
      <c r="L11" s="14" t="s">
        <v>88</v>
      </c>
      <c r="M11" s="14"/>
      <c r="N11" s="14">
        <v>0.11361181913818499</v>
      </c>
      <c r="O11" s="14">
        <v>0.196590865629797</v>
      </c>
      <c r="P11" s="14">
        <v>0</v>
      </c>
      <c r="Q11" s="14">
        <v>3.0241725478737599E-2</v>
      </c>
      <c r="R11" s="14"/>
      <c r="S11" s="14">
        <v>0.15599817964454299</v>
      </c>
      <c r="T11" s="14">
        <v>5.7699911875881998E-2</v>
      </c>
      <c r="U11" s="14">
        <v>9.58584784591682E-2</v>
      </c>
      <c r="V11" s="14">
        <v>0.12981271407394299</v>
      </c>
      <c r="W11" s="14">
        <v>8.10050413619465E-2</v>
      </c>
      <c r="X11" s="14">
        <v>7.2857830018593403E-2</v>
      </c>
      <c r="Y11" s="14">
        <v>8.4475700074646706E-2</v>
      </c>
      <c r="Z11" s="14">
        <v>8.6727658634288995E-2</v>
      </c>
      <c r="AA11" s="14">
        <v>4.9680338214320503E-2</v>
      </c>
      <c r="AB11" s="14"/>
      <c r="AC11" s="14">
        <v>0</v>
      </c>
      <c r="AD11" s="14">
        <v>0.122097339663813</v>
      </c>
      <c r="AE11" s="14">
        <v>0.112049905603929</v>
      </c>
      <c r="AF11" s="14">
        <v>0.12681502959079299</v>
      </c>
      <c r="AG11" s="14">
        <v>0</v>
      </c>
      <c r="AH11" s="14"/>
      <c r="AI11" s="14">
        <v>7.5453527721627306E-2</v>
      </c>
      <c r="AJ11" s="14">
        <v>3.6626347101023797E-2</v>
      </c>
      <c r="AK11" s="14">
        <v>0.195711314162234</v>
      </c>
      <c r="AL11" s="14">
        <v>0.11346248165417799</v>
      </c>
      <c r="AM11" s="14">
        <v>2.9402330229938899E-2</v>
      </c>
      <c r="AN11" s="14">
        <v>0.225418616379885</v>
      </c>
      <c r="AO11" s="14"/>
      <c r="AP11" s="14">
        <v>0.128465731770012</v>
      </c>
      <c r="AQ11" s="14">
        <v>7.29602537474352E-2</v>
      </c>
      <c r="AR11" s="14"/>
      <c r="AS11" s="14">
        <v>0.100053196612008</v>
      </c>
      <c r="AT11" s="14" t="s">
        <v>88</v>
      </c>
      <c r="AU11" s="14" t="s">
        <v>88</v>
      </c>
      <c r="AV11" s="14"/>
      <c r="AW11" s="14">
        <v>0.118018079820136</v>
      </c>
      <c r="AX11" s="14">
        <v>6.2680360460113799E-2</v>
      </c>
      <c r="AY11" s="14"/>
      <c r="AZ11" s="14">
        <v>9.9062410593084599E-2</v>
      </c>
      <c r="BA11" s="14">
        <v>0.105908506783535</v>
      </c>
    </row>
    <row r="12" spans="2:53" x14ac:dyDescent="0.35">
      <c r="B12" s="15" t="s">
        <v>223</v>
      </c>
      <c r="C12" s="14">
        <v>2.5907886090402999E-2</v>
      </c>
      <c r="D12" s="14">
        <v>3.8588072300531101E-2</v>
      </c>
      <c r="E12" s="14">
        <v>1.1726589552729001E-2</v>
      </c>
      <c r="F12" s="14"/>
      <c r="G12" s="14">
        <v>0</v>
      </c>
      <c r="H12" s="14">
        <v>4.1833870658646397E-2</v>
      </c>
      <c r="I12" s="14">
        <v>2.6371221921144598E-2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2.9202987657528701E-2</v>
      </c>
      <c r="P12" s="14">
        <v>0.12531668344568</v>
      </c>
      <c r="Q12" s="14">
        <v>0</v>
      </c>
      <c r="R12" s="14"/>
      <c r="S12" s="14">
        <v>0</v>
      </c>
      <c r="T12" s="14">
        <v>5.4000065538697399E-2</v>
      </c>
      <c r="U12" s="14">
        <v>0</v>
      </c>
      <c r="V12" s="14">
        <v>8.94199512026604E-2</v>
      </c>
      <c r="W12" s="14">
        <v>0</v>
      </c>
      <c r="X12" s="14">
        <v>9.1927908039331999E-2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8.3542438600812605E-2</v>
      </c>
      <c r="AE12" s="14">
        <v>0</v>
      </c>
      <c r="AF12" s="14">
        <v>3.7690232957227801E-2</v>
      </c>
      <c r="AG12" s="14">
        <v>0</v>
      </c>
      <c r="AH12" s="14"/>
      <c r="AI12" s="14">
        <v>0</v>
      </c>
      <c r="AJ12" s="14">
        <v>0.14616836522669299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1.13408874366895E-2</v>
      </c>
      <c r="AQ12" s="14">
        <v>3.9798334796884598E-2</v>
      </c>
      <c r="AR12" s="14"/>
      <c r="AS12" s="14">
        <v>2.5907886090402999E-2</v>
      </c>
      <c r="AT12" s="14" t="s">
        <v>88</v>
      </c>
      <c r="AU12" s="14" t="s">
        <v>88</v>
      </c>
      <c r="AV12" s="14"/>
      <c r="AW12" s="14">
        <v>1.93038741855526E-2</v>
      </c>
      <c r="AX12" s="14">
        <v>4.5833354510671602E-2</v>
      </c>
      <c r="AY12" s="14"/>
      <c r="AZ12" s="14">
        <v>2.3819472042391099E-2</v>
      </c>
      <c r="BA12" s="14">
        <v>3.8249917350566098E-2</v>
      </c>
    </row>
    <row r="13" spans="2:53" x14ac:dyDescent="0.35">
      <c r="B13" s="15" t="s">
        <v>116</v>
      </c>
      <c r="C13" s="18">
        <v>3.5533236967058998E-2</v>
      </c>
      <c r="D13" s="18">
        <v>9.8450702200763903E-3</v>
      </c>
      <c r="E13" s="18">
        <v>6.4262429434059604E-2</v>
      </c>
      <c r="F13" s="18"/>
      <c r="G13" s="18">
        <v>0</v>
      </c>
      <c r="H13" s="18">
        <v>5.0983338263109503E-2</v>
      </c>
      <c r="I13" s="18">
        <v>1.16534341083074E-2</v>
      </c>
      <c r="J13" s="18">
        <v>0.12472742447834199</v>
      </c>
      <c r="K13" s="18">
        <v>0</v>
      </c>
      <c r="L13" s="18" t="s">
        <v>88</v>
      </c>
      <c r="M13" s="18"/>
      <c r="N13" s="18">
        <v>2.6173348767257999E-2</v>
      </c>
      <c r="O13" s="18">
        <v>0</v>
      </c>
      <c r="P13" s="18">
        <v>0.14759666035235899</v>
      </c>
      <c r="Q13" s="18">
        <v>2.34207788831809E-2</v>
      </c>
      <c r="R13" s="18"/>
      <c r="S13" s="18">
        <v>1.6792370547456199E-2</v>
      </c>
      <c r="T13" s="18">
        <v>0</v>
      </c>
      <c r="U13" s="18">
        <v>5.1491547310852898E-2</v>
      </c>
      <c r="V13" s="18">
        <v>0</v>
      </c>
      <c r="W13" s="18">
        <v>0</v>
      </c>
      <c r="X13" s="18">
        <v>0</v>
      </c>
      <c r="Y13" s="18">
        <v>6.7235245101339797E-2</v>
      </c>
      <c r="Z13" s="18">
        <v>0.22885591790531801</v>
      </c>
      <c r="AA13" s="18">
        <v>7.0336122590283295E-2</v>
      </c>
      <c r="AB13" s="18"/>
      <c r="AC13" s="18">
        <v>5.4437683680848198E-2</v>
      </c>
      <c r="AD13" s="18">
        <v>7.9757533375943906E-2</v>
      </c>
      <c r="AE13" s="18">
        <v>2.2873001026909201E-2</v>
      </c>
      <c r="AF13" s="18">
        <v>2.4244509539947501E-2</v>
      </c>
      <c r="AG13" s="18">
        <v>0</v>
      </c>
      <c r="AH13" s="18"/>
      <c r="AI13" s="18">
        <v>2.78368430878011E-2</v>
      </c>
      <c r="AJ13" s="18">
        <v>2.0423134119458501E-2</v>
      </c>
      <c r="AK13" s="18">
        <v>0</v>
      </c>
      <c r="AL13" s="18">
        <v>8.9466817446165803E-2</v>
      </c>
      <c r="AM13" s="18">
        <v>0.17098755639403199</v>
      </c>
      <c r="AN13" s="18">
        <v>0</v>
      </c>
      <c r="AO13" s="18"/>
      <c r="AP13" s="18">
        <v>0</v>
      </c>
      <c r="AQ13" s="18">
        <v>6.9416167637912293E-2</v>
      </c>
      <c r="AR13" s="18"/>
      <c r="AS13" s="18">
        <v>3.5533236967058998E-2</v>
      </c>
      <c r="AT13" s="18" t="s">
        <v>88</v>
      </c>
      <c r="AU13" s="18" t="s">
        <v>88</v>
      </c>
      <c r="AV13" s="18"/>
      <c r="AW13" s="18">
        <v>5.03774450389061E-2</v>
      </c>
      <c r="AX13" s="18">
        <v>0</v>
      </c>
      <c r="AY13" s="18"/>
      <c r="AZ13" s="18">
        <v>2.4558423546991601E-2</v>
      </c>
      <c r="BA13" s="18">
        <v>0.100391778995098</v>
      </c>
    </row>
    <row r="14" spans="2:53" x14ac:dyDescent="0.35">
      <c r="B14" s="26" t="s">
        <v>224</v>
      </c>
      <c r="C14" s="27">
        <v>0.79817802108638103</v>
      </c>
      <c r="D14" s="27">
        <v>0.83620861077077102</v>
      </c>
      <c r="E14" s="27">
        <v>0.75564528056667501</v>
      </c>
      <c r="F14" s="27"/>
      <c r="G14" s="27">
        <v>0.84132875536490304</v>
      </c>
      <c r="H14" s="27">
        <v>0.84815468679033701</v>
      </c>
      <c r="I14" s="27">
        <v>0.78975393168034402</v>
      </c>
      <c r="J14" s="27">
        <v>0.780950350276303</v>
      </c>
      <c r="K14" s="27">
        <v>0.63197884145056904</v>
      </c>
      <c r="L14" s="27" t="s">
        <v>88</v>
      </c>
      <c r="M14" s="27"/>
      <c r="N14" s="27">
        <v>0.81786807486037605</v>
      </c>
      <c r="O14" s="27">
        <v>0.73014578941917496</v>
      </c>
      <c r="P14" s="27">
        <v>0.67426071885587002</v>
      </c>
      <c r="Q14" s="27">
        <v>0.92030809107782796</v>
      </c>
      <c r="R14" s="27"/>
      <c r="S14" s="27">
        <v>0.82206944223383105</v>
      </c>
      <c r="T14" s="27">
        <v>0.834299972428167</v>
      </c>
      <c r="U14" s="27">
        <v>0.80816904952118895</v>
      </c>
      <c r="V14" s="27">
        <v>0.726098106165461</v>
      </c>
      <c r="W14" s="27">
        <v>0.91899495863805303</v>
      </c>
      <c r="X14" s="27">
        <v>0.77180283171526598</v>
      </c>
      <c r="Y14" s="27">
        <v>0.78889186106299602</v>
      </c>
      <c r="Z14" s="27">
        <v>0.684416423460393</v>
      </c>
      <c r="AA14" s="27">
        <v>0.79950609409364604</v>
      </c>
      <c r="AB14" s="27"/>
      <c r="AC14" s="27">
        <v>0.945562316319152</v>
      </c>
      <c r="AD14" s="27">
        <v>0.62360006739107099</v>
      </c>
      <c r="AE14" s="27">
        <v>0.80341231536754198</v>
      </c>
      <c r="AF14" s="27">
        <v>0.80198401317039902</v>
      </c>
      <c r="AG14" s="27">
        <v>0.95251399442199802</v>
      </c>
      <c r="AH14" s="27"/>
      <c r="AI14" s="27">
        <v>0.87527813686484901</v>
      </c>
      <c r="AJ14" s="27">
        <v>0.72965196683146405</v>
      </c>
      <c r="AK14" s="27">
        <v>0.66792544830614198</v>
      </c>
      <c r="AL14" s="27">
        <v>0.76761267828513902</v>
      </c>
      <c r="AM14" s="27">
        <v>0.79961011337602905</v>
      </c>
      <c r="AN14" s="27">
        <v>0.77458138362011497</v>
      </c>
      <c r="AO14" s="27"/>
      <c r="AP14" s="27">
        <v>0.83012954851063803</v>
      </c>
      <c r="AQ14" s="27">
        <v>0.76771045097596302</v>
      </c>
      <c r="AR14" s="27"/>
      <c r="AS14" s="27">
        <v>0.79817802108638103</v>
      </c>
      <c r="AT14" s="27" t="s">
        <v>88</v>
      </c>
      <c r="AU14" s="27" t="s">
        <v>88</v>
      </c>
      <c r="AV14" s="27"/>
      <c r="AW14" s="27">
        <v>0.78132873460510799</v>
      </c>
      <c r="AX14" s="27">
        <v>0.822572841932659</v>
      </c>
      <c r="AY14" s="27"/>
      <c r="AZ14" s="27">
        <v>0.80540812947108797</v>
      </c>
      <c r="BA14" s="27">
        <v>0.75544979687080105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BA18"/>
  <sheetViews>
    <sheetView showGridLines="0" topLeftCell="A5" workbookViewId="0">
      <pane xSplit="2" topLeftCell="C1" activePane="topRight" state="frozen"/>
      <selection pane="topRight" activeCell="B13" sqref="B13: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195</v>
      </c>
      <c r="D7" s="10">
        <v>87</v>
      </c>
      <c r="E7" s="10">
        <v>108</v>
      </c>
      <c r="F7" s="10"/>
      <c r="G7" s="10">
        <v>4</v>
      </c>
      <c r="H7" s="10">
        <v>70</v>
      </c>
      <c r="I7" s="10">
        <v>93</v>
      </c>
      <c r="J7" s="10">
        <v>21</v>
      </c>
      <c r="K7" s="10">
        <v>7</v>
      </c>
      <c r="L7" s="10" t="s">
        <v>87</v>
      </c>
      <c r="M7" s="10"/>
      <c r="N7" s="10">
        <v>102</v>
      </c>
      <c r="O7" s="10">
        <v>46</v>
      </c>
      <c r="P7" s="10">
        <v>18</v>
      </c>
      <c r="Q7" s="10">
        <v>29</v>
      </c>
      <c r="R7" s="10"/>
      <c r="S7" s="10">
        <v>51</v>
      </c>
      <c r="T7" s="10">
        <v>26</v>
      </c>
      <c r="U7" s="10">
        <v>23</v>
      </c>
      <c r="V7" s="10">
        <v>21</v>
      </c>
      <c r="W7" s="10">
        <v>10</v>
      </c>
      <c r="X7" s="10">
        <v>17</v>
      </c>
      <c r="Y7" s="10">
        <v>18</v>
      </c>
      <c r="Z7" s="10">
        <v>10</v>
      </c>
      <c r="AA7" s="10">
        <v>19</v>
      </c>
      <c r="AB7" s="10"/>
      <c r="AC7" s="10">
        <v>15</v>
      </c>
      <c r="AD7" s="10">
        <v>23</v>
      </c>
      <c r="AE7" s="10">
        <v>74</v>
      </c>
      <c r="AF7" s="10">
        <v>51</v>
      </c>
      <c r="AG7" s="10">
        <v>16</v>
      </c>
      <c r="AH7" s="10"/>
      <c r="AI7" s="10">
        <v>86</v>
      </c>
      <c r="AJ7" s="10">
        <v>34</v>
      </c>
      <c r="AK7" s="10">
        <v>21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92</v>
      </c>
      <c r="AR7" s="10"/>
      <c r="AS7" s="10">
        <v>195</v>
      </c>
      <c r="AT7" s="10" t="s">
        <v>87</v>
      </c>
      <c r="AU7" s="10" t="s">
        <v>87</v>
      </c>
      <c r="AV7" s="10"/>
      <c r="AW7" s="10">
        <v>123</v>
      </c>
      <c r="AX7" s="10">
        <v>68</v>
      </c>
      <c r="AY7" s="10"/>
      <c r="AZ7" s="10">
        <v>168</v>
      </c>
      <c r="BA7" s="10">
        <v>27</v>
      </c>
    </row>
    <row r="8" spans="2:53" ht="30" customHeight="1" x14ac:dyDescent="0.35">
      <c r="B8" s="11" t="s">
        <v>19</v>
      </c>
      <c r="C8" s="11">
        <v>179</v>
      </c>
      <c r="D8" s="11">
        <v>94</v>
      </c>
      <c r="E8" s="11">
        <v>84</v>
      </c>
      <c r="F8" s="11"/>
      <c r="G8" s="11">
        <v>3</v>
      </c>
      <c r="H8" s="11">
        <v>53</v>
      </c>
      <c r="I8" s="11">
        <v>92</v>
      </c>
      <c r="J8" s="11">
        <v>21</v>
      </c>
      <c r="K8" s="11">
        <v>10</v>
      </c>
      <c r="L8" s="11" t="s">
        <v>87</v>
      </c>
      <c r="M8" s="11"/>
      <c r="N8" s="11">
        <v>60</v>
      </c>
      <c r="O8" s="11">
        <v>49</v>
      </c>
      <c r="P8" s="11">
        <v>25</v>
      </c>
      <c r="Q8" s="11">
        <v>44</v>
      </c>
      <c r="R8" s="11"/>
      <c r="S8" s="11">
        <v>39</v>
      </c>
      <c r="T8" s="11">
        <v>27</v>
      </c>
      <c r="U8" s="11">
        <v>30</v>
      </c>
      <c r="V8" s="11">
        <v>25</v>
      </c>
      <c r="W8" s="11">
        <v>8</v>
      </c>
      <c r="X8" s="11">
        <v>11</v>
      </c>
      <c r="Y8" s="11">
        <v>15</v>
      </c>
      <c r="Z8" s="11">
        <v>9</v>
      </c>
      <c r="AA8" s="11">
        <v>16</v>
      </c>
      <c r="AB8" s="11"/>
      <c r="AC8" s="11">
        <v>21</v>
      </c>
      <c r="AD8" s="11">
        <v>26</v>
      </c>
      <c r="AE8" s="11">
        <v>67</v>
      </c>
      <c r="AF8" s="11">
        <v>38</v>
      </c>
      <c r="AG8" s="11">
        <v>8</v>
      </c>
      <c r="AH8" s="11"/>
      <c r="AI8" s="11">
        <v>70</v>
      </c>
      <c r="AJ8" s="11">
        <v>32</v>
      </c>
      <c r="AK8" s="11">
        <v>21</v>
      </c>
      <c r="AL8" s="11">
        <v>25</v>
      </c>
      <c r="AM8" s="11">
        <v>9</v>
      </c>
      <c r="AN8" s="11">
        <v>13</v>
      </c>
      <c r="AO8" s="11"/>
      <c r="AP8" s="11">
        <v>87</v>
      </c>
      <c r="AQ8" s="11">
        <v>91</v>
      </c>
      <c r="AR8" s="11"/>
      <c r="AS8" s="11">
        <v>179</v>
      </c>
      <c r="AT8" s="11" t="s">
        <v>87</v>
      </c>
      <c r="AU8" s="11" t="s">
        <v>87</v>
      </c>
      <c r="AV8" s="11"/>
      <c r="AW8" s="11">
        <v>126</v>
      </c>
      <c r="AX8" s="11">
        <v>48</v>
      </c>
      <c r="AY8" s="11"/>
      <c r="AZ8" s="11">
        <v>153</v>
      </c>
      <c r="BA8" s="11">
        <v>26</v>
      </c>
    </row>
    <row r="9" spans="2:53" x14ac:dyDescent="0.35">
      <c r="B9" s="15" t="s">
        <v>226</v>
      </c>
      <c r="C9" s="14">
        <v>0.228878729408098</v>
      </c>
      <c r="D9" s="14">
        <v>0.227603969038702</v>
      </c>
      <c r="E9" s="14">
        <v>0.23030439891431001</v>
      </c>
      <c r="F9" s="14"/>
      <c r="G9" s="14">
        <v>0</v>
      </c>
      <c r="H9" s="14">
        <v>0.25105157339864997</v>
      </c>
      <c r="I9" s="14">
        <v>0.21797415416072</v>
      </c>
      <c r="J9" s="14">
        <v>0.234158713895673</v>
      </c>
      <c r="K9" s="14">
        <v>0.27837716453256101</v>
      </c>
      <c r="L9" s="14" t="s">
        <v>88</v>
      </c>
      <c r="M9" s="14"/>
      <c r="N9" s="14">
        <v>0.169713995590831</v>
      </c>
      <c r="O9" s="14">
        <v>0.197217808695307</v>
      </c>
      <c r="P9" s="14">
        <v>0.26621640636322202</v>
      </c>
      <c r="Q9" s="14">
        <v>0.32463873759224998</v>
      </c>
      <c r="R9" s="14"/>
      <c r="S9" s="14">
        <v>0.253024028783572</v>
      </c>
      <c r="T9" s="14">
        <v>0.15803256441222199</v>
      </c>
      <c r="U9" s="14">
        <v>0.15663793587223401</v>
      </c>
      <c r="V9" s="14">
        <v>0.308154815865401</v>
      </c>
      <c r="W9" s="14">
        <v>0.43380540309746601</v>
      </c>
      <c r="X9" s="14">
        <v>0.14472334495137401</v>
      </c>
      <c r="Y9" s="14">
        <v>0.20832161402664801</v>
      </c>
      <c r="Z9" s="14">
        <v>0.31343791759169498</v>
      </c>
      <c r="AA9" s="14">
        <v>0.22593921977689299</v>
      </c>
      <c r="AB9" s="14"/>
      <c r="AC9" s="14">
        <v>0.24294755327370099</v>
      </c>
      <c r="AD9" s="14">
        <v>0.11384046972695</v>
      </c>
      <c r="AE9" s="14">
        <v>0.25433402618884299</v>
      </c>
      <c r="AF9" s="14">
        <v>0.20742697031775201</v>
      </c>
      <c r="AG9" s="14">
        <v>0.42265004962141001</v>
      </c>
      <c r="AH9" s="14"/>
      <c r="AI9" s="14">
        <v>0.23301839260849999</v>
      </c>
      <c r="AJ9" s="14">
        <v>0.26312802783820299</v>
      </c>
      <c r="AK9" s="14">
        <v>0.18060367389286799</v>
      </c>
      <c r="AL9" s="14">
        <v>0.178350873303848</v>
      </c>
      <c r="AM9" s="14">
        <v>0.155342687593791</v>
      </c>
      <c r="AN9" s="14">
        <v>0.15577760235124799</v>
      </c>
      <c r="AO9" s="14"/>
      <c r="AP9" s="14">
        <v>0.243178154147345</v>
      </c>
      <c r="AQ9" s="14">
        <v>0.215243427408391</v>
      </c>
      <c r="AR9" s="14"/>
      <c r="AS9" s="14">
        <v>0.228878729408098</v>
      </c>
      <c r="AT9" s="14" t="s">
        <v>88</v>
      </c>
      <c r="AU9" s="14" t="s">
        <v>88</v>
      </c>
      <c r="AV9" s="14"/>
      <c r="AW9" s="14">
        <v>0.19753900673650199</v>
      </c>
      <c r="AX9" s="14">
        <v>0.27691695857798798</v>
      </c>
      <c r="AY9" s="14"/>
      <c r="AZ9" s="14">
        <v>0.23723411393760499</v>
      </c>
      <c r="BA9" s="14">
        <v>0.179500390303347</v>
      </c>
    </row>
    <row r="10" spans="2:53" x14ac:dyDescent="0.35">
      <c r="B10" s="15" t="s">
        <v>227</v>
      </c>
      <c r="C10" s="14">
        <v>0.49023785041140799</v>
      </c>
      <c r="D10" s="14">
        <v>0.49474963533412097</v>
      </c>
      <c r="E10" s="14">
        <v>0.485191949756408</v>
      </c>
      <c r="F10" s="14"/>
      <c r="G10" s="14">
        <v>0.56846163778720804</v>
      </c>
      <c r="H10" s="14">
        <v>0.43066374152460102</v>
      </c>
      <c r="I10" s="14">
        <v>0.56681564992601197</v>
      </c>
      <c r="J10" s="14">
        <v>0.33984779749397098</v>
      </c>
      <c r="K10" s="14">
        <v>0.38187470173358901</v>
      </c>
      <c r="L10" s="14" t="s">
        <v>88</v>
      </c>
      <c r="M10" s="14"/>
      <c r="N10" s="14">
        <v>0.63431752496319205</v>
      </c>
      <c r="O10" s="14">
        <v>0.543693284184532</v>
      </c>
      <c r="P10" s="14">
        <v>0.14552283160245999</v>
      </c>
      <c r="Q10" s="14">
        <v>0.43171002040027101</v>
      </c>
      <c r="R10" s="14"/>
      <c r="S10" s="14">
        <v>0.58176229557873205</v>
      </c>
      <c r="T10" s="14">
        <v>0.52642416212771004</v>
      </c>
      <c r="U10" s="14">
        <v>0.51818879315706701</v>
      </c>
      <c r="V10" s="14">
        <v>0.41362801752751899</v>
      </c>
      <c r="W10" s="14">
        <v>0.43369837833437203</v>
      </c>
      <c r="X10" s="14">
        <v>0.61221856737334701</v>
      </c>
      <c r="Y10" s="14">
        <v>0.45673001682795</v>
      </c>
      <c r="Z10" s="14">
        <v>0.250337458442209</v>
      </c>
      <c r="AA10" s="14">
        <v>0.38818517812083903</v>
      </c>
      <c r="AB10" s="14"/>
      <c r="AC10" s="14">
        <v>0.53345590098437601</v>
      </c>
      <c r="AD10" s="14">
        <v>0.33365490403794501</v>
      </c>
      <c r="AE10" s="14">
        <v>0.51771284182964805</v>
      </c>
      <c r="AF10" s="14">
        <v>0.606113351211646</v>
      </c>
      <c r="AG10" s="14">
        <v>0.48689572777350199</v>
      </c>
      <c r="AH10" s="14"/>
      <c r="AI10" s="14">
        <v>0.49434830802236801</v>
      </c>
      <c r="AJ10" s="14">
        <v>0.39914836423975197</v>
      </c>
      <c r="AK10" s="14">
        <v>0.51083841449005796</v>
      </c>
      <c r="AL10" s="14">
        <v>0.50265533939623197</v>
      </c>
      <c r="AM10" s="14">
        <v>0.37703546841700097</v>
      </c>
      <c r="AN10" s="14">
        <v>0.80416357475030598</v>
      </c>
      <c r="AO10" s="14"/>
      <c r="AP10" s="14">
        <v>0.52300788647079399</v>
      </c>
      <c r="AQ10" s="14">
        <v>0.458989786495618</v>
      </c>
      <c r="AR10" s="14"/>
      <c r="AS10" s="14">
        <v>0.49023785041140799</v>
      </c>
      <c r="AT10" s="14" t="s">
        <v>88</v>
      </c>
      <c r="AU10" s="14" t="s">
        <v>88</v>
      </c>
      <c r="AV10" s="14"/>
      <c r="AW10" s="14">
        <v>0.47941062578105198</v>
      </c>
      <c r="AX10" s="14">
        <v>0.54379658981562995</v>
      </c>
      <c r="AY10" s="14"/>
      <c r="AZ10" s="14">
        <v>0.47832767548500099</v>
      </c>
      <c r="BA10" s="14">
        <v>0.56062415689869205</v>
      </c>
    </row>
    <row r="11" spans="2:53" x14ac:dyDescent="0.35">
      <c r="B11" s="15" t="s">
        <v>228</v>
      </c>
      <c r="C11" s="14">
        <v>0.15498207283396001</v>
      </c>
      <c r="D11" s="14">
        <v>0.18782873322590499</v>
      </c>
      <c r="E11" s="14">
        <v>0.118246947373547</v>
      </c>
      <c r="F11" s="14"/>
      <c r="G11" s="14">
        <v>0</v>
      </c>
      <c r="H11" s="14">
        <v>0.24435504084441401</v>
      </c>
      <c r="I11" s="14">
        <v>9.6815542977024494E-2</v>
      </c>
      <c r="J11" s="14">
        <v>0.24245304511726201</v>
      </c>
      <c r="K11" s="14">
        <v>8.9999695546358893E-2</v>
      </c>
      <c r="L11" s="14" t="s">
        <v>88</v>
      </c>
      <c r="M11" s="14"/>
      <c r="N11" s="14">
        <v>9.5675048289952894E-2</v>
      </c>
      <c r="O11" s="14">
        <v>0.14659872742813601</v>
      </c>
      <c r="P11" s="14">
        <v>0.39248401817418299</v>
      </c>
      <c r="Q11" s="14">
        <v>0.107931535830971</v>
      </c>
      <c r="R11" s="14"/>
      <c r="S11" s="14">
        <v>8.9027775544896603E-2</v>
      </c>
      <c r="T11" s="14">
        <v>0.182857595679386</v>
      </c>
      <c r="U11" s="14">
        <v>0.110080308965899</v>
      </c>
      <c r="V11" s="14">
        <v>0.224503265297679</v>
      </c>
      <c r="W11" s="14">
        <v>0.13249621856816199</v>
      </c>
      <c r="X11" s="14">
        <v>0.13109614401511799</v>
      </c>
      <c r="Y11" s="14">
        <v>0.16026428074872801</v>
      </c>
      <c r="Z11" s="14">
        <v>0.20736870606077901</v>
      </c>
      <c r="AA11" s="14">
        <v>0.23506203441023499</v>
      </c>
      <c r="AB11" s="14"/>
      <c r="AC11" s="14">
        <v>0.169158862061075</v>
      </c>
      <c r="AD11" s="14">
        <v>0.29069840828732502</v>
      </c>
      <c r="AE11" s="14">
        <v>0.13231786958479999</v>
      </c>
      <c r="AF11" s="14">
        <v>8.7675911390102307E-2</v>
      </c>
      <c r="AG11" s="14">
        <v>4.29682170270861E-2</v>
      </c>
      <c r="AH11" s="14"/>
      <c r="AI11" s="14">
        <v>0.186044994266265</v>
      </c>
      <c r="AJ11" s="14">
        <v>0.204583225012964</v>
      </c>
      <c r="AK11" s="14">
        <v>6.7853278503882106E-2</v>
      </c>
      <c r="AL11" s="14">
        <v>0.16537696139285701</v>
      </c>
      <c r="AM11" s="14">
        <v>0.29663428759517502</v>
      </c>
      <c r="AN11" s="14">
        <v>0</v>
      </c>
      <c r="AO11" s="14"/>
      <c r="AP11" s="14">
        <v>0.16078883257396101</v>
      </c>
      <c r="AQ11" s="14">
        <v>0.149445002347667</v>
      </c>
      <c r="AR11" s="14"/>
      <c r="AS11" s="14">
        <v>0.15498207283396001</v>
      </c>
      <c r="AT11" s="14" t="s">
        <v>88</v>
      </c>
      <c r="AU11" s="14" t="s">
        <v>88</v>
      </c>
      <c r="AV11" s="14"/>
      <c r="AW11" s="14">
        <v>0.18474769378495401</v>
      </c>
      <c r="AX11" s="14">
        <v>7.3574757253706102E-2</v>
      </c>
      <c r="AY11" s="14"/>
      <c r="AZ11" s="14">
        <v>0.16285353426285401</v>
      </c>
      <c r="BA11" s="14">
        <v>0.108463604376487</v>
      </c>
    </row>
    <row r="12" spans="2:53" x14ac:dyDescent="0.35">
      <c r="B12" s="15" t="s">
        <v>229</v>
      </c>
      <c r="C12" s="14">
        <v>3.2067149697671403E-2</v>
      </c>
      <c r="D12" s="14">
        <v>4.1216316347099102E-2</v>
      </c>
      <c r="E12" s="14">
        <v>2.1834883138013302E-2</v>
      </c>
      <c r="F12" s="14"/>
      <c r="G12" s="14">
        <v>0</v>
      </c>
      <c r="H12" s="14">
        <v>0</v>
      </c>
      <c r="I12" s="14">
        <v>6.21079936623068E-2</v>
      </c>
      <c r="J12" s="14">
        <v>0</v>
      </c>
      <c r="K12" s="14">
        <v>0</v>
      </c>
      <c r="L12" s="14" t="s">
        <v>88</v>
      </c>
      <c r="M12" s="14"/>
      <c r="N12" s="14">
        <v>8.6781011297584892E-3</v>
      </c>
      <c r="O12" s="14">
        <v>2.9202987657528701E-2</v>
      </c>
      <c r="P12" s="14">
        <v>0</v>
      </c>
      <c r="Q12" s="14">
        <v>8.6269522733073603E-2</v>
      </c>
      <c r="R12" s="14"/>
      <c r="S12" s="14">
        <v>0</v>
      </c>
      <c r="T12" s="14">
        <v>5.4000065538697399E-2</v>
      </c>
      <c r="U12" s="14">
        <v>8.2750585128732596E-2</v>
      </c>
      <c r="V12" s="14">
        <v>5.3713901309401298E-2</v>
      </c>
      <c r="W12" s="14">
        <v>0</v>
      </c>
      <c r="X12" s="14">
        <v>4.85505134333531E-2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5.0183323092858702E-2</v>
      </c>
      <c r="AE12" s="14">
        <v>7.8559227519350606E-3</v>
      </c>
      <c r="AF12" s="14">
        <v>3.7690232957227801E-2</v>
      </c>
      <c r="AG12" s="14">
        <v>0</v>
      </c>
      <c r="AH12" s="14"/>
      <c r="AI12" s="14">
        <v>0</v>
      </c>
      <c r="AJ12" s="14">
        <v>4.5587062068262303E-2</v>
      </c>
      <c r="AK12" s="14">
        <v>0.117217828610614</v>
      </c>
      <c r="AL12" s="14">
        <v>0</v>
      </c>
      <c r="AM12" s="14">
        <v>0</v>
      </c>
      <c r="AN12" s="14">
        <v>4.0058822898445701E-2</v>
      </c>
      <c r="AO12" s="14"/>
      <c r="AP12" s="14">
        <v>3.4015117470197503E-2</v>
      </c>
      <c r="AQ12" s="14">
        <v>3.0209653375376198E-2</v>
      </c>
      <c r="AR12" s="14"/>
      <c r="AS12" s="14">
        <v>3.2067149697671403E-2</v>
      </c>
      <c r="AT12" s="14" t="s">
        <v>88</v>
      </c>
      <c r="AU12" s="14" t="s">
        <v>88</v>
      </c>
      <c r="AV12" s="14"/>
      <c r="AW12" s="14">
        <v>4.5463380466756402E-2</v>
      </c>
      <c r="AX12" s="14">
        <v>0</v>
      </c>
      <c r="AY12" s="14"/>
      <c r="AZ12" s="14">
        <v>2.8860097067686E-2</v>
      </c>
      <c r="BA12" s="14">
        <v>5.10200694263757E-2</v>
      </c>
    </row>
    <row r="13" spans="2:53" x14ac:dyDescent="0.35">
      <c r="B13" s="26" t="s">
        <v>116</v>
      </c>
      <c r="C13" s="23">
        <v>5.2093537344667602E-2</v>
      </c>
      <c r="D13" s="23">
        <v>9.8450702200763903E-3</v>
      </c>
      <c r="E13" s="23">
        <v>9.9343477576416594E-2</v>
      </c>
      <c r="F13" s="23"/>
      <c r="G13" s="23">
        <v>0</v>
      </c>
      <c r="H13" s="23">
        <v>6.3554381690703404E-2</v>
      </c>
      <c r="I13" s="23">
        <v>2.3298263553398799E-2</v>
      </c>
      <c r="J13" s="23">
        <v>0.18354044349309501</v>
      </c>
      <c r="K13" s="23">
        <v>0</v>
      </c>
      <c r="L13" s="23" t="s">
        <v>88</v>
      </c>
      <c r="M13" s="23"/>
      <c r="N13" s="23">
        <v>3.7137621001436902E-2</v>
      </c>
      <c r="O13" s="23">
        <v>2.1729667587390599E-2</v>
      </c>
      <c r="P13" s="23">
        <v>0.19577674386013499</v>
      </c>
      <c r="Q13" s="23">
        <v>2.34207788831809E-2</v>
      </c>
      <c r="R13" s="23"/>
      <c r="S13" s="23">
        <v>4.85878613753013E-2</v>
      </c>
      <c r="T13" s="23">
        <v>2.46855620847314E-2</v>
      </c>
      <c r="U13" s="23">
        <v>8.7861452167277407E-2</v>
      </c>
      <c r="V13" s="23">
        <v>0</v>
      </c>
      <c r="W13" s="23">
        <v>0</v>
      </c>
      <c r="X13" s="23">
        <v>0</v>
      </c>
      <c r="Y13" s="23">
        <v>6.7235245101339797E-2</v>
      </c>
      <c r="Z13" s="23">
        <v>0.22885591790531801</v>
      </c>
      <c r="AA13" s="23">
        <v>7.0336122590283295E-2</v>
      </c>
      <c r="AB13" s="23"/>
      <c r="AC13" s="23">
        <v>5.4437683680848198E-2</v>
      </c>
      <c r="AD13" s="23">
        <v>0.12062027388656101</v>
      </c>
      <c r="AE13" s="23">
        <v>3.2798499060981201E-2</v>
      </c>
      <c r="AF13" s="23">
        <v>5.6216018299128097E-2</v>
      </c>
      <c r="AG13" s="23">
        <v>0</v>
      </c>
      <c r="AH13" s="23"/>
      <c r="AI13" s="23">
        <v>5.4735066392966103E-2</v>
      </c>
      <c r="AJ13" s="23">
        <v>2.0423134119458501E-2</v>
      </c>
      <c r="AK13" s="23">
        <v>5.1518684338154E-2</v>
      </c>
      <c r="AL13" s="23">
        <v>8.9466817446165803E-2</v>
      </c>
      <c r="AM13" s="23">
        <v>0.17098755639403199</v>
      </c>
      <c r="AN13" s="23">
        <v>0</v>
      </c>
      <c r="AO13" s="23"/>
      <c r="AP13" s="23">
        <v>1.40421681488287E-2</v>
      </c>
      <c r="AQ13" s="23">
        <v>8.8377648065818298E-2</v>
      </c>
      <c r="AR13" s="23"/>
      <c r="AS13" s="23">
        <v>5.2093537344667602E-2</v>
      </c>
      <c r="AT13" s="23" t="s">
        <v>88</v>
      </c>
      <c r="AU13" s="23" t="s">
        <v>88</v>
      </c>
      <c r="AV13" s="23"/>
      <c r="AW13" s="23">
        <v>7.3855903330622003E-2</v>
      </c>
      <c r="AX13" s="23">
        <v>0</v>
      </c>
      <c r="AY13" s="23"/>
      <c r="AZ13" s="23">
        <v>4.3920917762783597E-2</v>
      </c>
      <c r="BA13" s="23">
        <v>0.100391778995098</v>
      </c>
    </row>
    <row r="14" spans="2:53" x14ac:dyDescent="0.35">
      <c r="B14" s="25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BA17"/>
  <sheetViews>
    <sheetView showGridLines="0" workbookViewId="0">
      <pane xSplit="2" topLeftCell="C1" activePane="topRight" state="frozen"/>
      <selection pane="topRight" activeCell="D11" sqref="D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195</v>
      </c>
      <c r="D7" s="10">
        <v>87</v>
      </c>
      <c r="E7" s="10">
        <v>108</v>
      </c>
      <c r="F7" s="10"/>
      <c r="G7" s="10">
        <v>4</v>
      </c>
      <c r="H7" s="10">
        <v>70</v>
      </c>
      <c r="I7" s="10">
        <v>93</v>
      </c>
      <c r="J7" s="10">
        <v>21</v>
      </c>
      <c r="K7" s="10">
        <v>7</v>
      </c>
      <c r="L7" s="10" t="s">
        <v>87</v>
      </c>
      <c r="M7" s="10"/>
      <c r="N7" s="10">
        <v>102</v>
      </c>
      <c r="O7" s="10">
        <v>46</v>
      </c>
      <c r="P7" s="10">
        <v>18</v>
      </c>
      <c r="Q7" s="10">
        <v>29</v>
      </c>
      <c r="R7" s="10"/>
      <c r="S7" s="10">
        <v>51</v>
      </c>
      <c r="T7" s="10">
        <v>26</v>
      </c>
      <c r="U7" s="10">
        <v>23</v>
      </c>
      <c r="V7" s="10">
        <v>21</v>
      </c>
      <c r="W7" s="10">
        <v>10</v>
      </c>
      <c r="X7" s="10">
        <v>17</v>
      </c>
      <c r="Y7" s="10">
        <v>18</v>
      </c>
      <c r="Z7" s="10">
        <v>10</v>
      </c>
      <c r="AA7" s="10">
        <v>19</v>
      </c>
      <c r="AB7" s="10"/>
      <c r="AC7" s="10">
        <v>15</v>
      </c>
      <c r="AD7" s="10">
        <v>23</v>
      </c>
      <c r="AE7" s="10">
        <v>74</v>
      </c>
      <c r="AF7" s="10">
        <v>51</v>
      </c>
      <c r="AG7" s="10">
        <v>16</v>
      </c>
      <c r="AH7" s="10"/>
      <c r="AI7" s="10">
        <v>86</v>
      </c>
      <c r="AJ7" s="10">
        <v>34</v>
      </c>
      <c r="AK7" s="10">
        <v>21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92</v>
      </c>
      <c r="AR7" s="10"/>
      <c r="AS7" s="10">
        <v>195</v>
      </c>
      <c r="AT7" s="10" t="s">
        <v>87</v>
      </c>
      <c r="AU7" s="10" t="s">
        <v>87</v>
      </c>
      <c r="AV7" s="10"/>
      <c r="AW7" s="10">
        <v>123</v>
      </c>
      <c r="AX7" s="10">
        <v>68</v>
      </c>
      <c r="AY7" s="10"/>
      <c r="AZ7" s="10">
        <v>168</v>
      </c>
      <c r="BA7" s="10">
        <v>27</v>
      </c>
    </row>
    <row r="8" spans="2:53" ht="30" customHeight="1" x14ac:dyDescent="0.35">
      <c r="B8" s="11" t="s">
        <v>19</v>
      </c>
      <c r="C8" s="11">
        <v>179</v>
      </c>
      <c r="D8" s="11">
        <v>94</v>
      </c>
      <c r="E8" s="11">
        <v>84</v>
      </c>
      <c r="F8" s="11"/>
      <c r="G8" s="11">
        <v>3</v>
      </c>
      <c r="H8" s="11">
        <v>53</v>
      </c>
      <c r="I8" s="11">
        <v>92</v>
      </c>
      <c r="J8" s="11">
        <v>21</v>
      </c>
      <c r="K8" s="11">
        <v>10</v>
      </c>
      <c r="L8" s="11" t="s">
        <v>87</v>
      </c>
      <c r="M8" s="11"/>
      <c r="N8" s="11">
        <v>60</v>
      </c>
      <c r="O8" s="11">
        <v>49</v>
      </c>
      <c r="P8" s="11">
        <v>25</v>
      </c>
      <c r="Q8" s="11">
        <v>44</v>
      </c>
      <c r="R8" s="11"/>
      <c r="S8" s="11">
        <v>39</v>
      </c>
      <c r="T8" s="11">
        <v>27</v>
      </c>
      <c r="U8" s="11">
        <v>30</v>
      </c>
      <c r="V8" s="11">
        <v>25</v>
      </c>
      <c r="W8" s="11">
        <v>8</v>
      </c>
      <c r="X8" s="11">
        <v>11</v>
      </c>
      <c r="Y8" s="11">
        <v>15</v>
      </c>
      <c r="Z8" s="11">
        <v>9</v>
      </c>
      <c r="AA8" s="11">
        <v>16</v>
      </c>
      <c r="AB8" s="11"/>
      <c r="AC8" s="11">
        <v>21</v>
      </c>
      <c r="AD8" s="11">
        <v>26</v>
      </c>
      <c r="AE8" s="11">
        <v>67</v>
      </c>
      <c r="AF8" s="11">
        <v>38</v>
      </c>
      <c r="AG8" s="11">
        <v>8</v>
      </c>
      <c r="AH8" s="11"/>
      <c r="AI8" s="11">
        <v>70</v>
      </c>
      <c r="AJ8" s="11">
        <v>32</v>
      </c>
      <c r="AK8" s="11">
        <v>21</v>
      </c>
      <c r="AL8" s="11">
        <v>25</v>
      </c>
      <c r="AM8" s="11">
        <v>9</v>
      </c>
      <c r="AN8" s="11">
        <v>13</v>
      </c>
      <c r="AO8" s="11"/>
      <c r="AP8" s="11">
        <v>87</v>
      </c>
      <c r="AQ8" s="11">
        <v>91</v>
      </c>
      <c r="AR8" s="11"/>
      <c r="AS8" s="11">
        <v>179</v>
      </c>
      <c r="AT8" s="11" t="s">
        <v>87</v>
      </c>
      <c r="AU8" s="11" t="s">
        <v>87</v>
      </c>
      <c r="AV8" s="11"/>
      <c r="AW8" s="11">
        <v>126</v>
      </c>
      <c r="AX8" s="11">
        <v>48</v>
      </c>
      <c r="AY8" s="11"/>
      <c r="AZ8" s="11">
        <v>153</v>
      </c>
      <c r="BA8" s="11">
        <v>26</v>
      </c>
    </row>
    <row r="9" spans="2:53" ht="29" x14ac:dyDescent="0.35">
      <c r="B9" s="15" t="s">
        <v>231</v>
      </c>
      <c r="C9" s="14">
        <v>0.147647036714948</v>
      </c>
      <c r="D9" s="14">
        <v>0.19314434158058699</v>
      </c>
      <c r="E9" s="14">
        <v>9.6763653673677799E-2</v>
      </c>
      <c r="F9" s="14"/>
      <c r="G9" s="14">
        <v>0.272867117577695</v>
      </c>
      <c r="H9" s="14">
        <v>0.20209213290917999</v>
      </c>
      <c r="I9" s="14">
        <v>0.16121707777869901</v>
      </c>
      <c r="J9" s="14">
        <v>0</v>
      </c>
      <c r="K9" s="14">
        <v>0</v>
      </c>
      <c r="L9" s="14" t="s">
        <v>88</v>
      </c>
      <c r="M9" s="14"/>
      <c r="N9" s="14">
        <v>0.14454459884971499</v>
      </c>
      <c r="O9" s="14">
        <v>0.111445343550563</v>
      </c>
      <c r="P9" s="14">
        <v>0.101006034292073</v>
      </c>
      <c r="Q9" s="14">
        <v>0.22012884275904099</v>
      </c>
      <c r="R9" s="14"/>
      <c r="S9" s="14">
        <v>0.19807387040353</v>
      </c>
      <c r="T9" s="14">
        <v>0.14837715465557</v>
      </c>
      <c r="U9" s="14">
        <v>5.9488566452778002E-2</v>
      </c>
      <c r="V9" s="14">
        <v>0.29707254084958001</v>
      </c>
      <c r="W9" s="14">
        <v>4.0556009108588503E-2</v>
      </c>
      <c r="X9" s="14">
        <v>0.31746806360986002</v>
      </c>
      <c r="Y9" s="14">
        <v>0.118228205394633</v>
      </c>
      <c r="Z9" s="14">
        <v>0</v>
      </c>
      <c r="AA9" s="14">
        <v>1.13704218754547E-2</v>
      </c>
      <c r="AB9" s="14"/>
      <c r="AC9" s="14">
        <v>8.2764697894472994E-2</v>
      </c>
      <c r="AD9" s="14">
        <v>0</v>
      </c>
      <c r="AE9" s="14">
        <v>0.19375616252077699</v>
      </c>
      <c r="AF9" s="14">
        <v>0.25436396423987101</v>
      </c>
      <c r="AG9" s="14">
        <v>0.26494937902371102</v>
      </c>
      <c r="AH9" s="14"/>
      <c r="AI9" s="14">
        <v>0.164692930689012</v>
      </c>
      <c r="AJ9" s="14">
        <v>0.28311569444981899</v>
      </c>
      <c r="AK9" s="14">
        <v>6.54511794093494E-2</v>
      </c>
      <c r="AL9" s="14">
        <v>7.49304774402197E-3</v>
      </c>
      <c r="AM9" s="14">
        <v>3.6405658495633E-2</v>
      </c>
      <c r="AN9" s="14">
        <v>0.30673704384807698</v>
      </c>
      <c r="AO9" s="14"/>
      <c r="AP9" s="14">
        <v>0.163014282276226</v>
      </c>
      <c r="AQ9" s="14">
        <v>0.13299350778265701</v>
      </c>
      <c r="AR9" s="14"/>
      <c r="AS9" s="14">
        <v>0.147647036714948</v>
      </c>
      <c r="AT9" s="14" t="s">
        <v>88</v>
      </c>
      <c r="AU9" s="14" t="s">
        <v>88</v>
      </c>
      <c r="AV9" s="14"/>
      <c r="AW9" s="14">
        <v>9.5442859911650399E-2</v>
      </c>
      <c r="AX9" s="14">
        <v>0.29951559554669699</v>
      </c>
      <c r="AY9" s="14"/>
      <c r="AZ9" s="14">
        <v>0.17140802205029301</v>
      </c>
      <c r="BA9" s="14">
        <v>7.2252539462125502E-3</v>
      </c>
    </row>
    <row r="10" spans="2:53" ht="29" x14ac:dyDescent="0.35">
      <c r="B10" s="15" t="s">
        <v>232</v>
      </c>
      <c r="C10" s="14">
        <v>0.68653815249110495</v>
      </c>
      <c r="D10" s="14">
        <v>0.65321422827032805</v>
      </c>
      <c r="E10" s="14">
        <v>0.72380704139719698</v>
      </c>
      <c r="F10" s="14"/>
      <c r="G10" s="14">
        <v>0.727132882422305</v>
      </c>
      <c r="H10" s="14">
        <v>0.58621244323592103</v>
      </c>
      <c r="I10" s="14">
        <v>0.68699688528704705</v>
      </c>
      <c r="J10" s="14">
        <v>0.78339868678289504</v>
      </c>
      <c r="K10" s="14">
        <v>1</v>
      </c>
      <c r="L10" s="14" t="s">
        <v>88</v>
      </c>
      <c r="M10" s="14"/>
      <c r="N10" s="14">
        <v>0.70631437062207003</v>
      </c>
      <c r="O10" s="14">
        <v>0.706541026979152</v>
      </c>
      <c r="P10" s="14">
        <v>0.52931723730000602</v>
      </c>
      <c r="Q10" s="14">
        <v>0.72818920738167103</v>
      </c>
      <c r="R10" s="14"/>
      <c r="S10" s="14">
        <v>0.67581569343813097</v>
      </c>
      <c r="T10" s="14">
        <v>0.64504578540826696</v>
      </c>
      <c r="U10" s="14">
        <v>0.80017202227138495</v>
      </c>
      <c r="V10" s="14">
        <v>0.61350750794775899</v>
      </c>
      <c r="W10" s="14">
        <v>0.727740312982608</v>
      </c>
      <c r="X10" s="14">
        <v>0.63398142295678706</v>
      </c>
      <c r="Y10" s="14">
        <v>0.59487507374728799</v>
      </c>
      <c r="Z10" s="14">
        <v>0.77114408209468199</v>
      </c>
      <c r="AA10" s="14">
        <v>0.73767293214296803</v>
      </c>
      <c r="AB10" s="14"/>
      <c r="AC10" s="14">
        <v>0.86279761842467895</v>
      </c>
      <c r="AD10" s="14">
        <v>0.63624774712524701</v>
      </c>
      <c r="AE10" s="14">
        <v>0.68672023311652097</v>
      </c>
      <c r="AF10" s="14">
        <v>0.58839532913715398</v>
      </c>
      <c r="AG10" s="14">
        <v>0.42034021448796999</v>
      </c>
      <c r="AH10" s="14"/>
      <c r="AI10" s="14">
        <v>0.71477071325568198</v>
      </c>
      <c r="AJ10" s="14">
        <v>0.54397297853767701</v>
      </c>
      <c r="AK10" s="14">
        <v>0.82002201142369002</v>
      </c>
      <c r="AL10" s="14">
        <v>0.72184469598404899</v>
      </c>
      <c r="AM10" s="14">
        <v>0.76208017414036799</v>
      </c>
      <c r="AN10" s="14">
        <v>0.47215396625400302</v>
      </c>
      <c r="AO10" s="14"/>
      <c r="AP10" s="14">
        <v>0.70591075687585902</v>
      </c>
      <c r="AQ10" s="14">
        <v>0.668065289692509</v>
      </c>
      <c r="AR10" s="14"/>
      <c r="AS10" s="14">
        <v>0.68653815249110495</v>
      </c>
      <c r="AT10" s="14" t="s">
        <v>88</v>
      </c>
      <c r="AU10" s="14" t="s">
        <v>88</v>
      </c>
      <c r="AV10" s="14"/>
      <c r="AW10" s="14">
        <v>0.72390384311692202</v>
      </c>
      <c r="AX10" s="14">
        <v>0.557329727273699</v>
      </c>
      <c r="AY10" s="14"/>
      <c r="AZ10" s="14">
        <v>0.66527136953795796</v>
      </c>
      <c r="BA10" s="14">
        <v>0.81221979127375199</v>
      </c>
    </row>
    <row r="11" spans="2:53" ht="29" x14ac:dyDescent="0.35">
      <c r="B11" s="15" t="s">
        <v>233</v>
      </c>
      <c r="C11" s="14">
        <v>9.08884963220285E-2</v>
      </c>
      <c r="D11" s="14">
        <v>0.10819980240892201</v>
      </c>
      <c r="E11" s="14">
        <v>7.15278370222001E-2</v>
      </c>
      <c r="F11" s="14"/>
      <c r="G11" s="14">
        <v>0</v>
      </c>
      <c r="H11" s="14">
        <v>0.12120923510123</v>
      </c>
      <c r="I11" s="14">
        <v>9.2580633999523404E-2</v>
      </c>
      <c r="J11" s="14">
        <v>6.4122192653657206E-2</v>
      </c>
      <c r="K11" s="14">
        <v>0</v>
      </c>
      <c r="L11" s="14" t="s">
        <v>88</v>
      </c>
      <c r="M11" s="14"/>
      <c r="N11" s="14">
        <v>9.2243713568123095E-2</v>
      </c>
      <c r="O11" s="14">
        <v>0.11240217458417701</v>
      </c>
      <c r="P11" s="14">
        <v>0.15332150081919499</v>
      </c>
      <c r="Q11" s="14">
        <v>2.8261170976106399E-2</v>
      </c>
      <c r="R11" s="14"/>
      <c r="S11" s="14">
        <v>9.4314945330493602E-2</v>
      </c>
      <c r="T11" s="14">
        <v>0.10543963373913399</v>
      </c>
      <c r="U11" s="14">
        <v>5.9488566452778002E-2</v>
      </c>
      <c r="V11" s="14">
        <v>8.94199512026604E-2</v>
      </c>
      <c r="W11" s="14">
        <v>0.231703677908804</v>
      </c>
      <c r="X11" s="14">
        <v>0</v>
      </c>
      <c r="Y11" s="14">
        <v>0.17132673445934099</v>
      </c>
      <c r="Z11" s="14">
        <v>0</v>
      </c>
      <c r="AA11" s="14">
        <v>8.1259844018338495E-2</v>
      </c>
      <c r="AB11" s="14"/>
      <c r="AC11" s="14">
        <v>0</v>
      </c>
      <c r="AD11" s="14">
        <v>0.13433158255446701</v>
      </c>
      <c r="AE11" s="14">
        <v>7.8419149914637096E-2</v>
      </c>
      <c r="AF11" s="14">
        <v>0.10102468832384701</v>
      </c>
      <c r="AG11" s="14">
        <v>0.14037686145574199</v>
      </c>
      <c r="AH11" s="14"/>
      <c r="AI11" s="14">
        <v>2.3914538642093901E-2</v>
      </c>
      <c r="AJ11" s="14">
        <v>0.172911327012504</v>
      </c>
      <c r="AK11" s="14">
        <v>0</v>
      </c>
      <c r="AL11" s="14">
        <v>0.14845635734589799</v>
      </c>
      <c r="AM11" s="14">
        <v>0.20151416736399899</v>
      </c>
      <c r="AN11" s="14">
        <v>0.18105016699947499</v>
      </c>
      <c r="AO11" s="14"/>
      <c r="AP11" s="14">
        <v>0.10168321424922799</v>
      </c>
      <c r="AQ11" s="14">
        <v>8.0595128468213803E-2</v>
      </c>
      <c r="AR11" s="14"/>
      <c r="AS11" s="14">
        <v>9.08884963220285E-2</v>
      </c>
      <c r="AT11" s="14" t="s">
        <v>88</v>
      </c>
      <c r="AU11" s="14" t="s">
        <v>88</v>
      </c>
      <c r="AV11" s="14"/>
      <c r="AW11" s="14">
        <v>8.0903475968943594E-2</v>
      </c>
      <c r="AX11" s="14">
        <v>0.12611921290703501</v>
      </c>
      <c r="AY11" s="14"/>
      <c r="AZ11" s="14">
        <v>8.2750828830692402E-2</v>
      </c>
      <c r="BA11" s="14">
        <v>0.13898017941451399</v>
      </c>
    </row>
    <row r="12" spans="2:53" x14ac:dyDescent="0.35">
      <c r="B12" s="26" t="s">
        <v>116</v>
      </c>
      <c r="C12" s="23">
        <v>7.4926314471918304E-2</v>
      </c>
      <c r="D12" s="23">
        <v>4.5441627740163699E-2</v>
      </c>
      <c r="E12" s="23">
        <v>0.10790146790692499</v>
      </c>
      <c r="F12" s="23"/>
      <c r="G12" s="23">
        <v>0</v>
      </c>
      <c r="H12" s="23">
        <v>9.0486188753668206E-2</v>
      </c>
      <c r="I12" s="23">
        <v>5.9205402934730401E-2</v>
      </c>
      <c r="J12" s="23">
        <v>0.15247912056344801</v>
      </c>
      <c r="K12" s="23">
        <v>0</v>
      </c>
      <c r="L12" s="23" t="s">
        <v>88</v>
      </c>
      <c r="M12" s="23"/>
      <c r="N12" s="23">
        <v>5.6897316960091697E-2</v>
      </c>
      <c r="O12" s="23">
        <v>6.9611454886108606E-2</v>
      </c>
      <c r="P12" s="23">
        <v>0.216355227588726</v>
      </c>
      <c r="Q12" s="23">
        <v>2.34207788831809E-2</v>
      </c>
      <c r="R12" s="23"/>
      <c r="S12" s="23">
        <v>3.1795490827845101E-2</v>
      </c>
      <c r="T12" s="23">
        <v>0.10113742619702901</v>
      </c>
      <c r="U12" s="23">
        <v>8.0850844823058807E-2</v>
      </c>
      <c r="V12" s="23">
        <v>0</v>
      </c>
      <c r="W12" s="23">
        <v>0</v>
      </c>
      <c r="X12" s="23">
        <v>4.85505134333531E-2</v>
      </c>
      <c r="Y12" s="23">
        <v>0.115569986398739</v>
      </c>
      <c r="Z12" s="23">
        <v>0.22885591790531801</v>
      </c>
      <c r="AA12" s="23">
        <v>0.169696801963239</v>
      </c>
      <c r="AB12" s="23"/>
      <c r="AC12" s="23">
        <v>5.4437683680848198E-2</v>
      </c>
      <c r="AD12" s="23">
        <v>0.22942067032028701</v>
      </c>
      <c r="AE12" s="23">
        <v>4.1104454448065403E-2</v>
      </c>
      <c r="AF12" s="23">
        <v>5.6216018299128097E-2</v>
      </c>
      <c r="AG12" s="23">
        <v>0.174333545032577</v>
      </c>
      <c r="AH12" s="23"/>
      <c r="AI12" s="23">
        <v>9.6621817413212602E-2</v>
      </c>
      <c r="AJ12" s="23">
        <v>0</v>
      </c>
      <c r="AK12" s="23">
        <v>0.11452680916695999</v>
      </c>
      <c r="AL12" s="23">
        <v>0.122205898926031</v>
      </c>
      <c r="AM12" s="23">
        <v>0</v>
      </c>
      <c r="AN12" s="23">
        <v>4.0058822898445701E-2</v>
      </c>
      <c r="AO12" s="23"/>
      <c r="AP12" s="23">
        <v>2.9391746598686701E-2</v>
      </c>
      <c r="AQ12" s="23">
        <v>0.118346074056621</v>
      </c>
      <c r="AR12" s="23"/>
      <c r="AS12" s="23">
        <v>7.4926314471918304E-2</v>
      </c>
      <c r="AT12" s="23" t="s">
        <v>88</v>
      </c>
      <c r="AU12" s="23" t="s">
        <v>88</v>
      </c>
      <c r="AV12" s="23"/>
      <c r="AW12" s="23">
        <v>9.9749821002484002E-2</v>
      </c>
      <c r="AX12" s="23">
        <v>1.7035464272568801E-2</v>
      </c>
      <c r="AY12" s="23"/>
      <c r="AZ12" s="23">
        <v>8.0569779581056003E-2</v>
      </c>
      <c r="BA12" s="23">
        <v>4.1574775365522003E-2</v>
      </c>
    </row>
    <row r="13" spans="2:53" x14ac:dyDescent="0.35">
      <c r="B13" s="25" t="s">
        <v>219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195</v>
      </c>
      <c r="D7" s="10">
        <v>87</v>
      </c>
      <c r="E7" s="10">
        <v>108</v>
      </c>
      <c r="F7" s="10"/>
      <c r="G7" s="10">
        <v>4</v>
      </c>
      <c r="H7" s="10">
        <v>70</v>
      </c>
      <c r="I7" s="10">
        <v>93</v>
      </c>
      <c r="J7" s="10">
        <v>21</v>
      </c>
      <c r="K7" s="10">
        <v>7</v>
      </c>
      <c r="L7" s="10" t="s">
        <v>87</v>
      </c>
      <c r="M7" s="10"/>
      <c r="N7" s="10">
        <v>102</v>
      </c>
      <c r="O7" s="10">
        <v>46</v>
      </c>
      <c r="P7" s="10">
        <v>18</v>
      </c>
      <c r="Q7" s="10">
        <v>29</v>
      </c>
      <c r="R7" s="10"/>
      <c r="S7" s="10">
        <v>51</v>
      </c>
      <c r="T7" s="10">
        <v>26</v>
      </c>
      <c r="U7" s="10">
        <v>23</v>
      </c>
      <c r="V7" s="10">
        <v>21</v>
      </c>
      <c r="W7" s="10">
        <v>10</v>
      </c>
      <c r="X7" s="10">
        <v>17</v>
      </c>
      <c r="Y7" s="10">
        <v>18</v>
      </c>
      <c r="Z7" s="10">
        <v>10</v>
      </c>
      <c r="AA7" s="10">
        <v>19</v>
      </c>
      <c r="AB7" s="10"/>
      <c r="AC7" s="10">
        <v>15</v>
      </c>
      <c r="AD7" s="10">
        <v>23</v>
      </c>
      <c r="AE7" s="10">
        <v>74</v>
      </c>
      <c r="AF7" s="10">
        <v>51</v>
      </c>
      <c r="AG7" s="10">
        <v>16</v>
      </c>
      <c r="AH7" s="10"/>
      <c r="AI7" s="10">
        <v>86</v>
      </c>
      <c r="AJ7" s="10">
        <v>34</v>
      </c>
      <c r="AK7" s="10">
        <v>21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92</v>
      </c>
      <c r="AR7" s="10"/>
      <c r="AS7" s="10">
        <v>195</v>
      </c>
      <c r="AT7" s="10" t="s">
        <v>87</v>
      </c>
      <c r="AU7" s="10" t="s">
        <v>87</v>
      </c>
      <c r="AV7" s="10"/>
      <c r="AW7" s="10">
        <v>123</v>
      </c>
      <c r="AX7" s="10">
        <v>68</v>
      </c>
      <c r="AY7" s="10"/>
      <c r="AZ7" s="10">
        <v>168</v>
      </c>
      <c r="BA7" s="10">
        <v>27</v>
      </c>
    </row>
    <row r="8" spans="2:53" ht="30" customHeight="1" x14ac:dyDescent="0.35">
      <c r="B8" s="11" t="s">
        <v>19</v>
      </c>
      <c r="C8" s="11">
        <v>179</v>
      </c>
      <c r="D8" s="11">
        <v>94</v>
      </c>
      <c r="E8" s="11">
        <v>84</v>
      </c>
      <c r="F8" s="11"/>
      <c r="G8" s="11">
        <v>3</v>
      </c>
      <c r="H8" s="11">
        <v>53</v>
      </c>
      <c r="I8" s="11">
        <v>92</v>
      </c>
      <c r="J8" s="11">
        <v>21</v>
      </c>
      <c r="K8" s="11">
        <v>10</v>
      </c>
      <c r="L8" s="11" t="s">
        <v>87</v>
      </c>
      <c r="M8" s="11"/>
      <c r="N8" s="11">
        <v>60</v>
      </c>
      <c r="O8" s="11">
        <v>49</v>
      </c>
      <c r="P8" s="11">
        <v>25</v>
      </c>
      <c r="Q8" s="11">
        <v>44</v>
      </c>
      <c r="R8" s="11"/>
      <c r="S8" s="11">
        <v>39</v>
      </c>
      <c r="T8" s="11">
        <v>27</v>
      </c>
      <c r="U8" s="11">
        <v>30</v>
      </c>
      <c r="V8" s="11">
        <v>25</v>
      </c>
      <c r="W8" s="11">
        <v>8</v>
      </c>
      <c r="X8" s="11">
        <v>11</v>
      </c>
      <c r="Y8" s="11">
        <v>15</v>
      </c>
      <c r="Z8" s="11">
        <v>9</v>
      </c>
      <c r="AA8" s="11">
        <v>16</v>
      </c>
      <c r="AB8" s="11"/>
      <c r="AC8" s="11">
        <v>21</v>
      </c>
      <c r="AD8" s="11">
        <v>26</v>
      </c>
      <c r="AE8" s="11">
        <v>67</v>
      </c>
      <c r="AF8" s="11">
        <v>38</v>
      </c>
      <c r="AG8" s="11">
        <v>8</v>
      </c>
      <c r="AH8" s="11"/>
      <c r="AI8" s="11">
        <v>70</v>
      </c>
      <c r="AJ8" s="11">
        <v>32</v>
      </c>
      <c r="AK8" s="11">
        <v>21</v>
      </c>
      <c r="AL8" s="11">
        <v>25</v>
      </c>
      <c r="AM8" s="11">
        <v>9</v>
      </c>
      <c r="AN8" s="11">
        <v>13</v>
      </c>
      <c r="AO8" s="11"/>
      <c r="AP8" s="11">
        <v>87</v>
      </c>
      <c r="AQ8" s="11">
        <v>91</v>
      </c>
      <c r="AR8" s="11"/>
      <c r="AS8" s="11">
        <v>179</v>
      </c>
      <c r="AT8" s="11" t="s">
        <v>87</v>
      </c>
      <c r="AU8" s="11" t="s">
        <v>87</v>
      </c>
      <c r="AV8" s="11"/>
      <c r="AW8" s="11">
        <v>126</v>
      </c>
      <c r="AX8" s="11">
        <v>48</v>
      </c>
      <c r="AY8" s="11"/>
      <c r="AZ8" s="11">
        <v>153</v>
      </c>
      <c r="BA8" s="11">
        <v>26</v>
      </c>
    </row>
    <row r="9" spans="2:53" x14ac:dyDescent="0.35">
      <c r="B9" s="15" t="s">
        <v>235</v>
      </c>
      <c r="C9" s="14">
        <v>0.42262110875430298</v>
      </c>
      <c r="D9" s="14">
        <v>0.41391667310427399</v>
      </c>
      <c r="E9" s="14">
        <v>0.43235599601073499</v>
      </c>
      <c r="F9" s="14"/>
      <c r="G9" s="14">
        <v>0.15867124463509699</v>
      </c>
      <c r="H9" s="14">
        <v>0.47050816025487102</v>
      </c>
      <c r="I9" s="14">
        <v>0.39599452050843198</v>
      </c>
      <c r="J9" s="14">
        <v>0.37806324087467402</v>
      </c>
      <c r="K9" s="14">
        <v>0.59994459663198096</v>
      </c>
      <c r="L9" s="14" t="s">
        <v>88</v>
      </c>
      <c r="M9" s="14"/>
      <c r="N9" s="14">
        <v>0.399134423520555</v>
      </c>
      <c r="O9" s="14">
        <v>0.34482850982560598</v>
      </c>
      <c r="P9" s="14">
        <v>0.38229560534308299</v>
      </c>
      <c r="Q9" s="14">
        <v>0.56668185387493097</v>
      </c>
      <c r="R9" s="14"/>
      <c r="S9" s="14">
        <v>0.44736219603545502</v>
      </c>
      <c r="T9" s="14">
        <v>0.484733036227737</v>
      </c>
      <c r="U9" s="14">
        <v>0.36552503030871802</v>
      </c>
      <c r="V9" s="14">
        <v>0.30967034716842801</v>
      </c>
      <c r="W9" s="14">
        <v>0.130701987636828</v>
      </c>
      <c r="X9" s="14">
        <v>0.44619100322948302</v>
      </c>
      <c r="Y9" s="14">
        <v>0.48491711356107697</v>
      </c>
      <c r="Z9" s="14">
        <v>0.44313432860741397</v>
      </c>
      <c r="AA9" s="14">
        <v>0.59640398085345403</v>
      </c>
      <c r="AB9" s="14"/>
      <c r="AC9" s="14">
        <v>0.38192654660232001</v>
      </c>
      <c r="AD9" s="14">
        <v>0.37556208416808901</v>
      </c>
      <c r="AE9" s="14">
        <v>0.453015780635876</v>
      </c>
      <c r="AF9" s="14">
        <v>0.469075427311265</v>
      </c>
      <c r="AG9" s="14">
        <v>0.550776967615483</v>
      </c>
      <c r="AH9" s="14"/>
      <c r="AI9" s="14">
        <v>0.44622574985364799</v>
      </c>
      <c r="AJ9" s="14">
        <v>0.43041474936927998</v>
      </c>
      <c r="AK9" s="14">
        <v>0.30708122092621998</v>
      </c>
      <c r="AL9" s="14">
        <v>0.476754488669901</v>
      </c>
      <c r="AM9" s="14">
        <v>0.27358415930087798</v>
      </c>
      <c r="AN9" s="14">
        <v>0.52174868060699997</v>
      </c>
      <c r="AO9" s="14"/>
      <c r="AP9" s="14">
        <v>0.387066877337644</v>
      </c>
      <c r="AQ9" s="14">
        <v>0.45652405880816199</v>
      </c>
      <c r="AR9" s="14"/>
      <c r="AS9" s="14">
        <v>0.42262110875430298</v>
      </c>
      <c r="AT9" s="14" t="s">
        <v>88</v>
      </c>
      <c r="AU9" s="14" t="s">
        <v>88</v>
      </c>
      <c r="AV9" s="14"/>
      <c r="AW9" s="14">
        <v>0.36852116705267701</v>
      </c>
      <c r="AX9" s="14">
        <v>0.54963983718939202</v>
      </c>
      <c r="AY9" s="14"/>
      <c r="AZ9" s="14">
        <v>0.44542501394711898</v>
      </c>
      <c r="BA9" s="14">
        <v>0.287855442428959</v>
      </c>
    </row>
    <row r="10" spans="2:53" x14ac:dyDescent="0.35">
      <c r="B10" s="15" t="s">
        <v>236</v>
      </c>
      <c r="C10" s="14">
        <v>0.49279203304186903</v>
      </c>
      <c r="D10" s="14">
        <v>0.50523927809444902</v>
      </c>
      <c r="E10" s="14">
        <v>0.47887125378495599</v>
      </c>
      <c r="F10" s="14"/>
      <c r="G10" s="14">
        <v>0.84132875536490304</v>
      </c>
      <c r="H10" s="14">
        <v>0.44069147216038601</v>
      </c>
      <c r="I10" s="14">
        <v>0.51506323024907896</v>
      </c>
      <c r="J10" s="14">
        <v>0.51405649723059299</v>
      </c>
      <c r="K10" s="14">
        <v>0.40005540336801898</v>
      </c>
      <c r="L10" s="14" t="s">
        <v>88</v>
      </c>
      <c r="M10" s="14"/>
      <c r="N10" s="14">
        <v>0.55696493776020795</v>
      </c>
      <c r="O10" s="14">
        <v>0.53947106206302997</v>
      </c>
      <c r="P10" s="14">
        <v>0.44420762770346101</v>
      </c>
      <c r="Q10" s="14">
        <v>0.37965564176315097</v>
      </c>
      <c r="R10" s="14"/>
      <c r="S10" s="14">
        <v>0.448103433157505</v>
      </c>
      <c r="T10" s="14">
        <v>0.47488992481264403</v>
      </c>
      <c r="U10" s="14">
        <v>0.57498640323850403</v>
      </c>
      <c r="V10" s="14">
        <v>0.50858141901379905</v>
      </c>
      <c r="W10" s="14">
        <v>0.86929801236317195</v>
      </c>
      <c r="X10" s="14">
        <v>0.38246925317262498</v>
      </c>
      <c r="Y10" s="14">
        <v>0.39951290004018403</v>
      </c>
      <c r="Z10" s="14">
        <v>0.55686567139258603</v>
      </c>
      <c r="AA10" s="14">
        <v>0.39222559543429097</v>
      </c>
      <c r="AB10" s="14"/>
      <c r="AC10" s="14">
        <v>0.57340014605115897</v>
      </c>
      <c r="AD10" s="14">
        <v>0.45184755580017799</v>
      </c>
      <c r="AE10" s="14">
        <v>0.51285642150483202</v>
      </c>
      <c r="AF10" s="14">
        <v>0.40639963234266402</v>
      </c>
      <c r="AG10" s="14">
        <v>0.449223032384517</v>
      </c>
      <c r="AH10" s="14"/>
      <c r="AI10" s="14">
        <v>0.49158820688584298</v>
      </c>
      <c r="AJ10" s="14">
        <v>0.43491749659815598</v>
      </c>
      <c r="AK10" s="14">
        <v>0.61610548362124495</v>
      </c>
      <c r="AL10" s="14">
        <v>0.380046046891369</v>
      </c>
      <c r="AM10" s="14">
        <v>0.72641584069912202</v>
      </c>
      <c r="AN10" s="14">
        <v>0.47825131939299997</v>
      </c>
      <c r="AO10" s="14"/>
      <c r="AP10" s="14">
        <v>0.52225477332210901</v>
      </c>
      <c r="AQ10" s="14">
        <v>0.46469766080062902</v>
      </c>
      <c r="AR10" s="14"/>
      <c r="AS10" s="14">
        <v>0.49279203304186903</v>
      </c>
      <c r="AT10" s="14" t="s">
        <v>88</v>
      </c>
      <c r="AU10" s="14" t="s">
        <v>88</v>
      </c>
      <c r="AV10" s="14"/>
      <c r="AW10" s="14">
        <v>0.53989824781063001</v>
      </c>
      <c r="AX10" s="14">
        <v>0.37581851431182001</v>
      </c>
      <c r="AY10" s="14"/>
      <c r="AZ10" s="14">
        <v>0.47078056722103101</v>
      </c>
      <c r="BA10" s="14">
        <v>0.62287457079409903</v>
      </c>
    </row>
    <row r="11" spans="2:53" x14ac:dyDescent="0.35">
      <c r="B11" s="15" t="s">
        <v>237</v>
      </c>
      <c r="C11" s="14">
        <v>4.6802830685166899E-2</v>
      </c>
      <c r="D11" s="14">
        <v>5.7561008325107597E-2</v>
      </c>
      <c r="E11" s="14">
        <v>3.4771074621906997E-2</v>
      </c>
      <c r="F11" s="14"/>
      <c r="G11" s="14">
        <v>0</v>
      </c>
      <c r="H11" s="14">
        <v>4.6966496926096502E-2</v>
      </c>
      <c r="I11" s="14">
        <v>6.3919819184639501E-2</v>
      </c>
      <c r="J11" s="14">
        <v>0</v>
      </c>
      <c r="K11" s="14">
        <v>0</v>
      </c>
      <c r="L11" s="14" t="s">
        <v>88</v>
      </c>
      <c r="M11" s="14"/>
      <c r="N11" s="14">
        <v>4.39006387192373E-2</v>
      </c>
      <c r="O11" s="14">
        <v>0.115700428111364</v>
      </c>
      <c r="P11" s="14">
        <v>0</v>
      </c>
      <c r="Q11" s="14">
        <v>0</v>
      </c>
      <c r="R11" s="14"/>
      <c r="S11" s="14">
        <v>7.2738879979194995E-2</v>
      </c>
      <c r="T11" s="14">
        <v>4.0377038959618701E-2</v>
      </c>
      <c r="U11" s="14">
        <v>5.9488566452778002E-2</v>
      </c>
      <c r="V11" s="14">
        <v>3.8614381305711099E-2</v>
      </c>
      <c r="W11" s="14">
        <v>0</v>
      </c>
      <c r="X11" s="14">
        <v>7.9411835558559907E-2</v>
      </c>
      <c r="Y11" s="14">
        <v>4.8334741297399099E-2</v>
      </c>
      <c r="Z11" s="14">
        <v>0</v>
      </c>
      <c r="AA11" s="14">
        <v>1.1370423712255599E-2</v>
      </c>
      <c r="AB11" s="14"/>
      <c r="AC11" s="14">
        <v>4.4673307346521203E-2</v>
      </c>
      <c r="AD11" s="14">
        <v>0</v>
      </c>
      <c r="AE11" s="14">
        <v>3.4127797859291903E-2</v>
      </c>
      <c r="AF11" s="14">
        <v>9.2553431586890195E-2</v>
      </c>
      <c r="AG11" s="14">
        <v>0</v>
      </c>
      <c r="AH11" s="14"/>
      <c r="AI11" s="14">
        <v>3.01248613282886E-2</v>
      </c>
      <c r="AJ11" s="14">
        <v>3.4086450874133201E-2</v>
      </c>
      <c r="AK11" s="14">
        <v>7.6813295452535596E-2</v>
      </c>
      <c r="AL11" s="14">
        <v>0.14319946443873099</v>
      </c>
      <c r="AM11" s="14">
        <v>0</v>
      </c>
      <c r="AN11" s="14">
        <v>0</v>
      </c>
      <c r="AO11" s="14"/>
      <c r="AP11" s="14">
        <v>6.5295293754728603E-2</v>
      </c>
      <c r="AQ11" s="14">
        <v>2.9169231902704599E-2</v>
      </c>
      <c r="AR11" s="14"/>
      <c r="AS11" s="14">
        <v>4.6802830685166899E-2</v>
      </c>
      <c r="AT11" s="14" t="s">
        <v>88</v>
      </c>
      <c r="AU11" s="14" t="s">
        <v>88</v>
      </c>
      <c r="AV11" s="14"/>
      <c r="AW11" s="14">
        <v>5.5439245154510902E-2</v>
      </c>
      <c r="AX11" s="14">
        <v>2.8708293988116099E-2</v>
      </c>
      <c r="AY11" s="14"/>
      <c r="AZ11" s="14">
        <v>5.4722409482955002E-2</v>
      </c>
      <c r="BA11" s="14">
        <v>0</v>
      </c>
    </row>
    <row r="12" spans="2:53" x14ac:dyDescent="0.35">
      <c r="B12" s="15" t="s">
        <v>238</v>
      </c>
      <c r="C12" s="14">
        <v>2.5211487639239499E-2</v>
      </c>
      <c r="D12" s="14">
        <v>2.3283040476169099E-2</v>
      </c>
      <c r="E12" s="14">
        <v>2.73682289223364E-2</v>
      </c>
      <c r="F12" s="14"/>
      <c r="G12" s="14">
        <v>0</v>
      </c>
      <c r="H12" s="14">
        <v>4.1833870658646397E-2</v>
      </c>
      <c r="I12" s="14">
        <v>2.5022430057849099E-2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0</v>
      </c>
      <c r="P12" s="14">
        <v>0.12531668344568</v>
      </c>
      <c r="Q12" s="14">
        <v>3.0241725478737599E-2</v>
      </c>
      <c r="R12" s="14"/>
      <c r="S12" s="14">
        <v>0</v>
      </c>
      <c r="T12" s="14">
        <v>0</v>
      </c>
      <c r="U12" s="14">
        <v>0</v>
      </c>
      <c r="V12" s="14">
        <v>0.14313385251206201</v>
      </c>
      <c r="W12" s="14">
        <v>0</v>
      </c>
      <c r="X12" s="14">
        <v>9.1927908039331999E-2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0.13372576169367101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0.100581303158431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1.13408874366895E-2</v>
      </c>
      <c r="AQ12" s="14">
        <v>3.8437881436737299E-2</v>
      </c>
      <c r="AR12" s="14"/>
      <c r="AS12" s="14">
        <v>2.5211487639239499E-2</v>
      </c>
      <c r="AT12" s="14" t="s">
        <v>88</v>
      </c>
      <c r="AU12" s="14" t="s">
        <v>88</v>
      </c>
      <c r="AV12" s="14"/>
      <c r="AW12" s="14">
        <v>1.83165513944657E-2</v>
      </c>
      <c r="AX12" s="14">
        <v>4.5833354510671602E-2</v>
      </c>
      <c r="AY12" s="14"/>
      <c r="AZ12" s="14">
        <v>1.4372050704288101E-2</v>
      </c>
      <c r="BA12" s="14">
        <v>8.9269986776941798E-2</v>
      </c>
    </row>
    <row r="13" spans="2:53" x14ac:dyDescent="0.35">
      <c r="B13" s="26" t="s">
        <v>116</v>
      </c>
      <c r="C13" s="23">
        <v>1.25725398794218E-2</v>
      </c>
      <c r="D13" s="23">
        <v>0</v>
      </c>
      <c r="E13" s="23">
        <v>2.6633446660065199E-2</v>
      </c>
      <c r="F13" s="23"/>
      <c r="G13" s="23">
        <v>0</v>
      </c>
      <c r="H13" s="23">
        <v>0</v>
      </c>
      <c r="I13" s="23">
        <v>0</v>
      </c>
      <c r="J13" s="23">
        <v>0.107880261894733</v>
      </c>
      <c r="K13" s="23">
        <v>0</v>
      </c>
      <c r="L13" s="23" t="s">
        <v>88</v>
      </c>
      <c r="M13" s="23"/>
      <c r="N13" s="23">
        <v>0</v>
      </c>
      <c r="O13" s="23">
        <v>0</v>
      </c>
      <c r="P13" s="23">
        <v>4.81800835077753E-2</v>
      </c>
      <c r="Q13" s="23">
        <v>2.34207788831809E-2</v>
      </c>
      <c r="R13" s="23"/>
      <c r="S13" s="23">
        <v>3.1795490827845101E-2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6.7235245101339797E-2</v>
      </c>
      <c r="Z13" s="23">
        <v>0</v>
      </c>
      <c r="AA13" s="23">
        <v>0</v>
      </c>
      <c r="AB13" s="23"/>
      <c r="AC13" s="23">
        <v>0</v>
      </c>
      <c r="AD13" s="23">
        <v>3.8864598338061801E-2</v>
      </c>
      <c r="AE13" s="23">
        <v>0</v>
      </c>
      <c r="AF13" s="23">
        <v>3.1971508759180603E-2</v>
      </c>
      <c r="AG13" s="23">
        <v>0</v>
      </c>
      <c r="AH13" s="23"/>
      <c r="AI13" s="23">
        <v>3.2061181932220503E-2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/>
      <c r="AP13" s="23">
        <v>1.40421681488287E-2</v>
      </c>
      <c r="AQ13" s="23">
        <v>1.11711670517674E-2</v>
      </c>
      <c r="AR13" s="23"/>
      <c r="AS13" s="23">
        <v>1.25725398794218E-2</v>
      </c>
      <c r="AT13" s="23" t="s">
        <v>88</v>
      </c>
      <c r="AU13" s="23" t="s">
        <v>88</v>
      </c>
      <c r="AV13" s="23"/>
      <c r="AW13" s="23">
        <v>1.7824788587715499E-2</v>
      </c>
      <c r="AX13" s="23">
        <v>0</v>
      </c>
      <c r="AY13" s="23"/>
      <c r="AZ13" s="23">
        <v>1.4699958644607001E-2</v>
      </c>
      <c r="BA13" s="23">
        <v>0</v>
      </c>
    </row>
    <row r="14" spans="2:53" x14ac:dyDescent="0.35">
      <c r="B14" s="25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BA19"/>
  <sheetViews>
    <sheetView showGridLines="0" topLeftCell="A6" workbookViewId="0">
      <pane xSplit="2" topLeftCell="C1" activePane="topRight" state="frozen"/>
      <selection pane="topRight" activeCell="C14" sqref="C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195</v>
      </c>
      <c r="D7" s="10">
        <v>87</v>
      </c>
      <c r="E7" s="10">
        <v>108</v>
      </c>
      <c r="F7" s="10"/>
      <c r="G7" s="10">
        <v>4</v>
      </c>
      <c r="H7" s="10">
        <v>70</v>
      </c>
      <c r="I7" s="10">
        <v>93</v>
      </c>
      <c r="J7" s="10">
        <v>21</v>
      </c>
      <c r="K7" s="10">
        <v>7</v>
      </c>
      <c r="L7" s="10" t="s">
        <v>87</v>
      </c>
      <c r="M7" s="10"/>
      <c r="N7" s="10">
        <v>102</v>
      </c>
      <c r="O7" s="10">
        <v>46</v>
      </c>
      <c r="P7" s="10">
        <v>18</v>
      </c>
      <c r="Q7" s="10">
        <v>29</v>
      </c>
      <c r="R7" s="10"/>
      <c r="S7" s="10">
        <v>51</v>
      </c>
      <c r="T7" s="10">
        <v>26</v>
      </c>
      <c r="U7" s="10">
        <v>23</v>
      </c>
      <c r="V7" s="10">
        <v>21</v>
      </c>
      <c r="W7" s="10">
        <v>10</v>
      </c>
      <c r="X7" s="10">
        <v>17</v>
      </c>
      <c r="Y7" s="10">
        <v>18</v>
      </c>
      <c r="Z7" s="10">
        <v>10</v>
      </c>
      <c r="AA7" s="10">
        <v>19</v>
      </c>
      <c r="AB7" s="10"/>
      <c r="AC7" s="10">
        <v>15</v>
      </c>
      <c r="AD7" s="10">
        <v>23</v>
      </c>
      <c r="AE7" s="10">
        <v>74</v>
      </c>
      <c r="AF7" s="10">
        <v>51</v>
      </c>
      <c r="AG7" s="10">
        <v>16</v>
      </c>
      <c r="AH7" s="10"/>
      <c r="AI7" s="10">
        <v>86</v>
      </c>
      <c r="AJ7" s="10">
        <v>34</v>
      </c>
      <c r="AK7" s="10">
        <v>21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92</v>
      </c>
      <c r="AR7" s="10"/>
      <c r="AS7" s="10">
        <v>195</v>
      </c>
      <c r="AT7" s="10" t="s">
        <v>87</v>
      </c>
      <c r="AU7" s="10" t="s">
        <v>87</v>
      </c>
      <c r="AV7" s="10"/>
      <c r="AW7" s="10">
        <v>123</v>
      </c>
      <c r="AX7" s="10">
        <v>68</v>
      </c>
      <c r="AY7" s="10"/>
      <c r="AZ7" s="10">
        <v>168</v>
      </c>
      <c r="BA7" s="10">
        <v>27</v>
      </c>
    </row>
    <row r="8" spans="2:53" ht="30" customHeight="1" x14ac:dyDescent="0.35">
      <c r="B8" s="11" t="s">
        <v>19</v>
      </c>
      <c r="C8" s="11">
        <v>179</v>
      </c>
      <c r="D8" s="11">
        <v>94</v>
      </c>
      <c r="E8" s="11">
        <v>84</v>
      </c>
      <c r="F8" s="11"/>
      <c r="G8" s="11">
        <v>3</v>
      </c>
      <c r="H8" s="11">
        <v>53</v>
      </c>
      <c r="I8" s="11">
        <v>92</v>
      </c>
      <c r="J8" s="11">
        <v>21</v>
      </c>
      <c r="K8" s="11">
        <v>10</v>
      </c>
      <c r="L8" s="11" t="s">
        <v>87</v>
      </c>
      <c r="M8" s="11"/>
      <c r="N8" s="11">
        <v>60</v>
      </c>
      <c r="O8" s="11">
        <v>49</v>
      </c>
      <c r="P8" s="11">
        <v>25</v>
      </c>
      <c r="Q8" s="11">
        <v>44</v>
      </c>
      <c r="R8" s="11"/>
      <c r="S8" s="11">
        <v>39</v>
      </c>
      <c r="T8" s="11">
        <v>27</v>
      </c>
      <c r="U8" s="11">
        <v>30</v>
      </c>
      <c r="V8" s="11">
        <v>25</v>
      </c>
      <c r="W8" s="11">
        <v>8</v>
      </c>
      <c r="X8" s="11">
        <v>11</v>
      </c>
      <c r="Y8" s="11">
        <v>15</v>
      </c>
      <c r="Z8" s="11">
        <v>9</v>
      </c>
      <c r="AA8" s="11">
        <v>16</v>
      </c>
      <c r="AB8" s="11"/>
      <c r="AC8" s="11">
        <v>21</v>
      </c>
      <c r="AD8" s="11">
        <v>26</v>
      </c>
      <c r="AE8" s="11">
        <v>67</v>
      </c>
      <c r="AF8" s="11">
        <v>38</v>
      </c>
      <c r="AG8" s="11">
        <v>8</v>
      </c>
      <c r="AH8" s="11"/>
      <c r="AI8" s="11">
        <v>70</v>
      </c>
      <c r="AJ8" s="11">
        <v>32</v>
      </c>
      <c r="AK8" s="11">
        <v>21</v>
      </c>
      <c r="AL8" s="11">
        <v>25</v>
      </c>
      <c r="AM8" s="11">
        <v>9</v>
      </c>
      <c r="AN8" s="11">
        <v>13</v>
      </c>
      <c r="AO8" s="11"/>
      <c r="AP8" s="11">
        <v>87</v>
      </c>
      <c r="AQ8" s="11">
        <v>91</v>
      </c>
      <c r="AR8" s="11"/>
      <c r="AS8" s="11">
        <v>179</v>
      </c>
      <c r="AT8" s="11" t="s">
        <v>87</v>
      </c>
      <c r="AU8" s="11" t="s">
        <v>87</v>
      </c>
      <c r="AV8" s="11"/>
      <c r="AW8" s="11">
        <v>126</v>
      </c>
      <c r="AX8" s="11">
        <v>48</v>
      </c>
      <c r="AY8" s="11"/>
      <c r="AZ8" s="11">
        <v>153</v>
      </c>
      <c r="BA8" s="11">
        <v>26</v>
      </c>
    </row>
    <row r="9" spans="2:53" x14ac:dyDescent="0.35">
      <c r="B9" s="15" t="s">
        <v>220</v>
      </c>
      <c r="C9" s="14">
        <v>0.46104265373300701</v>
      </c>
      <c r="D9" s="14">
        <v>0.57013165193090798</v>
      </c>
      <c r="E9" s="14">
        <v>0.33903944283326798</v>
      </c>
      <c r="F9" s="14"/>
      <c r="G9" s="14">
        <v>0.56846163778720804</v>
      </c>
      <c r="H9" s="14">
        <v>0.45738138954256002</v>
      </c>
      <c r="I9" s="14">
        <v>0.44380399701550699</v>
      </c>
      <c r="J9" s="14">
        <v>0.50368689899810304</v>
      </c>
      <c r="K9" s="14">
        <v>0.51619495177175601</v>
      </c>
      <c r="L9" s="14" t="s">
        <v>88</v>
      </c>
      <c r="M9" s="14"/>
      <c r="N9" s="14">
        <v>0.47968099752709298</v>
      </c>
      <c r="O9" s="14">
        <v>0.36289560384650199</v>
      </c>
      <c r="P9" s="14">
        <v>0.40523695986536401</v>
      </c>
      <c r="Q9" s="14">
        <v>0.57906522242673197</v>
      </c>
      <c r="R9" s="14"/>
      <c r="S9" s="14">
        <v>0.44149799007797103</v>
      </c>
      <c r="T9" s="14">
        <v>0.62302171565930797</v>
      </c>
      <c r="U9" s="14">
        <v>0.470886914292306</v>
      </c>
      <c r="V9" s="14">
        <v>0.44064638380813498</v>
      </c>
      <c r="W9" s="14">
        <v>0.56630157590865404</v>
      </c>
      <c r="X9" s="14">
        <v>0.58077147749849001</v>
      </c>
      <c r="Y9" s="14">
        <v>0.34940226796051499</v>
      </c>
      <c r="Z9" s="14">
        <v>0.27221691156863798</v>
      </c>
      <c r="AA9" s="14">
        <v>0.32915171822972</v>
      </c>
      <c r="AB9" s="14"/>
      <c r="AC9" s="14">
        <v>0.59830326740447903</v>
      </c>
      <c r="AD9" s="14">
        <v>0.32245188291950999</v>
      </c>
      <c r="AE9" s="14">
        <v>0.49820818972389702</v>
      </c>
      <c r="AF9" s="14">
        <v>0.44664809719700199</v>
      </c>
      <c r="AG9" s="14">
        <v>0.53802578680766999</v>
      </c>
      <c r="AH9" s="14"/>
      <c r="AI9" s="14">
        <v>0.51977172004538996</v>
      </c>
      <c r="AJ9" s="14">
        <v>0.42004161076838997</v>
      </c>
      <c r="AK9" s="14">
        <v>0.32695282597439601</v>
      </c>
      <c r="AL9" s="14">
        <v>0.48794763074250302</v>
      </c>
      <c r="AM9" s="14">
        <v>0.22469191554951501</v>
      </c>
      <c r="AN9" s="14">
        <v>0.69546016213997797</v>
      </c>
      <c r="AO9" s="14"/>
      <c r="AP9" s="14">
        <v>0.53971512915266495</v>
      </c>
      <c r="AQ9" s="14">
        <v>0.38602404417542902</v>
      </c>
      <c r="AR9" s="14"/>
      <c r="AS9" s="14">
        <v>0.46104265373300701</v>
      </c>
      <c r="AT9" s="14" t="s">
        <v>88</v>
      </c>
      <c r="AU9" s="14" t="s">
        <v>88</v>
      </c>
      <c r="AV9" s="14"/>
      <c r="AW9" s="14">
        <v>0.440866618903476</v>
      </c>
      <c r="AX9" s="14">
        <v>0.50263372640347304</v>
      </c>
      <c r="AY9" s="14"/>
      <c r="AZ9" s="14">
        <v>0.47364593737721999</v>
      </c>
      <c r="BA9" s="14">
        <v>0.38656023925889199</v>
      </c>
    </row>
    <row r="10" spans="2:53" x14ac:dyDescent="0.35">
      <c r="B10" s="15" t="s">
        <v>221</v>
      </c>
      <c r="C10" s="14">
        <v>0.39478819796623599</v>
      </c>
      <c r="D10" s="14">
        <v>0.346157394109191</v>
      </c>
      <c r="E10" s="14">
        <v>0.44917603099437903</v>
      </c>
      <c r="F10" s="14"/>
      <c r="G10" s="14">
        <v>0</v>
      </c>
      <c r="H10" s="14">
        <v>0.44552356863623699</v>
      </c>
      <c r="I10" s="14">
        <v>0.43442403023182202</v>
      </c>
      <c r="J10" s="14">
        <v>0.22939183298399901</v>
      </c>
      <c r="K10" s="14">
        <v>0.23405661004075301</v>
      </c>
      <c r="L10" s="14" t="s">
        <v>88</v>
      </c>
      <c r="M10" s="14"/>
      <c r="N10" s="14">
        <v>0.440624915072586</v>
      </c>
      <c r="O10" s="14">
        <v>0.45228519757285901</v>
      </c>
      <c r="P10" s="14">
        <v>0.266311573649544</v>
      </c>
      <c r="Q10" s="14">
        <v>0.34124286865109599</v>
      </c>
      <c r="R10" s="14"/>
      <c r="S10" s="14">
        <v>0.448827634235969</v>
      </c>
      <c r="T10" s="14">
        <v>0.32297823418343802</v>
      </c>
      <c r="U10" s="14">
        <v>0.39677070883162702</v>
      </c>
      <c r="V10" s="14">
        <v>0.24570739120473301</v>
      </c>
      <c r="W10" s="14">
        <v>0.43369842409134601</v>
      </c>
      <c r="X10" s="14">
        <v>0.215338668204926</v>
      </c>
      <c r="Y10" s="14">
        <v>0.46485118993219898</v>
      </c>
      <c r="Z10" s="14">
        <v>0.51826872342267105</v>
      </c>
      <c r="AA10" s="14">
        <v>0.57177275872196398</v>
      </c>
      <c r="AB10" s="14"/>
      <c r="AC10" s="14">
        <v>0.35702342524899999</v>
      </c>
      <c r="AD10" s="14">
        <v>0.260046891984202</v>
      </c>
      <c r="AE10" s="14">
        <v>0.37220540913058803</v>
      </c>
      <c r="AF10" s="14">
        <v>0.49051397205637398</v>
      </c>
      <c r="AG10" s="14">
        <v>0.43570446513950101</v>
      </c>
      <c r="AH10" s="14"/>
      <c r="AI10" s="14">
        <v>0.39562977326383197</v>
      </c>
      <c r="AJ10" s="14">
        <v>0.41729568589969601</v>
      </c>
      <c r="AK10" s="14">
        <v>0.48516525215582601</v>
      </c>
      <c r="AL10" s="14">
        <v>0.297749338646352</v>
      </c>
      <c r="AM10" s="14">
        <v>0.60432052805645298</v>
      </c>
      <c r="AN10" s="14">
        <v>0.25221933334638302</v>
      </c>
      <c r="AO10" s="14"/>
      <c r="AP10" s="14">
        <v>0.334215334894298</v>
      </c>
      <c r="AQ10" s="14">
        <v>0.452547813897208</v>
      </c>
      <c r="AR10" s="14"/>
      <c r="AS10" s="14">
        <v>0.39478819796623599</v>
      </c>
      <c r="AT10" s="14" t="s">
        <v>88</v>
      </c>
      <c r="AU10" s="14" t="s">
        <v>88</v>
      </c>
      <c r="AV10" s="14"/>
      <c r="AW10" s="14">
        <v>0.41608420337330398</v>
      </c>
      <c r="AX10" s="14">
        <v>0.33602293037252601</v>
      </c>
      <c r="AY10" s="14"/>
      <c r="AZ10" s="14">
        <v>0.40831068140686999</v>
      </c>
      <c r="BA10" s="14">
        <v>0.31487353090190101</v>
      </c>
    </row>
    <row r="11" spans="2:53" x14ac:dyDescent="0.35">
      <c r="B11" s="15" t="s">
        <v>222</v>
      </c>
      <c r="C11" s="14">
        <v>5.68567195854379E-2</v>
      </c>
      <c r="D11" s="14">
        <v>1.84320068657409E-2</v>
      </c>
      <c r="E11" s="14">
        <v>9.9830240354219599E-2</v>
      </c>
      <c r="F11" s="14"/>
      <c r="G11" s="14">
        <v>0</v>
      </c>
      <c r="H11" s="14">
        <v>9.9390198130743894E-3</v>
      </c>
      <c r="I11" s="14">
        <v>6.8565866661972702E-2</v>
      </c>
      <c r="J11" s="14">
        <v>0.15904100612316499</v>
      </c>
      <c r="K11" s="14">
        <v>0</v>
      </c>
      <c r="L11" s="14" t="s">
        <v>88</v>
      </c>
      <c r="M11" s="14"/>
      <c r="N11" s="14">
        <v>1.1324957954594201E-2</v>
      </c>
      <c r="O11" s="14">
        <v>0.12326167413353301</v>
      </c>
      <c r="P11" s="14">
        <v>8.1205823231139604E-2</v>
      </c>
      <c r="Q11" s="14">
        <v>3.0241725478737599E-2</v>
      </c>
      <c r="R11" s="14"/>
      <c r="S11" s="14">
        <v>5.0280846140717199E-2</v>
      </c>
      <c r="T11" s="14">
        <v>0</v>
      </c>
      <c r="U11" s="14">
        <v>3.6369904856424502E-2</v>
      </c>
      <c r="V11" s="14">
        <v>0.169557045226535</v>
      </c>
      <c r="W11" s="14">
        <v>0</v>
      </c>
      <c r="X11" s="14">
        <v>0.106788827429878</v>
      </c>
      <c r="Y11" s="14">
        <v>0</v>
      </c>
      <c r="Z11" s="14">
        <v>0.209514365008691</v>
      </c>
      <c r="AA11" s="14">
        <v>0</v>
      </c>
      <c r="AB11" s="14"/>
      <c r="AC11" s="14">
        <v>4.4673307346521203E-2</v>
      </c>
      <c r="AD11" s="14">
        <v>0.204091567189053</v>
      </c>
      <c r="AE11" s="14">
        <v>2.3682860186796599E-2</v>
      </c>
      <c r="AF11" s="14">
        <v>1.36222794413027E-2</v>
      </c>
      <c r="AG11" s="14">
        <v>0</v>
      </c>
      <c r="AH11" s="14"/>
      <c r="AI11" s="14">
        <v>1.8284790955230602E-2</v>
      </c>
      <c r="AJ11" s="14">
        <v>3.1231208137035602E-2</v>
      </c>
      <c r="AK11" s="14">
        <v>5.1518684338154E-2</v>
      </c>
      <c r="AL11" s="14">
        <v>0.13789698736744899</v>
      </c>
      <c r="AM11" s="14">
        <v>0</v>
      </c>
      <c r="AN11" s="14">
        <v>1.22616816151934E-2</v>
      </c>
      <c r="AO11" s="14"/>
      <c r="AP11" s="14">
        <v>6.4003149470454601E-2</v>
      </c>
      <c r="AQ11" s="14">
        <v>5.00421986184173E-2</v>
      </c>
      <c r="AR11" s="14"/>
      <c r="AS11" s="14">
        <v>5.68567195854379E-2</v>
      </c>
      <c r="AT11" s="14" t="s">
        <v>88</v>
      </c>
      <c r="AU11" s="14" t="s">
        <v>88</v>
      </c>
      <c r="AV11" s="14"/>
      <c r="AW11" s="14">
        <v>7.8039449893778007E-2</v>
      </c>
      <c r="AX11" s="14">
        <v>6.7577193017486301E-3</v>
      </c>
      <c r="AY11" s="14"/>
      <c r="AZ11" s="14">
        <v>2.59091978964489E-2</v>
      </c>
      <c r="BA11" s="14">
        <v>0.23974922620963099</v>
      </c>
    </row>
    <row r="12" spans="2:53" x14ac:dyDescent="0.35">
      <c r="B12" s="15" t="s">
        <v>223</v>
      </c>
      <c r="C12" s="14">
        <v>1.8951328049389898E-2</v>
      </c>
      <c r="D12" s="14">
        <v>2.3283040476169099E-2</v>
      </c>
      <c r="E12" s="14">
        <v>1.4106817296778399E-2</v>
      </c>
      <c r="F12" s="14"/>
      <c r="G12" s="14">
        <v>0</v>
      </c>
      <c r="H12" s="14">
        <v>4.5035931347718203E-2</v>
      </c>
      <c r="I12" s="14">
        <v>0</v>
      </c>
      <c r="J12" s="14">
        <v>4.9067242879980003E-2</v>
      </c>
      <c r="K12" s="14">
        <v>0</v>
      </c>
      <c r="L12" s="14" t="s">
        <v>88</v>
      </c>
      <c r="M12" s="14"/>
      <c r="N12" s="14">
        <v>2.7927884672073102E-3</v>
      </c>
      <c r="O12" s="14">
        <v>0</v>
      </c>
      <c r="P12" s="14">
        <v>8.6404964260950498E-2</v>
      </c>
      <c r="Q12" s="14">
        <v>2.34207788831809E-2</v>
      </c>
      <c r="R12" s="14"/>
      <c r="S12" s="14">
        <v>0</v>
      </c>
      <c r="T12" s="14">
        <v>0</v>
      </c>
      <c r="U12" s="14">
        <v>0</v>
      </c>
      <c r="V12" s="14">
        <v>8.94199512026604E-2</v>
      </c>
      <c r="W12" s="14">
        <v>0</v>
      </c>
      <c r="X12" s="14">
        <v>0</v>
      </c>
      <c r="Y12" s="14">
        <v>7.8297698811952296E-2</v>
      </c>
      <c r="Z12" s="14">
        <v>0</v>
      </c>
      <c r="AA12" s="14">
        <v>0</v>
      </c>
      <c r="AB12" s="14"/>
      <c r="AC12" s="14">
        <v>0</v>
      </c>
      <c r="AD12" s="14">
        <v>0.122407036938874</v>
      </c>
      <c r="AE12" s="14">
        <v>0</v>
      </c>
      <c r="AF12" s="14">
        <v>4.3886989174895998E-3</v>
      </c>
      <c r="AG12" s="14">
        <v>0</v>
      </c>
      <c r="AH12" s="14"/>
      <c r="AI12" s="14">
        <v>1.69817013024742E-2</v>
      </c>
      <c r="AJ12" s="14">
        <v>6.9350095021395303E-2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0</v>
      </c>
      <c r="AQ12" s="14">
        <v>3.7022480278311801E-2</v>
      </c>
      <c r="AR12" s="14"/>
      <c r="AS12" s="14">
        <v>1.8951328049389898E-2</v>
      </c>
      <c r="AT12" s="14" t="s">
        <v>88</v>
      </c>
      <c r="AU12" s="14" t="s">
        <v>88</v>
      </c>
      <c r="AV12" s="14"/>
      <c r="AW12" s="14">
        <v>9.4411751948588005E-3</v>
      </c>
      <c r="AX12" s="14">
        <v>4.5833354510671602E-2</v>
      </c>
      <c r="AY12" s="14"/>
      <c r="AZ12" s="14">
        <v>2.21581113488762E-2</v>
      </c>
      <c r="BA12" s="14">
        <v>0</v>
      </c>
    </row>
    <row r="13" spans="2:53" x14ac:dyDescent="0.35">
      <c r="B13" s="15" t="s">
        <v>116</v>
      </c>
      <c r="C13" s="18">
        <v>6.8541641817081297E-3</v>
      </c>
      <c r="D13" s="18">
        <v>0</v>
      </c>
      <c r="E13" s="18">
        <v>1.4519740472777799E-2</v>
      </c>
      <c r="F13" s="18"/>
      <c r="G13" s="18">
        <v>0</v>
      </c>
      <c r="H13" s="18">
        <v>0</v>
      </c>
      <c r="I13" s="18">
        <v>0</v>
      </c>
      <c r="J13" s="18">
        <v>5.8813019014752901E-2</v>
      </c>
      <c r="K13" s="18">
        <v>0</v>
      </c>
      <c r="L13" s="18" t="s">
        <v>88</v>
      </c>
      <c r="M13" s="18"/>
      <c r="N13" s="18">
        <v>0</v>
      </c>
      <c r="O13" s="18">
        <v>0</v>
      </c>
      <c r="P13" s="18">
        <v>4.81800835077753E-2</v>
      </c>
      <c r="Q13" s="18">
        <v>0</v>
      </c>
      <c r="R13" s="18"/>
      <c r="S13" s="18">
        <v>3.1795490827845101E-2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0</v>
      </c>
      <c r="AF13" s="18">
        <v>3.1971508759180603E-2</v>
      </c>
      <c r="AG13" s="18">
        <v>0</v>
      </c>
      <c r="AH13" s="18"/>
      <c r="AI13" s="18">
        <v>1.7478775723172399E-2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/>
      <c r="AP13" s="18">
        <v>1.40421681488287E-2</v>
      </c>
      <c r="AQ13" s="18">
        <v>0</v>
      </c>
      <c r="AR13" s="18"/>
      <c r="AS13" s="18">
        <v>6.8541641817081297E-3</v>
      </c>
      <c r="AT13" s="18" t="s">
        <v>88</v>
      </c>
      <c r="AU13" s="18" t="s">
        <v>88</v>
      </c>
      <c r="AV13" s="18"/>
      <c r="AW13" s="18">
        <v>9.7175295251526097E-3</v>
      </c>
      <c r="AX13" s="18">
        <v>0</v>
      </c>
      <c r="AY13" s="18"/>
      <c r="AZ13" s="18">
        <v>8.0139678204059501E-3</v>
      </c>
      <c r="BA13" s="18">
        <v>0</v>
      </c>
    </row>
    <row r="14" spans="2:53" x14ac:dyDescent="0.35">
      <c r="B14" s="26" t="s">
        <v>224</v>
      </c>
      <c r="C14" s="27">
        <v>0.855830851699243</v>
      </c>
      <c r="D14" s="27">
        <v>0.91628904604009798</v>
      </c>
      <c r="E14" s="27">
        <v>0.78821547382764701</v>
      </c>
      <c r="F14" s="27"/>
      <c r="G14" s="27">
        <v>0.56846163778720804</v>
      </c>
      <c r="H14" s="27">
        <v>0.90290495817879701</v>
      </c>
      <c r="I14" s="27">
        <v>0.87822802724732896</v>
      </c>
      <c r="J14" s="27">
        <v>0.73307873198210205</v>
      </c>
      <c r="K14" s="27">
        <v>0.75025156181250896</v>
      </c>
      <c r="L14" s="27" t="s">
        <v>88</v>
      </c>
      <c r="M14" s="27"/>
      <c r="N14" s="27">
        <v>0.92030591259967898</v>
      </c>
      <c r="O14" s="27">
        <v>0.815180801419361</v>
      </c>
      <c r="P14" s="27">
        <v>0.67154853351490895</v>
      </c>
      <c r="Q14" s="27">
        <v>0.92030809107782796</v>
      </c>
      <c r="R14" s="27"/>
      <c r="S14" s="27">
        <v>0.89032562431394002</v>
      </c>
      <c r="T14" s="27">
        <v>0.94599994984274605</v>
      </c>
      <c r="U14" s="27">
        <v>0.86765762312393202</v>
      </c>
      <c r="V14" s="27">
        <v>0.68635377501286898</v>
      </c>
      <c r="W14" s="27">
        <v>1</v>
      </c>
      <c r="X14" s="27">
        <v>0.79611014570341598</v>
      </c>
      <c r="Y14" s="27">
        <v>0.81425345789271397</v>
      </c>
      <c r="Z14" s="27">
        <v>0.79048563499130897</v>
      </c>
      <c r="AA14" s="27">
        <v>0.90092447695168398</v>
      </c>
      <c r="AB14" s="27"/>
      <c r="AC14" s="27">
        <v>0.95532669265347903</v>
      </c>
      <c r="AD14" s="27">
        <v>0.58249877490371305</v>
      </c>
      <c r="AE14" s="27">
        <v>0.87041359885448499</v>
      </c>
      <c r="AF14" s="27">
        <v>0.93716206925337597</v>
      </c>
      <c r="AG14" s="27">
        <v>0.973730251947171</v>
      </c>
      <c r="AH14" s="27"/>
      <c r="AI14" s="27">
        <v>0.91540149330922205</v>
      </c>
      <c r="AJ14" s="27">
        <v>0.83733729666808698</v>
      </c>
      <c r="AK14" s="27">
        <v>0.81211807813022197</v>
      </c>
      <c r="AL14" s="27">
        <v>0.78569696938885503</v>
      </c>
      <c r="AM14" s="27">
        <v>0.82901244360596804</v>
      </c>
      <c r="AN14" s="27">
        <v>0.94767949548636099</v>
      </c>
      <c r="AO14" s="27"/>
      <c r="AP14" s="27">
        <v>0.87393046404696295</v>
      </c>
      <c r="AQ14" s="27">
        <v>0.83857185807263701</v>
      </c>
      <c r="AR14" s="27"/>
      <c r="AS14" s="27">
        <v>0.855830851699243</v>
      </c>
      <c r="AT14" s="27" t="s">
        <v>88</v>
      </c>
      <c r="AU14" s="27" t="s">
        <v>88</v>
      </c>
      <c r="AV14" s="27"/>
      <c r="AW14" s="27">
        <v>0.85695082227677999</v>
      </c>
      <c r="AX14" s="27">
        <v>0.83865665677599899</v>
      </c>
      <c r="AY14" s="27"/>
      <c r="AZ14" s="27">
        <v>0.88195661878409104</v>
      </c>
      <c r="BA14" s="27">
        <v>0.701433770160793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364</v>
      </c>
      <c r="D7" s="10">
        <v>168</v>
      </c>
      <c r="E7" s="10">
        <v>196</v>
      </c>
      <c r="F7" s="10"/>
      <c r="G7" s="10">
        <v>7</v>
      </c>
      <c r="H7" s="10">
        <v>124</v>
      </c>
      <c r="I7" s="10">
        <v>179</v>
      </c>
      <c r="J7" s="10">
        <v>44</v>
      </c>
      <c r="K7" s="10">
        <v>10</v>
      </c>
      <c r="L7" s="10" t="s">
        <v>87</v>
      </c>
      <c r="M7" s="10"/>
      <c r="N7" s="10">
        <v>175</v>
      </c>
      <c r="O7" s="10">
        <v>85</v>
      </c>
      <c r="P7" s="10">
        <v>48</v>
      </c>
      <c r="Q7" s="10">
        <v>56</v>
      </c>
      <c r="R7" s="10"/>
      <c r="S7" s="10">
        <v>82</v>
      </c>
      <c r="T7" s="10">
        <v>57</v>
      </c>
      <c r="U7" s="10">
        <v>33</v>
      </c>
      <c r="V7" s="10">
        <v>40</v>
      </c>
      <c r="W7" s="10">
        <v>22</v>
      </c>
      <c r="X7" s="10">
        <v>31</v>
      </c>
      <c r="Y7" s="10">
        <v>33</v>
      </c>
      <c r="Z7" s="10">
        <v>20</v>
      </c>
      <c r="AA7" s="10">
        <v>46</v>
      </c>
      <c r="AB7" s="10"/>
      <c r="AC7" s="10">
        <v>31</v>
      </c>
      <c r="AD7" s="10">
        <v>61</v>
      </c>
      <c r="AE7" s="10">
        <v>132</v>
      </c>
      <c r="AF7" s="10">
        <v>79</v>
      </c>
      <c r="AG7" s="10">
        <v>30</v>
      </c>
      <c r="AH7" s="10"/>
      <c r="AI7" s="10">
        <v>146</v>
      </c>
      <c r="AJ7" s="10">
        <v>63</v>
      </c>
      <c r="AK7" s="10">
        <v>38</v>
      </c>
      <c r="AL7" s="10">
        <v>44</v>
      </c>
      <c r="AM7" s="10">
        <v>18</v>
      </c>
      <c r="AN7" s="10">
        <v>27</v>
      </c>
      <c r="AO7" s="10"/>
      <c r="AP7" s="10">
        <v>178</v>
      </c>
      <c r="AQ7" s="10">
        <v>186</v>
      </c>
      <c r="AR7" s="10"/>
      <c r="AS7" s="10">
        <v>363</v>
      </c>
      <c r="AT7" s="10" t="s">
        <v>87</v>
      </c>
      <c r="AU7" s="10">
        <v>1</v>
      </c>
      <c r="AV7" s="10"/>
      <c r="AW7" s="10">
        <v>251</v>
      </c>
      <c r="AX7" s="10">
        <v>101</v>
      </c>
      <c r="AY7" s="10"/>
      <c r="AZ7" s="10">
        <v>302</v>
      </c>
      <c r="BA7" s="10">
        <v>61</v>
      </c>
    </row>
    <row r="8" spans="2:53" ht="30" customHeight="1" x14ac:dyDescent="0.35">
      <c r="B8" s="11" t="s">
        <v>19</v>
      </c>
      <c r="C8" s="11">
        <v>356</v>
      </c>
      <c r="D8" s="11">
        <v>199</v>
      </c>
      <c r="E8" s="11">
        <v>157</v>
      </c>
      <c r="F8" s="11"/>
      <c r="G8" s="11">
        <v>6</v>
      </c>
      <c r="H8" s="11">
        <v>98</v>
      </c>
      <c r="I8" s="11">
        <v>191</v>
      </c>
      <c r="J8" s="11">
        <v>48</v>
      </c>
      <c r="K8" s="11">
        <v>13</v>
      </c>
      <c r="L8" s="11" t="s">
        <v>87</v>
      </c>
      <c r="M8" s="11"/>
      <c r="N8" s="11">
        <v>104</v>
      </c>
      <c r="O8" s="11">
        <v>95</v>
      </c>
      <c r="P8" s="11">
        <v>72</v>
      </c>
      <c r="Q8" s="11">
        <v>85</v>
      </c>
      <c r="R8" s="11"/>
      <c r="S8" s="11">
        <v>70</v>
      </c>
      <c r="T8" s="11">
        <v>61</v>
      </c>
      <c r="U8" s="11">
        <v>44</v>
      </c>
      <c r="V8" s="11">
        <v>47</v>
      </c>
      <c r="W8" s="11">
        <v>21</v>
      </c>
      <c r="X8" s="11">
        <v>23</v>
      </c>
      <c r="Y8" s="11">
        <v>30</v>
      </c>
      <c r="Z8" s="11">
        <v>19</v>
      </c>
      <c r="AA8" s="11">
        <v>39</v>
      </c>
      <c r="AB8" s="11"/>
      <c r="AC8" s="11">
        <v>41</v>
      </c>
      <c r="AD8" s="11">
        <v>77</v>
      </c>
      <c r="AE8" s="11">
        <v>124</v>
      </c>
      <c r="AF8" s="11">
        <v>59</v>
      </c>
      <c r="AG8" s="11">
        <v>16</v>
      </c>
      <c r="AH8" s="11"/>
      <c r="AI8" s="11">
        <v>128</v>
      </c>
      <c r="AJ8" s="11">
        <v>61</v>
      </c>
      <c r="AK8" s="11">
        <v>38</v>
      </c>
      <c r="AL8" s="11">
        <v>47</v>
      </c>
      <c r="AM8" s="11">
        <v>19</v>
      </c>
      <c r="AN8" s="11">
        <v>28</v>
      </c>
      <c r="AO8" s="11"/>
      <c r="AP8" s="11">
        <v>167</v>
      </c>
      <c r="AQ8" s="11">
        <v>189</v>
      </c>
      <c r="AR8" s="11"/>
      <c r="AS8" s="11">
        <v>355</v>
      </c>
      <c r="AT8" s="11" t="s">
        <v>87</v>
      </c>
      <c r="AU8" s="11">
        <v>1</v>
      </c>
      <c r="AV8" s="11"/>
      <c r="AW8" s="11">
        <v>267</v>
      </c>
      <c r="AX8" s="11">
        <v>74</v>
      </c>
      <c r="AY8" s="11"/>
      <c r="AZ8" s="11">
        <v>291</v>
      </c>
      <c r="BA8" s="11">
        <v>64</v>
      </c>
    </row>
    <row r="9" spans="2:53" x14ac:dyDescent="0.35">
      <c r="B9" s="15" t="s">
        <v>154</v>
      </c>
      <c r="C9" s="14">
        <v>0.80663500506951102</v>
      </c>
      <c r="D9" s="14">
        <v>0.80204608840756897</v>
      </c>
      <c r="E9" s="14">
        <v>0.81246501856730802</v>
      </c>
      <c r="F9" s="14"/>
      <c r="G9" s="14">
        <v>0.723511855083949</v>
      </c>
      <c r="H9" s="14">
        <v>0.88262352009200795</v>
      </c>
      <c r="I9" s="14">
        <v>0.76738565379534296</v>
      </c>
      <c r="J9" s="14">
        <v>0.78344647134420797</v>
      </c>
      <c r="K9" s="14">
        <v>0.94169687846561201</v>
      </c>
      <c r="L9" s="14" t="s">
        <v>88</v>
      </c>
      <c r="M9" s="14"/>
      <c r="N9" s="14">
        <v>0.85186049483359105</v>
      </c>
      <c r="O9" s="14">
        <v>0.86090374524889202</v>
      </c>
      <c r="P9" s="14">
        <v>0.737804398946874</v>
      </c>
      <c r="Q9" s="14">
        <v>0.74911490550210003</v>
      </c>
      <c r="R9" s="14"/>
      <c r="S9" s="14">
        <v>0.808725400498431</v>
      </c>
      <c r="T9" s="14">
        <v>0.75737862257158395</v>
      </c>
      <c r="U9" s="14">
        <v>0.80684335840572996</v>
      </c>
      <c r="V9" s="14">
        <v>0.77588111341404498</v>
      </c>
      <c r="W9" s="14">
        <v>0.97502300427223898</v>
      </c>
      <c r="X9" s="14">
        <v>0.70372802429346004</v>
      </c>
      <c r="Y9" s="14">
        <v>0.710990502732329</v>
      </c>
      <c r="Z9" s="14">
        <v>0.85157509159978995</v>
      </c>
      <c r="AA9" s="14">
        <v>0.93627574232917099</v>
      </c>
      <c r="AB9" s="14"/>
      <c r="AC9" s="14">
        <v>0.82654549022050205</v>
      </c>
      <c r="AD9" s="14">
        <v>0.74943466395918001</v>
      </c>
      <c r="AE9" s="14">
        <v>0.86853919342678298</v>
      </c>
      <c r="AF9" s="14">
        <v>0.73720280595634702</v>
      </c>
      <c r="AG9" s="14">
        <v>0.89480372263830299</v>
      </c>
      <c r="AH9" s="14"/>
      <c r="AI9" s="14">
        <v>0.82324911539477197</v>
      </c>
      <c r="AJ9" s="14">
        <v>0.82642028407754198</v>
      </c>
      <c r="AK9" s="14">
        <v>0.96118444222052402</v>
      </c>
      <c r="AL9" s="14">
        <v>0.75836795213512198</v>
      </c>
      <c r="AM9" s="14">
        <v>0.74625322779801295</v>
      </c>
      <c r="AN9" s="14">
        <v>0.66151403281649501</v>
      </c>
      <c r="AO9" s="14"/>
      <c r="AP9" s="14">
        <v>0.81194535269201695</v>
      </c>
      <c r="AQ9" s="14">
        <v>0.801945924556284</v>
      </c>
      <c r="AR9" s="14"/>
      <c r="AS9" s="14">
        <v>0.80627409999738098</v>
      </c>
      <c r="AT9" s="14" t="s">
        <v>88</v>
      </c>
      <c r="AU9" s="14">
        <v>1</v>
      </c>
      <c r="AV9" s="14"/>
      <c r="AW9" s="14">
        <v>0.80151150717430297</v>
      </c>
      <c r="AX9" s="14">
        <v>0.82574820929445703</v>
      </c>
      <c r="AY9" s="14"/>
      <c r="AZ9" s="14">
        <v>0.81486921117854005</v>
      </c>
      <c r="BA9" s="14">
        <v>0.78609354591379799</v>
      </c>
    </row>
    <row r="10" spans="2:53" x14ac:dyDescent="0.35">
      <c r="B10" s="15" t="s">
        <v>155</v>
      </c>
      <c r="C10" s="14">
        <v>0.13342310553972</v>
      </c>
      <c r="D10" s="14">
        <v>0.13042103733021501</v>
      </c>
      <c r="E10" s="14">
        <v>0.137237099009655</v>
      </c>
      <c r="F10" s="14"/>
      <c r="G10" s="14">
        <v>0.276488144916051</v>
      </c>
      <c r="H10" s="14">
        <v>5.8672800909262003E-2</v>
      </c>
      <c r="I10" s="14">
        <v>0.17702683230580499</v>
      </c>
      <c r="J10" s="14">
        <v>0.12845150920146101</v>
      </c>
      <c r="K10" s="14">
        <v>0</v>
      </c>
      <c r="L10" s="14" t="s">
        <v>88</v>
      </c>
      <c r="M10" s="14"/>
      <c r="N10" s="14">
        <v>0.12500262678009699</v>
      </c>
      <c r="O10" s="14">
        <v>8.7806591927793207E-2</v>
      </c>
      <c r="P10" s="14">
        <v>0.19800104512126701</v>
      </c>
      <c r="Q10" s="14">
        <v>0.140017044859266</v>
      </c>
      <c r="R10" s="14"/>
      <c r="S10" s="14">
        <v>0.101815437961238</v>
      </c>
      <c r="T10" s="14">
        <v>0.12584318550375601</v>
      </c>
      <c r="U10" s="14">
        <v>0.15555475658027401</v>
      </c>
      <c r="V10" s="14">
        <v>0.18830926701722001</v>
      </c>
      <c r="W10" s="14">
        <v>2.4976995727760801E-2</v>
      </c>
      <c r="X10" s="14">
        <v>0.227196419142666</v>
      </c>
      <c r="Y10" s="14">
        <v>0.230648649339945</v>
      </c>
      <c r="Z10" s="14">
        <v>8.4523283997444201E-2</v>
      </c>
      <c r="AA10" s="14">
        <v>6.3724257670829204E-2</v>
      </c>
      <c r="AB10" s="14"/>
      <c r="AC10" s="14">
        <v>9.3736801611441795E-2</v>
      </c>
      <c r="AD10" s="14">
        <v>0.13584152543029099</v>
      </c>
      <c r="AE10" s="14">
        <v>0.10587942166069</v>
      </c>
      <c r="AF10" s="14">
        <v>0.17316665066459899</v>
      </c>
      <c r="AG10" s="14">
        <v>0.105196277361697</v>
      </c>
      <c r="AH10" s="14"/>
      <c r="AI10" s="14">
        <v>0.134239712116522</v>
      </c>
      <c r="AJ10" s="14">
        <v>0.13247940402224601</v>
      </c>
      <c r="AK10" s="14">
        <v>2.9417202913227899E-2</v>
      </c>
      <c r="AL10" s="14">
        <v>0.19255853134106701</v>
      </c>
      <c r="AM10" s="14">
        <v>0.15065338445858001</v>
      </c>
      <c r="AN10" s="14">
        <v>0.27538595923013698</v>
      </c>
      <c r="AO10" s="14"/>
      <c r="AP10" s="14">
        <v>0.107432435276373</v>
      </c>
      <c r="AQ10" s="14">
        <v>0.15637308059240099</v>
      </c>
      <c r="AR10" s="14"/>
      <c r="AS10" s="14">
        <v>0.133672132389414</v>
      </c>
      <c r="AT10" s="14" t="s">
        <v>88</v>
      </c>
      <c r="AU10" s="14">
        <v>0</v>
      </c>
      <c r="AV10" s="14"/>
      <c r="AW10" s="14">
        <v>0.131076517411612</v>
      </c>
      <c r="AX10" s="14">
        <v>0.169774022107895</v>
      </c>
      <c r="AY10" s="14"/>
      <c r="AZ10" s="14">
        <v>0.132261411876339</v>
      </c>
      <c r="BA10" s="14">
        <v>0.14152682853639101</v>
      </c>
    </row>
    <row r="11" spans="2:53" x14ac:dyDescent="0.35">
      <c r="B11" s="15" t="s">
        <v>116</v>
      </c>
      <c r="C11" s="23">
        <v>5.9941889390768499E-2</v>
      </c>
      <c r="D11" s="23">
        <v>6.7532874262215298E-2</v>
      </c>
      <c r="E11" s="23">
        <v>5.0297882423036303E-2</v>
      </c>
      <c r="F11" s="23"/>
      <c r="G11" s="23">
        <v>0</v>
      </c>
      <c r="H11" s="23">
        <v>5.8703678998730101E-2</v>
      </c>
      <c r="I11" s="23">
        <v>5.5587513898851998E-2</v>
      </c>
      <c r="J11" s="23">
        <v>8.8102019454331298E-2</v>
      </c>
      <c r="K11" s="23">
        <v>5.8303121534387797E-2</v>
      </c>
      <c r="L11" s="23" t="s">
        <v>88</v>
      </c>
      <c r="M11" s="23"/>
      <c r="N11" s="23">
        <v>2.3136878386312801E-2</v>
      </c>
      <c r="O11" s="23">
        <v>5.1289662823314597E-2</v>
      </c>
      <c r="P11" s="23">
        <v>6.4194555931859201E-2</v>
      </c>
      <c r="Q11" s="23">
        <v>0.110868049638634</v>
      </c>
      <c r="R11" s="23"/>
      <c r="S11" s="23">
        <v>8.9459161540331594E-2</v>
      </c>
      <c r="T11" s="23">
        <v>0.11677819192466</v>
      </c>
      <c r="U11" s="23">
        <v>3.7601885013996701E-2</v>
      </c>
      <c r="V11" s="23">
        <v>3.58096195687349E-2</v>
      </c>
      <c r="W11" s="23">
        <v>0</v>
      </c>
      <c r="X11" s="23">
        <v>6.9075556563873403E-2</v>
      </c>
      <c r="Y11" s="23">
        <v>5.8360847927726403E-2</v>
      </c>
      <c r="Z11" s="23">
        <v>6.3901624402766394E-2</v>
      </c>
      <c r="AA11" s="23">
        <v>0</v>
      </c>
      <c r="AB11" s="23"/>
      <c r="AC11" s="23">
        <v>7.9717708168056595E-2</v>
      </c>
      <c r="AD11" s="23">
        <v>0.114723810610529</v>
      </c>
      <c r="AE11" s="23">
        <v>2.5581384912526501E-2</v>
      </c>
      <c r="AF11" s="23">
        <v>8.9630543379053504E-2</v>
      </c>
      <c r="AG11" s="23">
        <v>0</v>
      </c>
      <c r="AH11" s="23"/>
      <c r="AI11" s="23">
        <v>4.2511172488706103E-2</v>
      </c>
      <c r="AJ11" s="23">
        <v>4.1100311900212599E-2</v>
      </c>
      <c r="AK11" s="23">
        <v>9.3983548662478801E-3</v>
      </c>
      <c r="AL11" s="23">
        <v>4.9073516523810201E-2</v>
      </c>
      <c r="AM11" s="23">
        <v>0.103093387743407</v>
      </c>
      <c r="AN11" s="23">
        <v>6.3100007953368203E-2</v>
      </c>
      <c r="AO11" s="23"/>
      <c r="AP11" s="23">
        <v>8.0622212031610005E-2</v>
      </c>
      <c r="AQ11" s="23">
        <v>4.1680994851315101E-2</v>
      </c>
      <c r="AR11" s="23"/>
      <c r="AS11" s="23">
        <v>6.0053767613204599E-2</v>
      </c>
      <c r="AT11" s="23" t="s">
        <v>88</v>
      </c>
      <c r="AU11" s="23">
        <v>0</v>
      </c>
      <c r="AV11" s="23"/>
      <c r="AW11" s="23">
        <v>6.7411975414085001E-2</v>
      </c>
      <c r="AX11" s="23">
        <v>4.4777685976478496E-3</v>
      </c>
      <c r="AY11" s="23"/>
      <c r="AZ11" s="23">
        <v>5.2869376945120103E-2</v>
      </c>
      <c r="BA11" s="23">
        <v>7.2379625549811297E-2</v>
      </c>
    </row>
    <row r="12" spans="2:53" x14ac:dyDescent="0.35">
      <c r="B12" s="16" t="s">
        <v>213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303</v>
      </c>
      <c r="D7" s="10">
        <v>137</v>
      </c>
      <c r="E7" s="10">
        <v>166</v>
      </c>
      <c r="F7" s="10"/>
      <c r="G7" s="10">
        <v>5</v>
      </c>
      <c r="H7" s="10">
        <v>110</v>
      </c>
      <c r="I7" s="10">
        <v>143</v>
      </c>
      <c r="J7" s="10">
        <v>36</v>
      </c>
      <c r="K7" s="10">
        <v>9</v>
      </c>
      <c r="L7" s="10" t="s">
        <v>87</v>
      </c>
      <c r="M7" s="10"/>
      <c r="N7" s="10">
        <v>152</v>
      </c>
      <c r="O7" s="10">
        <v>74</v>
      </c>
      <c r="P7" s="10">
        <v>36</v>
      </c>
      <c r="Q7" s="10">
        <v>41</v>
      </c>
      <c r="R7" s="10"/>
      <c r="S7" s="10">
        <v>70</v>
      </c>
      <c r="T7" s="10">
        <v>45</v>
      </c>
      <c r="U7" s="10">
        <v>27</v>
      </c>
      <c r="V7" s="10">
        <v>30</v>
      </c>
      <c r="W7" s="10">
        <v>20</v>
      </c>
      <c r="X7" s="10">
        <v>25</v>
      </c>
      <c r="Y7" s="10">
        <v>25</v>
      </c>
      <c r="Z7" s="10">
        <v>17</v>
      </c>
      <c r="AA7" s="10">
        <v>44</v>
      </c>
      <c r="AB7" s="10"/>
      <c r="AC7" s="10">
        <v>26</v>
      </c>
      <c r="AD7" s="10">
        <v>45</v>
      </c>
      <c r="AE7" s="10">
        <v>116</v>
      </c>
      <c r="AF7" s="10">
        <v>64</v>
      </c>
      <c r="AG7" s="10">
        <v>27</v>
      </c>
      <c r="AH7" s="10"/>
      <c r="AI7" s="10">
        <v>126</v>
      </c>
      <c r="AJ7" s="10">
        <v>54</v>
      </c>
      <c r="AK7" s="10">
        <v>35</v>
      </c>
      <c r="AL7" s="10">
        <v>33</v>
      </c>
      <c r="AM7" s="10">
        <v>14</v>
      </c>
      <c r="AN7" s="10">
        <v>19</v>
      </c>
      <c r="AO7" s="10"/>
      <c r="AP7" s="10">
        <v>151</v>
      </c>
      <c r="AQ7" s="10">
        <v>152</v>
      </c>
      <c r="AR7" s="10"/>
      <c r="AS7" s="10">
        <v>302</v>
      </c>
      <c r="AT7" s="10" t="s">
        <v>87</v>
      </c>
      <c r="AU7" s="10">
        <v>1</v>
      </c>
      <c r="AV7" s="10"/>
      <c r="AW7" s="10">
        <v>206</v>
      </c>
      <c r="AX7" s="10">
        <v>87</v>
      </c>
      <c r="AY7" s="10"/>
      <c r="AZ7" s="10">
        <v>252</v>
      </c>
      <c r="BA7" s="10">
        <v>51</v>
      </c>
    </row>
    <row r="8" spans="2:53" ht="30" customHeight="1" x14ac:dyDescent="0.35">
      <c r="B8" s="11" t="s">
        <v>19</v>
      </c>
      <c r="C8" s="11">
        <v>287</v>
      </c>
      <c r="D8" s="11">
        <v>160</v>
      </c>
      <c r="E8" s="11">
        <v>127</v>
      </c>
      <c r="F8" s="11"/>
      <c r="G8" s="11">
        <v>4</v>
      </c>
      <c r="H8" s="11">
        <v>86</v>
      </c>
      <c r="I8" s="11">
        <v>147</v>
      </c>
      <c r="J8" s="11">
        <v>37</v>
      </c>
      <c r="K8" s="11">
        <v>12</v>
      </c>
      <c r="L8" s="11" t="s">
        <v>87</v>
      </c>
      <c r="M8" s="11"/>
      <c r="N8" s="11">
        <v>89</v>
      </c>
      <c r="O8" s="11">
        <v>82</v>
      </c>
      <c r="P8" s="11">
        <v>53</v>
      </c>
      <c r="Q8" s="11">
        <v>64</v>
      </c>
      <c r="R8" s="11"/>
      <c r="S8" s="11">
        <v>56</v>
      </c>
      <c r="T8" s="11">
        <v>46</v>
      </c>
      <c r="U8" s="11">
        <v>36</v>
      </c>
      <c r="V8" s="11">
        <v>37</v>
      </c>
      <c r="W8" s="11">
        <v>21</v>
      </c>
      <c r="X8" s="11">
        <v>16</v>
      </c>
      <c r="Y8" s="11">
        <v>21</v>
      </c>
      <c r="Z8" s="11">
        <v>17</v>
      </c>
      <c r="AA8" s="11">
        <v>37</v>
      </c>
      <c r="AB8" s="11"/>
      <c r="AC8" s="11">
        <v>34</v>
      </c>
      <c r="AD8" s="11">
        <v>58</v>
      </c>
      <c r="AE8" s="11">
        <v>107</v>
      </c>
      <c r="AF8" s="11">
        <v>44</v>
      </c>
      <c r="AG8" s="11">
        <v>15</v>
      </c>
      <c r="AH8" s="11"/>
      <c r="AI8" s="11">
        <v>106</v>
      </c>
      <c r="AJ8" s="11">
        <v>50</v>
      </c>
      <c r="AK8" s="11">
        <v>36</v>
      </c>
      <c r="AL8" s="11">
        <v>36</v>
      </c>
      <c r="AM8" s="11">
        <v>14</v>
      </c>
      <c r="AN8" s="11">
        <v>19</v>
      </c>
      <c r="AO8" s="11"/>
      <c r="AP8" s="11">
        <v>135</v>
      </c>
      <c r="AQ8" s="11">
        <v>152</v>
      </c>
      <c r="AR8" s="11"/>
      <c r="AS8" s="11">
        <v>286</v>
      </c>
      <c r="AT8" s="11" t="s">
        <v>87</v>
      </c>
      <c r="AU8" s="11">
        <v>1</v>
      </c>
      <c r="AV8" s="11"/>
      <c r="AW8" s="11">
        <v>214</v>
      </c>
      <c r="AX8" s="11">
        <v>61</v>
      </c>
      <c r="AY8" s="11"/>
      <c r="AZ8" s="11">
        <v>237</v>
      </c>
      <c r="BA8" s="11">
        <v>50</v>
      </c>
    </row>
    <row r="9" spans="2:53" x14ac:dyDescent="0.35">
      <c r="B9" s="15" t="s">
        <v>214</v>
      </c>
      <c r="C9" s="14">
        <v>0.21796355832824199</v>
      </c>
      <c r="D9" s="14">
        <v>0.22463446052806901</v>
      </c>
      <c r="E9" s="14">
        <v>0.20959715846827401</v>
      </c>
      <c r="F9" s="14"/>
      <c r="G9" s="14">
        <v>0.116200444104035</v>
      </c>
      <c r="H9" s="14">
        <v>0.27600795373966802</v>
      </c>
      <c r="I9" s="14">
        <v>0.178484647370281</v>
      </c>
      <c r="J9" s="14">
        <v>0.247249842672146</v>
      </c>
      <c r="K9" s="14">
        <v>0.230126595984815</v>
      </c>
      <c r="L9" s="14" t="s">
        <v>88</v>
      </c>
      <c r="M9" s="14"/>
      <c r="N9" s="14">
        <v>0.23960652807789801</v>
      </c>
      <c r="O9" s="14">
        <v>0.19122201426968799</v>
      </c>
      <c r="P9" s="14">
        <v>0.11465087899290401</v>
      </c>
      <c r="Q9" s="14">
        <v>0.30796941857090399</v>
      </c>
      <c r="R9" s="14"/>
      <c r="S9" s="14">
        <v>0.25448869185572898</v>
      </c>
      <c r="T9" s="14">
        <v>0.22559600878358799</v>
      </c>
      <c r="U9" s="14">
        <v>0.208121554543097</v>
      </c>
      <c r="V9" s="14">
        <v>9.9485036443043795E-2</v>
      </c>
      <c r="W9" s="14">
        <v>0.12262009807169599</v>
      </c>
      <c r="X9" s="14">
        <v>0.27053064569920998</v>
      </c>
      <c r="Y9" s="14">
        <v>0.252542671745903</v>
      </c>
      <c r="Z9" s="14">
        <v>0.23075439956318999</v>
      </c>
      <c r="AA9" s="14">
        <v>0.28574931372219597</v>
      </c>
      <c r="AB9" s="14"/>
      <c r="AC9" s="14">
        <v>0.370246262533517</v>
      </c>
      <c r="AD9" s="14">
        <v>0.13808023021048901</v>
      </c>
      <c r="AE9" s="14">
        <v>0.18983416480371201</v>
      </c>
      <c r="AF9" s="14">
        <v>0.22192462633332799</v>
      </c>
      <c r="AG9" s="14">
        <v>0.43108190142191199</v>
      </c>
      <c r="AH9" s="14"/>
      <c r="AI9" s="14">
        <v>0.25609651955828</v>
      </c>
      <c r="AJ9" s="14">
        <v>0.25290507474555601</v>
      </c>
      <c r="AK9" s="14">
        <v>0.118059116105232</v>
      </c>
      <c r="AL9" s="14">
        <v>0.20837903995456</v>
      </c>
      <c r="AM9" s="14">
        <v>0.21994653008905801</v>
      </c>
      <c r="AN9" s="14">
        <v>0.15185767231918801</v>
      </c>
      <c r="AO9" s="14"/>
      <c r="AP9" s="14">
        <v>0.221787090067289</v>
      </c>
      <c r="AQ9" s="14">
        <v>0.21454525062568799</v>
      </c>
      <c r="AR9" s="14"/>
      <c r="AS9" s="14">
        <v>0.218468122384919</v>
      </c>
      <c r="AT9" s="14" t="s">
        <v>88</v>
      </c>
      <c r="AU9" s="14">
        <v>0</v>
      </c>
      <c r="AV9" s="14"/>
      <c r="AW9" s="14">
        <v>0.16269995469293899</v>
      </c>
      <c r="AX9" s="14">
        <v>0.397825976128859</v>
      </c>
      <c r="AY9" s="14"/>
      <c r="AZ9" s="14">
        <v>0.237642554822798</v>
      </c>
      <c r="BA9" s="14">
        <v>0.124995793686708</v>
      </c>
    </row>
    <row r="10" spans="2:53" x14ac:dyDescent="0.35">
      <c r="B10" s="15" t="s">
        <v>215</v>
      </c>
      <c r="C10" s="14">
        <v>0.49537287535313901</v>
      </c>
      <c r="D10" s="14">
        <v>0.50001671847354501</v>
      </c>
      <c r="E10" s="14">
        <v>0.48954873833711599</v>
      </c>
      <c r="F10" s="14"/>
      <c r="G10" s="14">
        <v>0.41630413197357502</v>
      </c>
      <c r="H10" s="14">
        <v>0.51071590663755995</v>
      </c>
      <c r="I10" s="14">
        <v>0.50962211659874801</v>
      </c>
      <c r="J10" s="14">
        <v>0.39216983508354403</v>
      </c>
      <c r="K10" s="14">
        <v>0.56341337332581798</v>
      </c>
      <c r="L10" s="14" t="s">
        <v>88</v>
      </c>
      <c r="M10" s="14"/>
      <c r="N10" s="14">
        <v>0.52172553853683301</v>
      </c>
      <c r="O10" s="14">
        <v>0.54222739177429402</v>
      </c>
      <c r="P10" s="14">
        <v>0.43341579036275102</v>
      </c>
      <c r="Q10" s="14">
        <v>0.45034394094533298</v>
      </c>
      <c r="R10" s="14"/>
      <c r="S10" s="14">
        <v>0.556623198889314</v>
      </c>
      <c r="T10" s="14">
        <v>0.44316438639795502</v>
      </c>
      <c r="U10" s="14">
        <v>0.50365995689140597</v>
      </c>
      <c r="V10" s="14">
        <v>0.51543776828056698</v>
      </c>
      <c r="W10" s="14">
        <v>0.54101873470022399</v>
      </c>
      <c r="X10" s="14">
        <v>0.36162305026896702</v>
      </c>
      <c r="Y10" s="14">
        <v>0.484532367278178</v>
      </c>
      <c r="Z10" s="14">
        <v>0.63809773405986503</v>
      </c>
      <c r="AA10" s="14">
        <v>0.41441449073423903</v>
      </c>
      <c r="AB10" s="14"/>
      <c r="AC10" s="14">
        <v>0.465461127151792</v>
      </c>
      <c r="AD10" s="14">
        <v>0.48449359235508599</v>
      </c>
      <c r="AE10" s="14">
        <v>0.48140902778609301</v>
      </c>
      <c r="AF10" s="14">
        <v>0.58395458188062799</v>
      </c>
      <c r="AG10" s="14">
        <v>0.39572159457578998</v>
      </c>
      <c r="AH10" s="14"/>
      <c r="AI10" s="14">
        <v>0.50089057322253205</v>
      </c>
      <c r="AJ10" s="14">
        <v>0.53826999309453405</v>
      </c>
      <c r="AK10" s="14">
        <v>0.53415329568061898</v>
      </c>
      <c r="AL10" s="14">
        <v>0.49803326398060699</v>
      </c>
      <c r="AM10" s="14">
        <v>0.47932344613195899</v>
      </c>
      <c r="AN10" s="14">
        <v>0.50593525532682204</v>
      </c>
      <c r="AO10" s="14"/>
      <c r="AP10" s="14">
        <v>0.50231491903344805</v>
      </c>
      <c r="AQ10" s="14">
        <v>0.48916656061497998</v>
      </c>
      <c r="AR10" s="14"/>
      <c r="AS10" s="14">
        <v>0.49651961451207399</v>
      </c>
      <c r="AT10" s="14" t="s">
        <v>88</v>
      </c>
      <c r="AU10" s="14">
        <v>0</v>
      </c>
      <c r="AV10" s="14"/>
      <c r="AW10" s="14">
        <v>0.53255211062548002</v>
      </c>
      <c r="AX10" s="14">
        <v>0.4037166697008</v>
      </c>
      <c r="AY10" s="14"/>
      <c r="AZ10" s="14">
        <v>0.50181456151464199</v>
      </c>
      <c r="BA10" s="14">
        <v>0.46494097995019001</v>
      </c>
    </row>
    <row r="11" spans="2:53" x14ac:dyDescent="0.35">
      <c r="B11" s="15" t="s">
        <v>216</v>
      </c>
      <c r="C11" s="14">
        <v>0.13291795697745701</v>
      </c>
      <c r="D11" s="14">
        <v>0.13376932498632599</v>
      </c>
      <c r="E11" s="14">
        <v>0.131850202575306</v>
      </c>
      <c r="F11" s="14"/>
      <c r="G11" s="14">
        <v>0.46749542392239002</v>
      </c>
      <c r="H11" s="14">
        <v>8.8731070880195495E-2</v>
      </c>
      <c r="I11" s="14">
        <v>0.16183587532006499</v>
      </c>
      <c r="J11" s="14">
        <v>0.12337643312777501</v>
      </c>
      <c r="K11" s="14">
        <v>0</v>
      </c>
      <c r="L11" s="14" t="s">
        <v>88</v>
      </c>
      <c r="M11" s="14"/>
      <c r="N11" s="14">
        <v>0.11213101780054099</v>
      </c>
      <c r="O11" s="14">
        <v>0.11246560464624</v>
      </c>
      <c r="P11" s="14">
        <v>0.18903581353979301</v>
      </c>
      <c r="Q11" s="14">
        <v>0.141300618961583</v>
      </c>
      <c r="R11" s="14"/>
      <c r="S11" s="14">
        <v>0.117208489045345</v>
      </c>
      <c r="T11" s="14">
        <v>0.14610787771436901</v>
      </c>
      <c r="U11" s="14">
        <v>1.8093262640022301E-2</v>
      </c>
      <c r="V11" s="14">
        <v>0.18175581899381099</v>
      </c>
      <c r="W11" s="14">
        <v>0.30460813938681303</v>
      </c>
      <c r="X11" s="14">
        <v>9.3335436566461497E-2</v>
      </c>
      <c r="Y11" s="14">
        <v>0.158244400556838</v>
      </c>
      <c r="Z11" s="14">
        <v>7.5039306982670598E-2</v>
      </c>
      <c r="AA11" s="14">
        <v>0.13458589221259701</v>
      </c>
      <c r="AB11" s="14"/>
      <c r="AC11" s="14">
        <v>5.5949394752694399E-2</v>
      </c>
      <c r="AD11" s="14">
        <v>0.16524748766827799</v>
      </c>
      <c r="AE11" s="14">
        <v>0.172553379590694</v>
      </c>
      <c r="AF11" s="14">
        <v>4.0633607189971097E-2</v>
      </c>
      <c r="AG11" s="14">
        <v>0.16225394768458101</v>
      </c>
      <c r="AH11" s="14"/>
      <c r="AI11" s="14">
        <v>0.116769409915015</v>
      </c>
      <c r="AJ11" s="14">
        <v>0.11599233507038199</v>
      </c>
      <c r="AK11" s="14">
        <v>0.15620565450971199</v>
      </c>
      <c r="AL11" s="14">
        <v>0.19832622556206</v>
      </c>
      <c r="AM11" s="14">
        <v>6.3055316250642895E-2</v>
      </c>
      <c r="AN11" s="14">
        <v>9.8410146606399407E-2</v>
      </c>
      <c r="AO11" s="14"/>
      <c r="AP11" s="14">
        <v>0.17006365651037</v>
      </c>
      <c r="AQ11" s="14">
        <v>9.9709018358380003E-2</v>
      </c>
      <c r="AR11" s="14"/>
      <c r="AS11" s="14">
        <v>0.13322564888748101</v>
      </c>
      <c r="AT11" s="14" t="s">
        <v>88</v>
      </c>
      <c r="AU11" s="14">
        <v>0</v>
      </c>
      <c r="AV11" s="14"/>
      <c r="AW11" s="14">
        <v>0.13320903389203301</v>
      </c>
      <c r="AX11" s="14">
        <v>0.12074837904968801</v>
      </c>
      <c r="AY11" s="14"/>
      <c r="AZ11" s="14">
        <v>0.12930353793726601</v>
      </c>
      <c r="BA11" s="14">
        <v>0.149993241214501</v>
      </c>
    </row>
    <row r="12" spans="2:53" x14ac:dyDescent="0.35">
      <c r="B12" s="15" t="s">
        <v>217</v>
      </c>
      <c r="C12" s="14">
        <v>1.5114335122555901E-2</v>
      </c>
      <c r="D12" s="14">
        <v>1.14438225615562E-2</v>
      </c>
      <c r="E12" s="14">
        <v>1.97177567972362E-2</v>
      </c>
      <c r="F12" s="14"/>
      <c r="G12" s="14">
        <v>0</v>
      </c>
      <c r="H12" s="14">
        <v>0</v>
      </c>
      <c r="I12" s="14">
        <v>2.2808088222085798E-2</v>
      </c>
      <c r="J12" s="14">
        <v>2.6391181980576502E-2</v>
      </c>
      <c r="K12" s="14">
        <v>0</v>
      </c>
      <c r="L12" s="14" t="s">
        <v>88</v>
      </c>
      <c r="M12" s="14"/>
      <c r="N12" s="14">
        <v>2.06467728419816E-2</v>
      </c>
      <c r="O12" s="14">
        <v>0</v>
      </c>
      <c r="P12" s="14">
        <v>4.7358176372148703E-2</v>
      </c>
      <c r="Q12" s="14">
        <v>0</v>
      </c>
      <c r="R12" s="14"/>
      <c r="S12" s="14">
        <v>0</v>
      </c>
      <c r="T12" s="14">
        <v>0</v>
      </c>
      <c r="U12" s="14">
        <v>4.2464919683952301E-2</v>
      </c>
      <c r="V12" s="14">
        <v>0</v>
      </c>
      <c r="W12" s="14">
        <v>0</v>
      </c>
      <c r="X12" s="14">
        <v>6.1077930909835397E-2</v>
      </c>
      <c r="Y12" s="14">
        <v>4.1985936237479198E-2</v>
      </c>
      <c r="Z12" s="14">
        <v>5.6108559394274601E-2</v>
      </c>
      <c r="AA12" s="14">
        <v>0</v>
      </c>
      <c r="AB12" s="14"/>
      <c r="AC12" s="14">
        <v>2.9273827738890701E-2</v>
      </c>
      <c r="AD12" s="14">
        <v>0</v>
      </c>
      <c r="AE12" s="14">
        <v>1.41685871204254E-2</v>
      </c>
      <c r="AF12" s="14">
        <v>0</v>
      </c>
      <c r="AG12" s="14">
        <v>0</v>
      </c>
      <c r="AH12" s="14"/>
      <c r="AI12" s="14">
        <v>8.7886569038104594E-3</v>
      </c>
      <c r="AJ12" s="14">
        <v>4.8094383451440299E-2</v>
      </c>
      <c r="AK12" s="14">
        <v>0</v>
      </c>
      <c r="AL12" s="14">
        <v>0</v>
      </c>
      <c r="AM12" s="14">
        <v>0</v>
      </c>
      <c r="AN12" s="14">
        <v>5.31778788971905E-2</v>
      </c>
      <c r="AO12" s="14"/>
      <c r="AP12" s="14">
        <v>0</v>
      </c>
      <c r="AQ12" s="14">
        <v>2.8626828726516101E-2</v>
      </c>
      <c r="AR12" s="14"/>
      <c r="AS12" s="14">
        <v>1.51493233118748E-2</v>
      </c>
      <c r="AT12" s="14" t="s">
        <v>88</v>
      </c>
      <c r="AU12" s="14">
        <v>0</v>
      </c>
      <c r="AV12" s="14"/>
      <c r="AW12" s="14">
        <v>1.31826665063317E-2</v>
      </c>
      <c r="AX12" s="14">
        <v>2.4959830145703799E-2</v>
      </c>
      <c r="AY12" s="14"/>
      <c r="AZ12" s="14">
        <v>1.1891376231893701E-2</v>
      </c>
      <c r="BA12" s="14">
        <v>3.0340278360023301E-2</v>
      </c>
    </row>
    <row r="13" spans="2:53" x14ac:dyDescent="0.35">
      <c r="B13" s="15" t="s">
        <v>116</v>
      </c>
      <c r="C13" s="23">
        <v>9.8849028634511102E-2</v>
      </c>
      <c r="D13" s="23">
        <v>9.2918057585955297E-2</v>
      </c>
      <c r="E13" s="23">
        <v>0.106287434095079</v>
      </c>
      <c r="F13" s="23"/>
      <c r="G13" s="23">
        <v>0</v>
      </c>
      <c r="H13" s="23">
        <v>0.106980121993783</v>
      </c>
      <c r="I13" s="23">
        <v>8.7639513470889302E-2</v>
      </c>
      <c r="J13" s="23">
        <v>0.136873032413701</v>
      </c>
      <c r="K13" s="23">
        <v>9.5715259532651795E-2</v>
      </c>
      <c r="L13" s="23" t="s">
        <v>88</v>
      </c>
      <c r="M13" s="23"/>
      <c r="N13" s="23">
        <v>5.3279516725661197E-2</v>
      </c>
      <c r="O13" s="23">
        <v>8.7732973596105698E-2</v>
      </c>
      <c r="P13" s="23">
        <v>0.19020433464790801</v>
      </c>
      <c r="Q13" s="23">
        <v>0.10038602152218</v>
      </c>
      <c r="R13" s="23"/>
      <c r="S13" s="23">
        <v>7.1679620209612702E-2</v>
      </c>
      <c r="T13" s="23">
        <v>0.103826719805944</v>
      </c>
      <c r="U13" s="23">
        <v>0.19097702531730301</v>
      </c>
      <c r="V13" s="23">
        <v>0.10950535173770901</v>
      </c>
      <c r="W13" s="23">
        <v>0</v>
      </c>
      <c r="X13" s="23">
        <v>0.16041815114242899</v>
      </c>
      <c r="Y13" s="23">
        <v>4.1985936237479198E-2</v>
      </c>
      <c r="Z13" s="23">
        <v>0</v>
      </c>
      <c r="AA13" s="23">
        <v>0.14032074337040301</v>
      </c>
      <c r="AB13" s="23"/>
      <c r="AC13" s="23">
        <v>3.6339454578142499E-2</v>
      </c>
      <c r="AD13" s="23">
        <v>0.15071256184350099</v>
      </c>
      <c r="AE13" s="23">
        <v>0.102555457809374</v>
      </c>
      <c r="AF13" s="23">
        <v>0.107299471641013</v>
      </c>
      <c r="AG13" s="23">
        <v>0</v>
      </c>
      <c r="AH13" s="23"/>
      <c r="AI13" s="23">
        <v>7.6234114484382998E-2</v>
      </c>
      <c r="AJ13" s="23">
        <v>1.28582575937064E-2</v>
      </c>
      <c r="AK13" s="23">
        <v>0.10016943925915101</v>
      </c>
      <c r="AL13" s="23">
        <v>8.6752635387693899E-2</v>
      </c>
      <c r="AM13" s="23">
        <v>0.23767470752834099</v>
      </c>
      <c r="AN13" s="23">
        <v>0.139626822703076</v>
      </c>
      <c r="AO13" s="23"/>
      <c r="AP13" s="23">
        <v>7.9794651979480199E-2</v>
      </c>
      <c r="AQ13" s="23">
        <v>0.115883991839364</v>
      </c>
      <c r="AR13" s="23"/>
      <c r="AS13" s="23">
        <v>9.9077854348630298E-2</v>
      </c>
      <c r="AT13" s="23" t="s">
        <v>88</v>
      </c>
      <c r="AU13" s="23">
        <v>0</v>
      </c>
      <c r="AV13" s="23"/>
      <c r="AW13" s="23">
        <v>0.12306745592398501</v>
      </c>
      <c r="AX13" s="23">
        <v>0</v>
      </c>
      <c r="AY13" s="23"/>
      <c r="AZ13" s="23">
        <v>7.8876856850796401E-2</v>
      </c>
      <c r="BA13" s="23">
        <v>0.19320181569264999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BA19"/>
  <sheetViews>
    <sheetView showGridLines="0" topLeftCell="A6" workbookViewId="0">
      <pane xSplit="2" topLeftCell="C1" activePane="topRight" state="frozen"/>
      <selection pane="topRight" activeCell="BC12" sqref="BC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303</v>
      </c>
      <c r="D7" s="10">
        <v>137</v>
      </c>
      <c r="E7" s="10">
        <v>166</v>
      </c>
      <c r="F7" s="10"/>
      <c r="G7" s="10">
        <v>5</v>
      </c>
      <c r="H7" s="10">
        <v>110</v>
      </c>
      <c r="I7" s="10">
        <v>143</v>
      </c>
      <c r="J7" s="10">
        <v>36</v>
      </c>
      <c r="K7" s="10">
        <v>9</v>
      </c>
      <c r="L7" s="10" t="s">
        <v>87</v>
      </c>
      <c r="M7" s="10"/>
      <c r="N7" s="10">
        <v>152</v>
      </c>
      <c r="O7" s="10">
        <v>74</v>
      </c>
      <c r="P7" s="10">
        <v>36</v>
      </c>
      <c r="Q7" s="10">
        <v>41</v>
      </c>
      <c r="R7" s="10"/>
      <c r="S7" s="10">
        <v>70</v>
      </c>
      <c r="T7" s="10">
        <v>45</v>
      </c>
      <c r="U7" s="10">
        <v>27</v>
      </c>
      <c r="V7" s="10">
        <v>30</v>
      </c>
      <c r="W7" s="10">
        <v>20</v>
      </c>
      <c r="X7" s="10">
        <v>25</v>
      </c>
      <c r="Y7" s="10">
        <v>25</v>
      </c>
      <c r="Z7" s="10">
        <v>17</v>
      </c>
      <c r="AA7" s="10">
        <v>44</v>
      </c>
      <c r="AB7" s="10"/>
      <c r="AC7" s="10">
        <v>26</v>
      </c>
      <c r="AD7" s="10">
        <v>45</v>
      </c>
      <c r="AE7" s="10">
        <v>116</v>
      </c>
      <c r="AF7" s="10">
        <v>64</v>
      </c>
      <c r="AG7" s="10">
        <v>27</v>
      </c>
      <c r="AH7" s="10"/>
      <c r="AI7" s="10">
        <v>126</v>
      </c>
      <c r="AJ7" s="10">
        <v>54</v>
      </c>
      <c r="AK7" s="10">
        <v>35</v>
      </c>
      <c r="AL7" s="10">
        <v>33</v>
      </c>
      <c r="AM7" s="10">
        <v>14</v>
      </c>
      <c r="AN7" s="10">
        <v>19</v>
      </c>
      <c r="AO7" s="10"/>
      <c r="AP7" s="10">
        <v>151</v>
      </c>
      <c r="AQ7" s="10">
        <v>152</v>
      </c>
      <c r="AR7" s="10"/>
      <c r="AS7" s="10">
        <v>302</v>
      </c>
      <c r="AT7" s="10" t="s">
        <v>87</v>
      </c>
      <c r="AU7" s="10">
        <v>1</v>
      </c>
      <c r="AV7" s="10"/>
      <c r="AW7" s="10">
        <v>206</v>
      </c>
      <c r="AX7" s="10">
        <v>87</v>
      </c>
      <c r="AY7" s="10"/>
      <c r="AZ7" s="10">
        <v>252</v>
      </c>
      <c r="BA7" s="10">
        <v>51</v>
      </c>
    </row>
    <row r="8" spans="2:53" ht="30" customHeight="1" x14ac:dyDescent="0.35">
      <c r="B8" s="11" t="s">
        <v>19</v>
      </c>
      <c r="C8" s="11">
        <v>287</v>
      </c>
      <c r="D8" s="11">
        <v>160</v>
      </c>
      <c r="E8" s="11">
        <v>127</v>
      </c>
      <c r="F8" s="11"/>
      <c r="G8" s="11">
        <v>4</v>
      </c>
      <c r="H8" s="11">
        <v>86</v>
      </c>
      <c r="I8" s="11">
        <v>147</v>
      </c>
      <c r="J8" s="11">
        <v>37</v>
      </c>
      <c r="K8" s="11">
        <v>12</v>
      </c>
      <c r="L8" s="11" t="s">
        <v>87</v>
      </c>
      <c r="M8" s="11"/>
      <c r="N8" s="11">
        <v>89</v>
      </c>
      <c r="O8" s="11">
        <v>82</v>
      </c>
      <c r="P8" s="11">
        <v>53</v>
      </c>
      <c r="Q8" s="11">
        <v>64</v>
      </c>
      <c r="R8" s="11"/>
      <c r="S8" s="11">
        <v>56</v>
      </c>
      <c r="T8" s="11">
        <v>46</v>
      </c>
      <c r="U8" s="11">
        <v>36</v>
      </c>
      <c r="V8" s="11">
        <v>37</v>
      </c>
      <c r="W8" s="11">
        <v>21</v>
      </c>
      <c r="X8" s="11">
        <v>16</v>
      </c>
      <c r="Y8" s="11">
        <v>21</v>
      </c>
      <c r="Z8" s="11">
        <v>17</v>
      </c>
      <c r="AA8" s="11">
        <v>37</v>
      </c>
      <c r="AB8" s="11"/>
      <c r="AC8" s="11">
        <v>34</v>
      </c>
      <c r="AD8" s="11">
        <v>58</v>
      </c>
      <c r="AE8" s="11">
        <v>107</v>
      </c>
      <c r="AF8" s="11">
        <v>44</v>
      </c>
      <c r="AG8" s="11">
        <v>15</v>
      </c>
      <c r="AH8" s="11"/>
      <c r="AI8" s="11">
        <v>106</v>
      </c>
      <c r="AJ8" s="11">
        <v>50</v>
      </c>
      <c r="AK8" s="11">
        <v>36</v>
      </c>
      <c r="AL8" s="11">
        <v>36</v>
      </c>
      <c r="AM8" s="11">
        <v>14</v>
      </c>
      <c r="AN8" s="11">
        <v>19</v>
      </c>
      <c r="AO8" s="11"/>
      <c r="AP8" s="11">
        <v>135</v>
      </c>
      <c r="AQ8" s="11">
        <v>152</v>
      </c>
      <c r="AR8" s="11"/>
      <c r="AS8" s="11">
        <v>286</v>
      </c>
      <c r="AT8" s="11" t="s">
        <v>87</v>
      </c>
      <c r="AU8" s="11">
        <v>1</v>
      </c>
      <c r="AV8" s="11"/>
      <c r="AW8" s="11">
        <v>214</v>
      </c>
      <c r="AX8" s="11">
        <v>61</v>
      </c>
      <c r="AY8" s="11"/>
      <c r="AZ8" s="11">
        <v>237</v>
      </c>
      <c r="BA8" s="11">
        <v>50</v>
      </c>
    </row>
    <row r="9" spans="2:53" x14ac:dyDescent="0.35">
      <c r="B9" s="15" t="s">
        <v>220</v>
      </c>
      <c r="C9" s="14">
        <v>0.44875696650825497</v>
      </c>
      <c r="D9" s="14">
        <v>0.41261900820024</v>
      </c>
      <c r="E9" s="14">
        <v>0.49407986291280998</v>
      </c>
      <c r="F9" s="14"/>
      <c r="G9" s="14">
        <v>0.58369586802642504</v>
      </c>
      <c r="H9" s="14">
        <v>0.48821164386858101</v>
      </c>
      <c r="I9" s="14">
        <v>0.42367295348338901</v>
      </c>
      <c r="J9" s="14">
        <v>0.42032155909699598</v>
      </c>
      <c r="K9" s="14">
        <v>0.51073108840188497</v>
      </c>
      <c r="L9" s="14" t="s">
        <v>88</v>
      </c>
      <c r="M9" s="14"/>
      <c r="N9" s="14">
        <v>0.44987302242393801</v>
      </c>
      <c r="O9" s="14">
        <v>0.41611634973832001</v>
      </c>
      <c r="P9" s="14">
        <v>0.36687954975218101</v>
      </c>
      <c r="Q9" s="14">
        <v>0.55697094752705301</v>
      </c>
      <c r="R9" s="14"/>
      <c r="S9" s="14">
        <v>0.50462524444984502</v>
      </c>
      <c r="T9" s="14">
        <v>0.58158288856640805</v>
      </c>
      <c r="U9" s="14">
        <v>0.37001517082264102</v>
      </c>
      <c r="V9" s="14">
        <v>0.283073018061543</v>
      </c>
      <c r="W9" s="14">
        <v>0.54828564567805704</v>
      </c>
      <c r="X9" s="14">
        <v>0.36761739490402701</v>
      </c>
      <c r="Y9" s="14">
        <v>0.53322372750312197</v>
      </c>
      <c r="Z9" s="14">
        <v>0.43446030794423801</v>
      </c>
      <c r="AA9" s="14">
        <v>0.37475975631907998</v>
      </c>
      <c r="AB9" s="14"/>
      <c r="AC9" s="14">
        <v>0.57935615136020102</v>
      </c>
      <c r="AD9" s="14">
        <v>0.48708542174245001</v>
      </c>
      <c r="AE9" s="14">
        <v>0.34896489894979299</v>
      </c>
      <c r="AF9" s="14">
        <v>0.53508141193297198</v>
      </c>
      <c r="AG9" s="14">
        <v>0.73559446772963</v>
      </c>
      <c r="AH9" s="14"/>
      <c r="AI9" s="14">
        <v>0.51379856322429396</v>
      </c>
      <c r="AJ9" s="14">
        <v>0.49028174326011897</v>
      </c>
      <c r="AK9" s="14">
        <v>0.24539293008784299</v>
      </c>
      <c r="AL9" s="14">
        <v>0.52394183945343398</v>
      </c>
      <c r="AM9" s="14">
        <v>0.30428391775899799</v>
      </c>
      <c r="AN9" s="14">
        <v>0.32160021157855201</v>
      </c>
      <c r="AO9" s="14"/>
      <c r="AP9" s="14">
        <v>0.46085281043748499</v>
      </c>
      <c r="AQ9" s="14">
        <v>0.43794305955152102</v>
      </c>
      <c r="AR9" s="14"/>
      <c r="AS9" s="14">
        <v>0.44748089346500503</v>
      </c>
      <c r="AT9" s="14" t="s">
        <v>88</v>
      </c>
      <c r="AU9" s="14">
        <v>1</v>
      </c>
      <c r="AV9" s="14"/>
      <c r="AW9" s="14">
        <v>0.434005225666382</v>
      </c>
      <c r="AX9" s="14">
        <v>0.499384992032747</v>
      </c>
      <c r="AY9" s="14"/>
      <c r="AZ9" s="14">
        <v>0.44580571578629502</v>
      </c>
      <c r="BA9" s="14">
        <v>0.46269930257164399</v>
      </c>
    </row>
    <row r="10" spans="2:53" x14ac:dyDescent="0.35">
      <c r="B10" s="15" t="s">
        <v>221</v>
      </c>
      <c r="C10" s="14">
        <v>0.43431453247753099</v>
      </c>
      <c r="D10" s="14">
        <v>0.45246937281940203</v>
      </c>
      <c r="E10" s="14">
        <v>0.41154540033557202</v>
      </c>
      <c r="F10" s="14"/>
      <c r="G10" s="14">
        <v>0.41630413197357502</v>
      </c>
      <c r="H10" s="14">
        <v>0.40667557738204502</v>
      </c>
      <c r="I10" s="14">
        <v>0.4584421642673</v>
      </c>
      <c r="J10" s="14">
        <v>0.44993667376282998</v>
      </c>
      <c r="K10" s="14">
        <v>0.29437003755086799</v>
      </c>
      <c r="L10" s="14" t="s">
        <v>88</v>
      </c>
      <c r="M10" s="14"/>
      <c r="N10" s="14">
        <v>0.43625629540267502</v>
      </c>
      <c r="O10" s="14">
        <v>0.44942814197848502</v>
      </c>
      <c r="P10" s="14">
        <v>0.45585808513396497</v>
      </c>
      <c r="Q10" s="14">
        <v>0.39439336429541999</v>
      </c>
      <c r="R10" s="14"/>
      <c r="S10" s="14">
        <v>0.38454301227212601</v>
      </c>
      <c r="T10" s="14">
        <v>0.33711210413544701</v>
      </c>
      <c r="U10" s="14">
        <v>0.50177659195229896</v>
      </c>
      <c r="V10" s="14">
        <v>0.53340915667437505</v>
      </c>
      <c r="W10" s="14">
        <v>0.41996132648067602</v>
      </c>
      <c r="X10" s="14">
        <v>0.465527773412938</v>
      </c>
      <c r="Y10" s="14">
        <v>0.37494726602776302</v>
      </c>
      <c r="Z10" s="14">
        <v>0.44462313270763998</v>
      </c>
      <c r="AA10" s="14">
        <v>0.49249155274489897</v>
      </c>
      <c r="AB10" s="14"/>
      <c r="AC10" s="14">
        <v>0.37791391539483499</v>
      </c>
      <c r="AD10" s="14">
        <v>0.37868305217234299</v>
      </c>
      <c r="AE10" s="14">
        <v>0.51501183452702903</v>
      </c>
      <c r="AF10" s="14">
        <v>0.39348593155389999</v>
      </c>
      <c r="AG10" s="14">
        <v>0.219000134671438</v>
      </c>
      <c r="AH10" s="14"/>
      <c r="AI10" s="14">
        <v>0.39579849665748201</v>
      </c>
      <c r="AJ10" s="14">
        <v>0.37547248590050802</v>
      </c>
      <c r="AK10" s="14">
        <v>0.58479511346540602</v>
      </c>
      <c r="AL10" s="14">
        <v>0.35226867682755703</v>
      </c>
      <c r="AM10" s="14">
        <v>0.52590417762209696</v>
      </c>
      <c r="AN10" s="14">
        <v>0.67839978842144799</v>
      </c>
      <c r="AO10" s="14"/>
      <c r="AP10" s="14">
        <v>0.44899073598619299</v>
      </c>
      <c r="AQ10" s="14">
        <v>0.42119373659513398</v>
      </c>
      <c r="AR10" s="14"/>
      <c r="AS10" s="14">
        <v>0.43531992761817501</v>
      </c>
      <c r="AT10" s="14" t="s">
        <v>88</v>
      </c>
      <c r="AU10" s="14">
        <v>0</v>
      </c>
      <c r="AV10" s="14"/>
      <c r="AW10" s="14">
        <v>0.44609649590567901</v>
      </c>
      <c r="AX10" s="14">
        <v>0.393539496429262</v>
      </c>
      <c r="AY10" s="14"/>
      <c r="AZ10" s="14">
        <v>0.44312902144608202</v>
      </c>
      <c r="BA10" s="14">
        <v>0.392673011981791</v>
      </c>
    </row>
    <row r="11" spans="2:53" x14ac:dyDescent="0.35">
      <c r="B11" s="15" t="s">
        <v>222</v>
      </c>
      <c r="C11" s="14">
        <v>3.97059119651628E-2</v>
      </c>
      <c r="D11" s="14">
        <v>5.0969286791568098E-2</v>
      </c>
      <c r="E11" s="14">
        <v>2.5579802070636301E-2</v>
      </c>
      <c r="F11" s="14"/>
      <c r="G11" s="14">
        <v>0</v>
      </c>
      <c r="H11" s="14">
        <v>0</v>
      </c>
      <c r="I11" s="14">
        <v>6.1178737868359603E-2</v>
      </c>
      <c r="J11" s="14">
        <v>3.77523105790925E-2</v>
      </c>
      <c r="K11" s="14">
        <v>8.4154102890532004E-2</v>
      </c>
      <c r="L11" s="14" t="s">
        <v>88</v>
      </c>
      <c r="M11" s="14"/>
      <c r="N11" s="14">
        <v>3.8579264824672201E-2</v>
      </c>
      <c r="O11" s="14">
        <v>3.5187829423262998E-2</v>
      </c>
      <c r="P11" s="14">
        <v>3.7794862793930101E-2</v>
      </c>
      <c r="Q11" s="14">
        <v>4.86356881775271E-2</v>
      </c>
      <c r="R11" s="14"/>
      <c r="S11" s="14">
        <v>9.5805447384093301E-2</v>
      </c>
      <c r="T11" s="14">
        <v>0</v>
      </c>
      <c r="U11" s="14">
        <v>0</v>
      </c>
      <c r="V11" s="14">
        <v>0</v>
      </c>
      <c r="W11" s="14">
        <v>3.1753027841266802E-2</v>
      </c>
      <c r="X11" s="14">
        <v>9.5903140443213103E-2</v>
      </c>
      <c r="Y11" s="14">
        <v>4.1985935459593601E-2</v>
      </c>
      <c r="Z11" s="14">
        <v>4.5877252365452197E-2</v>
      </c>
      <c r="AA11" s="14">
        <v>5.8077180325618302E-2</v>
      </c>
      <c r="AB11" s="14"/>
      <c r="AC11" s="14">
        <v>0</v>
      </c>
      <c r="AD11" s="14">
        <v>3.4056907758740602E-2</v>
      </c>
      <c r="AE11" s="14">
        <v>5.8249560401221402E-2</v>
      </c>
      <c r="AF11" s="14">
        <v>0</v>
      </c>
      <c r="AG11" s="14">
        <v>0</v>
      </c>
      <c r="AH11" s="14"/>
      <c r="AI11" s="14">
        <v>4.4768276752563202E-2</v>
      </c>
      <c r="AJ11" s="14">
        <v>1.3888478787063899E-2</v>
      </c>
      <c r="AK11" s="14">
        <v>2.7494823573412701E-2</v>
      </c>
      <c r="AL11" s="14">
        <v>5.7847362130878502E-2</v>
      </c>
      <c r="AM11" s="14">
        <v>6.3055316250642895E-2</v>
      </c>
      <c r="AN11" s="14">
        <v>0</v>
      </c>
      <c r="AO11" s="14"/>
      <c r="AP11" s="14">
        <v>2.8992961848146401E-2</v>
      </c>
      <c r="AQ11" s="14">
        <v>4.9283486417623902E-2</v>
      </c>
      <c r="AR11" s="14"/>
      <c r="AS11" s="14">
        <v>3.97978272200286E-2</v>
      </c>
      <c r="AT11" s="14" t="s">
        <v>88</v>
      </c>
      <c r="AU11" s="14">
        <v>0</v>
      </c>
      <c r="AV11" s="14"/>
      <c r="AW11" s="14">
        <v>4.34413991670742E-2</v>
      </c>
      <c r="AX11" s="14">
        <v>1.1465035222667499E-2</v>
      </c>
      <c r="AY11" s="14"/>
      <c r="AZ11" s="14">
        <v>3.589346696594E-2</v>
      </c>
      <c r="BA11" s="14">
        <v>5.771671294755E-2</v>
      </c>
    </row>
    <row r="12" spans="2:53" x14ac:dyDescent="0.35">
      <c r="B12" s="15" t="s">
        <v>223</v>
      </c>
      <c r="C12" s="14">
        <v>1.07846449742656E-2</v>
      </c>
      <c r="D12" s="14">
        <v>1.9383721409451101E-2</v>
      </c>
      <c r="E12" s="14">
        <v>0</v>
      </c>
      <c r="F12" s="14"/>
      <c r="G12" s="14">
        <v>0</v>
      </c>
      <c r="H12" s="14">
        <v>2.5442761497784201E-2</v>
      </c>
      <c r="I12" s="14">
        <v>6.1199112142174298E-3</v>
      </c>
      <c r="J12" s="14">
        <v>0</v>
      </c>
      <c r="K12" s="14">
        <v>0</v>
      </c>
      <c r="L12" s="14" t="s">
        <v>88</v>
      </c>
      <c r="M12" s="14"/>
      <c r="N12" s="14">
        <v>1.0151803444142E-2</v>
      </c>
      <c r="O12" s="14">
        <v>0</v>
      </c>
      <c r="P12" s="14">
        <v>4.1439308136457298E-2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5.9704290515780398E-2</v>
      </c>
      <c r="W12" s="14">
        <v>0</v>
      </c>
      <c r="X12" s="14">
        <v>0</v>
      </c>
      <c r="Y12" s="14">
        <v>4.1985936237479198E-2</v>
      </c>
      <c r="Z12" s="14">
        <v>0</v>
      </c>
      <c r="AA12" s="14">
        <v>0</v>
      </c>
      <c r="AB12" s="14"/>
      <c r="AC12" s="14">
        <v>0</v>
      </c>
      <c r="AD12" s="14">
        <v>3.8005039819757801E-2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6.1520940333544903E-2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0</v>
      </c>
      <c r="AQ12" s="14">
        <v>2.0426315947821599E-2</v>
      </c>
      <c r="AR12" s="14"/>
      <c r="AS12" s="14">
        <v>1.0809610359579501E-2</v>
      </c>
      <c r="AT12" s="14" t="s">
        <v>88</v>
      </c>
      <c r="AU12" s="14">
        <v>0</v>
      </c>
      <c r="AV12" s="14"/>
      <c r="AW12" s="14">
        <v>4.2052158804634504E-3</v>
      </c>
      <c r="AX12" s="14">
        <v>3.6043545643462897E-2</v>
      </c>
      <c r="AY12" s="14"/>
      <c r="AZ12" s="14">
        <v>1.3067489909409801E-2</v>
      </c>
      <c r="BA12" s="14">
        <v>0</v>
      </c>
    </row>
    <row r="13" spans="2:53" x14ac:dyDescent="0.35">
      <c r="B13" s="15" t="s">
        <v>116</v>
      </c>
      <c r="C13" s="18">
        <v>1.82961428964185E-2</v>
      </c>
      <c r="D13" s="18">
        <v>1.9369515945699401E-2</v>
      </c>
      <c r="E13" s="18">
        <v>1.6949957948686901E-2</v>
      </c>
      <c r="F13" s="18"/>
      <c r="G13" s="18">
        <v>0</v>
      </c>
      <c r="H13" s="18">
        <v>2.2302673413821601E-2</v>
      </c>
      <c r="I13" s="18">
        <v>9.1477140911643794E-3</v>
      </c>
      <c r="J13" s="18">
        <v>5.2885211332755103E-2</v>
      </c>
      <c r="K13" s="18">
        <v>0</v>
      </c>
      <c r="L13" s="18" t="s">
        <v>88</v>
      </c>
      <c r="M13" s="18"/>
      <c r="N13" s="18">
        <v>9.2091079084868997E-3</v>
      </c>
      <c r="O13" s="18">
        <v>3.7876588364456697E-2</v>
      </c>
      <c r="P13" s="18">
        <v>2.53350114909189E-2</v>
      </c>
      <c r="Q13" s="18">
        <v>0</v>
      </c>
      <c r="R13" s="18"/>
      <c r="S13" s="18">
        <v>1.15047774211902E-2</v>
      </c>
      <c r="T13" s="18">
        <v>0</v>
      </c>
      <c r="U13" s="18">
        <v>4.9060036616888299E-2</v>
      </c>
      <c r="V13" s="18">
        <v>3.6501789105491803E-2</v>
      </c>
      <c r="W13" s="18">
        <v>0</v>
      </c>
      <c r="X13" s="18">
        <v>0</v>
      </c>
      <c r="Y13" s="18">
        <v>7.8571347720425705E-3</v>
      </c>
      <c r="Z13" s="18">
        <v>0</v>
      </c>
      <c r="AA13" s="18">
        <v>3.6339865763226897E-2</v>
      </c>
      <c r="AB13" s="18"/>
      <c r="AC13" s="18">
        <v>0</v>
      </c>
      <c r="AD13" s="18">
        <v>0</v>
      </c>
      <c r="AE13" s="18">
        <v>2.4947688863021102E-2</v>
      </c>
      <c r="AF13" s="18">
        <v>4.3982171312715299E-2</v>
      </c>
      <c r="AG13" s="18">
        <v>0</v>
      </c>
      <c r="AH13" s="18"/>
      <c r="AI13" s="18">
        <v>1.59090737539515E-3</v>
      </c>
      <c r="AJ13" s="18">
        <v>1.28582575937064E-2</v>
      </c>
      <c r="AK13" s="18">
        <v>3.6771439666836603E-2</v>
      </c>
      <c r="AL13" s="18">
        <v>4.8924451357971702E-2</v>
      </c>
      <c r="AM13" s="18">
        <v>0</v>
      </c>
      <c r="AN13" s="18">
        <v>0</v>
      </c>
      <c r="AO13" s="18"/>
      <c r="AP13" s="18">
        <v>2.2886666458875202E-2</v>
      </c>
      <c r="AQ13" s="18">
        <v>1.41921303961296E-2</v>
      </c>
      <c r="AR13" s="18"/>
      <c r="AS13" s="18">
        <v>1.8338496655699001E-2</v>
      </c>
      <c r="AT13" s="18" t="s">
        <v>88</v>
      </c>
      <c r="AU13" s="18">
        <v>0</v>
      </c>
      <c r="AV13" s="18"/>
      <c r="AW13" s="18">
        <v>2.45763288478195E-2</v>
      </c>
      <c r="AX13" s="18">
        <v>0</v>
      </c>
      <c r="AY13" s="18"/>
      <c r="AZ13" s="18">
        <v>1.6498967517391501E-2</v>
      </c>
      <c r="BA13" s="18">
        <v>2.67863815985372E-2</v>
      </c>
    </row>
    <row r="14" spans="2:53" x14ac:dyDescent="0.35">
      <c r="B14" s="26" t="s">
        <v>224</v>
      </c>
      <c r="C14" s="27">
        <v>0.88307149898578696</v>
      </c>
      <c r="D14" s="27">
        <v>0.86508838101964203</v>
      </c>
      <c r="E14" s="27">
        <v>0.905625263248382</v>
      </c>
      <c r="F14" s="27"/>
      <c r="G14" s="27">
        <v>1</v>
      </c>
      <c r="H14" s="27">
        <v>0.89488722125062603</v>
      </c>
      <c r="I14" s="27">
        <v>0.88211511775068896</v>
      </c>
      <c r="J14" s="27">
        <v>0.87025823285982595</v>
      </c>
      <c r="K14" s="27">
        <v>0.80510112595275296</v>
      </c>
      <c r="L14" s="27" t="s">
        <v>88</v>
      </c>
      <c r="M14" s="27"/>
      <c r="N14" s="27">
        <v>0.88612931782661297</v>
      </c>
      <c r="O14" s="27">
        <v>0.86554449171680503</v>
      </c>
      <c r="P14" s="27">
        <v>0.82273763488614504</v>
      </c>
      <c r="Q14" s="27">
        <v>0.95136431182247305</v>
      </c>
      <c r="R14" s="27"/>
      <c r="S14" s="27">
        <v>0.88916825672197197</v>
      </c>
      <c r="T14" s="27">
        <v>0.91869499270185495</v>
      </c>
      <c r="U14" s="27">
        <v>0.87179176277494097</v>
      </c>
      <c r="V14" s="27">
        <v>0.816482174735917</v>
      </c>
      <c r="W14" s="27">
        <v>0.96824697215873301</v>
      </c>
      <c r="X14" s="27">
        <v>0.83314516831696495</v>
      </c>
      <c r="Y14" s="27">
        <v>0.90817099353088504</v>
      </c>
      <c r="Z14" s="27">
        <v>0.87908344065187705</v>
      </c>
      <c r="AA14" s="27">
        <v>0.86725130906397896</v>
      </c>
      <c r="AB14" s="27"/>
      <c r="AC14" s="27">
        <v>0.95727006675503701</v>
      </c>
      <c r="AD14" s="27">
        <v>0.86576847391479295</v>
      </c>
      <c r="AE14" s="27">
        <v>0.86397673347682202</v>
      </c>
      <c r="AF14" s="27">
        <v>0.92856734348687198</v>
      </c>
      <c r="AG14" s="27">
        <v>0.95459460240106897</v>
      </c>
      <c r="AH14" s="27"/>
      <c r="AI14" s="27">
        <v>0.90959705988177597</v>
      </c>
      <c r="AJ14" s="27">
        <v>0.86575422916062705</v>
      </c>
      <c r="AK14" s="27">
        <v>0.83018804355324904</v>
      </c>
      <c r="AL14" s="27">
        <v>0.87621051628099</v>
      </c>
      <c r="AM14" s="27">
        <v>0.83018809538109495</v>
      </c>
      <c r="AN14" s="27">
        <v>1</v>
      </c>
      <c r="AO14" s="27"/>
      <c r="AP14" s="27">
        <v>0.90984354642367804</v>
      </c>
      <c r="AQ14" s="27">
        <v>0.85913679614665495</v>
      </c>
      <c r="AR14" s="27"/>
      <c r="AS14" s="27">
        <v>0.88280082108318103</v>
      </c>
      <c r="AT14" s="27" t="s">
        <v>88</v>
      </c>
      <c r="AU14" s="27">
        <v>1</v>
      </c>
      <c r="AV14" s="27"/>
      <c r="AW14" s="27">
        <v>0.88010172157206101</v>
      </c>
      <c r="AX14" s="27">
        <v>0.892924488462009</v>
      </c>
      <c r="AY14" s="27"/>
      <c r="AZ14" s="27">
        <v>0.88893473723237804</v>
      </c>
      <c r="BA14" s="27">
        <v>0.85537231455343499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303</v>
      </c>
      <c r="D7" s="10">
        <v>137</v>
      </c>
      <c r="E7" s="10">
        <v>166</v>
      </c>
      <c r="F7" s="10"/>
      <c r="G7" s="10">
        <v>5</v>
      </c>
      <c r="H7" s="10">
        <v>110</v>
      </c>
      <c r="I7" s="10">
        <v>143</v>
      </c>
      <c r="J7" s="10">
        <v>36</v>
      </c>
      <c r="K7" s="10">
        <v>9</v>
      </c>
      <c r="L7" s="10" t="s">
        <v>87</v>
      </c>
      <c r="M7" s="10"/>
      <c r="N7" s="10">
        <v>152</v>
      </c>
      <c r="O7" s="10">
        <v>74</v>
      </c>
      <c r="P7" s="10">
        <v>36</v>
      </c>
      <c r="Q7" s="10">
        <v>41</v>
      </c>
      <c r="R7" s="10"/>
      <c r="S7" s="10">
        <v>70</v>
      </c>
      <c r="T7" s="10">
        <v>45</v>
      </c>
      <c r="U7" s="10">
        <v>27</v>
      </c>
      <c r="V7" s="10">
        <v>30</v>
      </c>
      <c r="W7" s="10">
        <v>20</v>
      </c>
      <c r="X7" s="10">
        <v>25</v>
      </c>
      <c r="Y7" s="10">
        <v>25</v>
      </c>
      <c r="Z7" s="10">
        <v>17</v>
      </c>
      <c r="AA7" s="10">
        <v>44</v>
      </c>
      <c r="AB7" s="10"/>
      <c r="AC7" s="10">
        <v>26</v>
      </c>
      <c r="AD7" s="10">
        <v>45</v>
      </c>
      <c r="AE7" s="10">
        <v>116</v>
      </c>
      <c r="AF7" s="10">
        <v>64</v>
      </c>
      <c r="AG7" s="10">
        <v>27</v>
      </c>
      <c r="AH7" s="10"/>
      <c r="AI7" s="10">
        <v>126</v>
      </c>
      <c r="AJ7" s="10">
        <v>54</v>
      </c>
      <c r="AK7" s="10">
        <v>35</v>
      </c>
      <c r="AL7" s="10">
        <v>33</v>
      </c>
      <c r="AM7" s="10">
        <v>14</v>
      </c>
      <c r="AN7" s="10">
        <v>19</v>
      </c>
      <c r="AO7" s="10"/>
      <c r="AP7" s="10">
        <v>151</v>
      </c>
      <c r="AQ7" s="10">
        <v>152</v>
      </c>
      <c r="AR7" s="10"/>
      <c r="AS7" s="10">
        <v>302</v>
      </c>
      <c r="AT7" s="10" t="s">
        <v>87</v>
      </c>
      <c r="AU7" s="10">
        <v>1</v>
      </c>
      <c r="AV7" s="10"/>
      <c r="AW7" s="10">
        <v>206</v>
      </c>
      <c r="AX7" s="10">
        <v>87</v>
      </c>
      <c r="AY7" s="10"/>
      <c r="AZ7" s="10">
        <v>252</v>
      </c>
      <c r="BA7" s="10">
        <v>51</v>
      </c>
    </row>
    <row r="8" spans="2:53" ht="30" customHeight="1" x14ac:dyDescent="0.35">
      <c r="B8" s="11" t="s">
        <v>19</v>
      </c>
      <c r="C8" s="11">
        <v>287</v>
      </c>
      <c r="D8" s="11">
        <v>160</v>
      </c>
      <c r="E8" s="11">
        <v>127</v>
      </c>
      <c r="F8" s="11"/>
      <c r="G8" s="11">
        <v>4</v>
      </c>
      <c r="H8" s="11">
        <v>86</v>
      </c>
      <c r="I8" s="11">
        <v>147</v>
      </c>
      <c r="J8" s="11">
        <v>37</v>
      </c>
      <c r="K8" s="11">
        <v>12</v>
      </c>
      <c r="L8" s="11" t="s">
        <v>87</v>
      </c>
      <c r="M8" s="11"/>
      <c r="N8" s="11">
        <v>89</v>
      </c>
      <c r="O8" s="11">
        <v>82</v>
      </c>
      <c r="P8" s="11">
        <v>53</v>
      </c>
      <c r="Q8" s="11">
        <v>64</v>
      </c>
      <c r="R8" s="11"/>
      <c r="S8" s="11">
        <v>56</v>
      </c>
      <c r="T8" s="11">
        <v>46</v>
      </c>
      <c r="U8" s="11">
        <v>36</v>
      </c>
      <c r="V8" s="11">
        <v>37</v>
      </c>
      <c r="W8" s="11">
        <v>21</v>
      </c>
      <c r="X8" s="11">
        <v>16</v>
      </c>
      <c r="Y8" s="11">
        <v>21</v>
      </c>
      <c r="Z8" s="11">
        <v>17</v>
      </c>
      <c r="AA8" s="11">
        <v>37</v>
      </c>
      <c r="AB8" s="11"/>
      <c r="AC8" s="11">
        <v>34</v>
      </c>
      <c r="AD8" s="11">
        <v>58</v>
      </c>
      <c r="AE8" s="11">
        <v>107</v>
      </c>
      <c r="AF8" s="11">
        <v>44</v>
      </c>
      <c r="AG8" s="11">
        <v>15</v>
      </c>
      <c r="AH8" s="11"/>
      <c r="AI8" s="11">
        <v>106</v>
      </c>
      <c r="AJ8" s="11">
        <v>50</v>
      </c>
      <c r="AK8" s="11">
        <v>36</v>
      </c>
      <c r="AL8" s="11">
        <v>36</v>
      </c>
      <c r="AM8" s="11">
        <v>14</v>
      </c>
      <c r="AN8" s="11">
        <v>19</v>
      </c>
      <c r="AO8" s="11"/>
      <c r="AP8" s="11">
        <v>135</v>
      </c>
      <c r="AQ8" s="11">
        <v>152</v>
      </c>
      <c r="AR8" s="11"/>
      <c r="AS8" s="11">
        <v>286</v>
      </c>
      <c r="AT8" s="11" t="s">
        <v>87</v>
      </c>
      <c r="AU8" s="11">
        <v>1</v>
      </c>
      <c r="AV8" s="11"/>
      <c r="AW8" s="11">
        <v>214</v>
      </c>
      <c r="AX8" s="11">
        <v>61</v>
      </c>
      <c r="AY8" s="11"/>
      <c r="AZ8" s="11">
        <v>237</v>
      </c>
      <c r="BA8" s="11">
        <v>50</v>
      </c>
    </row>
    <row r="9" spans="2:53" x14ac:dyDescent="0.35">
      <c r="B9" s="15" t="s">
        <v>226</v>
      </c>
      <c r="C9" s="14">
        <v>0.37463259794713699</v>
      </c>
      <c r="D9" s="14">
        <v>0.373126443502387</v>
      </c>
      <c r="E9" s="14">
        <v>0.37652156138239401</v>
      </c>
      <c r="F9" s="14"/>
      <c r="G9" s="14">
        <v>0.31603047831618702</v>
      </c>
      <c r="H9" s="14">
        <v>0.44086374071385598</v>
      </c>
      <c r="I9" s="14">
        <v>0.33375238256450201</v>
      </c>
      <c r="J9" s="14">
        <v>0.39543701198991199</v>
      </c>
      <c r="K9" s="14">
        <v>0.35500471705665498</v>
      </c>
      <c r="L9" s="14" t="s">
        <v>88</v>
      </c>
      <c r="M9" s="14"/>
      <c r="N9" s="14">
        <v>0.379193069051457</v>
      </c>
      <c r="O9" s="14">
        <v>0.37618417269127602</v>
      </c>
      <c r="P9" s="14">
        <v>0.35904805765286602</v>
      </c>
      <c r="Q9" s="14">
        <v>0.37926725942428802</v>
      </c>
      <c r="R9" s="14"/>
      <c r="S9" s="14">
        <v>0.42213572651193998</v>
      </c>
      <c r="T9" s="14">
        <v>0.52561782888731301</v>
      </c>
      <c r="U9" s="14">
        <v>0.18558741964082801</v>
      </c>
      <c r="V9" s="14">
        <v>0.21496902146504701</v>
      </c>
      <c r="W9" s="14">
        <v>0.41694513862184701</v>
      </c>
      <c r="X9" s="14">
        <v>0.20719924376159801</v>
      </c>
      <c r="Y9" s="14">
        <v>0.420114884514319</v>
      </c>
      <c r="Z9" s="14">
        <v>0.426752088866998</v>
      </c>
      <c r="AA9" s="14">
        <v>0.45532633562518998</v>
      </c>
      <c r="AB9" s="14"/>
      <c r="AC9" s="14">
        <v>0.37288766456429701</v>
      </c>
      <c r="AD9" s="14">
        <v>0.39249886392136601</v>
      </c>
      <c r="AE9" s="14">
        <v>0.366890528816605</v>
      </c>
      <c r="AF9" s="14">
        <v>0.36959739182410001</v>
      </c>
      <c r="AG9" s="14">
        <v>0.67326035433875098</v>
      </c>
      <c r="AH9" s="14"/>
      <c r="AI9" s="14">
        <v>0.48638371451039902</v>
      </c>
      <c r="AJ9" s="14">
        <v>0.38917739820250702</v>
      </c>
      <c r="AK9" s="14">
        <v>0.27535242095989299</v>
      </c>
      <c r="AL9" s="14">
        <v>0.21739878886948899</v>
      </c>
      <c r="AM9" s="14">
        <v>0.52384036655190702</v>
      </c>
      <c r="AN9" s="14">
        <v>0.15371381607272999</v>
      </c>
      <c r="AO9" s="14"/>
      <c r="AP9" s="14">
        <v>0.358857491428971</v>
      </c>
      <c r="AQ9" s="14">
        <v>0.38873583333262202</v>
      </c>
      <c r="AR9" s="14"/>
      <c r="AS9" s="14">
        <v>0.37549983531852799</v>
      </c>
      <c r="AT9" s="14" t="s">
        <v>88</v>
      </c>
      <c r="AU9" s="14">
        <v>0</v>
      </c>
      <c r="AV9" s="14"/>
      <c r="AW9" s="14">
        <v>0.35550611231332002</v>
      </c>
      <c r="AX9" s="14">
        <v>0.45479985644953103</v>
      </c>
      <c r="AY9" s="14"/>
      <c r="AZ9" s="14">
        <v>0.387124261506959</v>
      </c>
      <c r="BA9" s="14">
        <v>0.31561932264460801</v>
      </c>
    </row>
    <row r="10" spans="2:53" x14ac:dyDescent="0.35">
      <c r="B10" s="15" t="s">
        <v>227</v>
      </c>
      <c r="C10" s="14">
        <v>0.42540386734067898</v>
      </c>
      <c r="D10" s="14">
        <v>0.44871949975702502</v>
      </c>
      <c r="E10" s="14">
        <v>0.39616225984293801</v>
      </c>
      <c r="F10" s="14"/>
      <c r="G10" s="14">
        <v>0.143878173924786</v>
      </c>
      <c r="H10" s="14">
        <v>0.39221124736402702</v>
      </c>
      <c r="I10" s="14">
        <v>0.47610034546090901</v>
      </c>
      <c r="J10" s="14">
        <v>0.36793132811080198</v>
      </c>
      <c r="K10" s="14">
        <v>0.32789933743959598</v>
      </c>
      <c r="L10" s="14" t="s">
        <v>88</v>
      </c>
      <c r="M10" s="14"/>
      <c r="N10" s="14">
        <v>0.44031880713111599</v>
      </c>
      <c r="O10" s="14">
        <v>0.42601866850044601</v>
      </c>
      <c r="P10" s="14">
        <v>0.35721953616694602</v>
      </c>
      <c r="Q10" s="14">
        <v>0.46056489480371499</v>
      </c>
      <c r="R10" s="14"/>
      <c r="S10" s="14">
        <v>0.45087049501767301</v>
      </c>
      <c r="T10" s="14">
        <v>0.26742059951803798</v>
      </c>
      <c r="U10" s="14">
        <v>0.58796604376052597</v>
      </c>
      <c r="V10" s="14">
        <v>0.47287650714261498</v>
      </c>
      <c r="W10" s="14">
        <v>0.41833555966524399</v>
      </c>
      <c r="X10" s="14">
        <v>0.46165879579563102</v>
      </c>
      <c r="Y10" s="14">
        <v>0.48228802598034398</v>
      </c>
      <c r="Z10" s="14">
        <v>0.45233135178487899</v>
      </c>
      <c r="AA10" s="14">
        <v>0.32260731262240799</v>
      </c>
      <c r="AB10" s="14"/>
      <c r="AC10" s="14">
        <v>0.45899254561391001</v>
      </c>
      <c r="AD10" s="14">
        <v>0.43647757654721903</v>
      </c>
      <c r="AE10" s="14">
        <v>0.39240279376151299</v>
      </c>
      <c r="AF10" s="14">
        <v>0.54827002402795999</v>
      </c>
      <c r="AG10" s="14">
        <v>0.167368421330443</v>
      </c>
      <c r="AH10" s="14"/>
      <c r="AI10" s="14">
        <v>0.32483364103032503</v>
      </c>
      <c r="AJ10" s="14">
        <v>0.371435007890354</v>
      </c>
      <c r="AK10" s="14">
        <v>0.42151174604945002</v>
      </c>
      <c r="AL10" s="14">
        <v>0.64868665550379101</v>
      </c>
      <c r="AM10" s="14">
        <v>0.36940304507983002</v>
      </c>
      <c r="AN10" s="14">
        <v>0.60248925817967902</v>
      </c>
      <c r="AO10" s="14"/>
      <c r="AP10" s="14">
        <v>0.473782601848596</v>
      </c>
      <c r="AQ10" s="14">
        <v>0.382152388839959</v>
      </c>
      <c r="AR10" s="14"/>
      <c r="AS10" s="14">
        <v>0.426388635173788</v>
      </c>
      <c r="AT10" s="14" t="s">
        <v>88</v>
      </c>
      <c r="AU10" s="14">
        <v>0</v>
      </c>
      <c r="AV10" s="14"/>
      <c r="AW10" s="14">
        <v>0.44949957784399502</v>
      </c>
      <c r="AX10" s="14">
        <v>0.36706852016316899</v>
      </c>
      <c r="AY10" s="14"/>
      <c r="AZ10" s="14">
        <v>0.41957793619967299</v>
      </c>
      <c r="BA10" s="14">
        <v>0.45292680507201599</v>
      </c>
    </row>
    <row r="11" spans="2:53" x14ac:dyDescent="0.35">
      <c r="B11" s="15" t="s">
        <v>228</v>
      </c>
      <c r="C11" s="14">
        <v>0.11026349011684899</v>
      </c>
      <c r="D11" s="14">
        <v>0.100854723509259</v>
      </c>
      <c r="E11" s="14">
        <v>0.12206361868570199</v>
      </c>
      <c r="F11" s="14"/>
      <c r="G11" s="14">
        <v>0</v>
      </c>
      <c r="H11" s="14">
        <v>0.104310776304654</v>
      </c>
      <c r="I11" s="14">
        <v>0.10273133662299</v>
      </c>
      <c r="J11" s="14">
        <v>0.101227821813379</v>
      </c>
      <c r="K11" s="14">
        <v>0.31709594550374898</v>
      </c>
      <c r="L11" s="14" t="s">
        <v>88</v>
      </c>
      <c r="M11" s="14"/>
      <c r="N11" s="14">
        <v>0.116224731672598</v>
      </c>
      <c r="O11" s="14">
        <v>9.5506358912776895E-2</v>
      </c>
      <c r="P11" s="14">
        <v>0.12480246601240599</v>
      </c>
      <c r="Q11" s="14">
        <v>0.108802060626795</v>
      </c>
      <c r="R11" s="14"/>
      <c r="S11" s="14">
        <v>2.30095541649845E-2</v>
      </c>
      <c r="T11" s="14">
        <v>0.106621409452618</v>
      </c>
      <c r="U11" s="14">
        <v>0.183981616914693</v>
      </c>
      <c r="V11" s="14">
        <v>0.18183665774197799</v>
      </c>
      <c r="W11" s="14">
        <v>0.101213246030376</v>
      </c>
      <c r="X11" s="14">
        <v>0.20742815625563399</v>
      </c>
      <c r="Y11" s="14">
        <v>8.9739954733294505E-2</v>
      </c>
      <c r="Z11" s="14">
        <v>0.120916559348123</v>
      </c>
      <c r="AA11" s="14">
        <v>7.4319018074270798E-2</v>
      </c>
      <c r="AB11" s="14"/>
      <c r="AC11" s="14">
        <v>0.12538985657682999</v>
      </c>
      <c r="AD11" s="14">
        <v>7.7168496894075803E-2</v>
      </c>
      <c r="AE11" s="14">
        <v>0.117788650335883</v>
      </c>
      <c r="AF11" s="14">
        <v>3.7958331422241399E-2</v>
      </c>
      <c r="AG11" s="14">
        <v>4.5167090758432803E-2</v>
      </c>
      <c r="AH11" s="14"/>
      <c r="AI11" s="14">
        <v>9.2438239976467204E-2</v>
      </c>
      <c r="AJ11" s="14">
        <v>0.207507637862758</v>
      </c>
      <c r="AK11" s="14">
        <v>0.178750276692905</v>
      </c>
      <c r="AL11" s="14">
        <v>5.8817294780794997E-2</v>
      </c>
      <c r="AM11" s="14">
        <v>0</v>
      </c>
      <c r="AN11" s="14">
        <v>8.1263075345773303E-2</v>
      </c>
      <c r="AO11" s="14"/>
      <c r="AP11" s="14">
        <v>8.1365524029525793E-2</v>
      </c>
      <c r="AQ11" s="14">
        <v>0.13609880333149799</v>
      </c>
      <c r="AR11" s="14"/>
      <c r="AS11" s="14">
        <v>0.110518739179139</v>
      </c>
      <c r="AT11" s="14" t="s">
        <v>88</v>
      </c>
      <c r="AU11" s="14">
        <v>0</v>
      </c>
      <c r="AV11" s="14"/>
      <c r="AW11" s="14">
        <v>0.106997318524632</v>
      </c>
      <c r="AX11" s="14">
        <v>0.123628301118388</v>
      </c>
      <c r="AY11" s="14"/>
      <c r="AZ11" s="14">
        <v>0.11298678140505999</v>
      </c>
      <c r="BA11" s="14">
        <v>9.7398082899425295E-2</v>
      </c>
    </row>
    <row r="12" spans="2:53" x14ac:dyDescent="0.35">
      <c r="B12" s="15" t="s">
        <v>229</v>
      </c>
      <c r="C12" s="14">
        <v>1.43248639730695E-2</v>
      </c>
      <c r="D12" s="14">
        <v>1.25470394798054E-2</v>
      </c>
      <c r="E12" s="14">
        <v>1.65545459779829E-2</v>
      </c>
      <c r="F12" s="14"/>
      <c r="G12" s="14">
        <v>0.272425958048789</v>
      </c>
      <c r="H12" s="14">
        <v>0</v>
      </c>
      <c r="I12" s="14">
        <v>1.96598116743434E-2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1.0811254092133E-2</v>
      </c>
      <c r="P12" s="14">
        <v>6.0901745984315102E-2</v>
      </c>
      <c r="Q12" s="14">
        <v>0</v>
      </c>
      <c r="R12" s="14"/>
      <c r="S12" s="14">
        <v>5.7414308651667502E-2</v>
      </c>
      <c r="T12" s="14">
        <v>1.9035155048568699E-2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1.5273697763669099E-2</v>
      </c>
      <c r="AE12" s="14">
        <v>3.0069740031485E-2</v>
      </c>
      <c r="AF12" s="14">
        <v>0</v>
      </c>
      <c r="AG12" s="14">
        <v>0</v>
      </c>
      <c r="AH12" s="14"/>
      <c r="AI12" s="14">
        <v>3.0546442118713199E-2</v>
      </c>
      <c r="AJ12" s="14">
        <v>0</v>
      </c>
      <c r="AK12" s="14">
        <v>0</v>
      </c>
      <c r="AL12" s="14">
        <v>2.45763444137309E-2</v>
      </c>
      <c r="AM12" s="14">
        <v>0</v>
      </c>
      <c r="AN12" s="14">
        <v>0</v>
      </c>
      <c r="AO12" s="14"/>
      <c r="AP12" s="14">
        <v>6.5167403841774199E-3</v>
      </c>
      <c r="AQ12" s="14">
        <v>2.1305470079677601E-2</v>
      </c>
      <c r="AR12" s="14"/>
      <c r="AS12" s="14">
        <v>1.43580246148439E-2</v>
      </c>
      <c r="AT12" s="14" t="s">
        <v>88</v>
      </c>
      <c r="AU12" s="14">
        <v>0</v>
      </c>
      <c r="AV12" s="14"/>
      <c r="AW12" s="14">
        <v>1.51099975727516E-2</v>
      </c>
      <c r="AX12" s="14">
        <v>0</v>
      </c>
      <c r="AY12" s="14"/>
      <c r="AZ12" s="14">
        <v>1.7357086475115999E-2</v>
      </c>
      <c r="BA12" s="14">
        <v>0</v>
      </c>
    </row>
    <row r="13" spans="2:53" x14ac:dyDescent="0.35">
      <c r="B13" s="15" t="s">
        <v>116</v>
      </c>
      <c r="C13" s="23">
        <v>3.3433337346442799E-2</v>
      </c>
      <c r="D13" s="23">
        <v>3.55723353697193E-2</v>
      </c>
      <c r="E13" s="23">
        <v>3.07506848016528E-2</v>
      </c>
      <c r="F13" s="23"/>
      <c r="G13" s="23">
        <v>0</v>
      </c>
      <c r="H13" s="23">
        <v>4.3599548326082198E-2</v>
      </c>
      <c r="I13" s="23">
        <v>3.0620708118861799E-2</v>
      </c>
      <c r="J13" s="23">
        <v>3.5627132375042503E-2</v>
      </c>
      <c r="K13" s="23">
        <v>0</v>
      </c>
      <c r="L13" s="23" t="s">
        <v>88</v>
      </c>
      <c r="M13" s="23"/>
      <c r="N13" s="23">
        <v>1.1555433721857499E-2</v>
      </c>
      <c r="O13" s="23">
        <v>4.44957727172249E-2</v>
      </c>
      <c r="P13" s="23">
        <v>5.4031358478331501E-2</v>
      </c>
      <c r="Q13" s="23">
        <v>3.2510074929041601E-2</v>
      </c>
      <c r="R13" s="23"/>
      <c r="S13" s="23">
        <v>2.5166873992483699E-2</v>
      </c>
      <c r="T13" s="23">
        <v>1.9035155048568699E-2</v>
      </c>
      <c r="U13" s="23">
        <v>4.2464919683952301E-2</v>
      </c>
      <c r="V13" s="23">
        <v>3.6501789105491803E-2</v>
      </c>
      <c r="W13" s="23">
        <v>0</v>
      </c>
      <c r="X13" s="23">
        <v>5.2762112947314303E-2</v>
      </c>
      <c r="Y13" s="23">
        <v>7.8571347720425705E-3</v>
      </c>
      <c r="Z13" s="23">
        <v>0</v>
      </c>
      <c r="AA13" s="23">
        <v>9.2803295414297104E-2</v>
      </c>
      <c r="AB13" s="23"/>
      <c r="AC13" s="23">
        <v>0</v>
      </c>
      <c r="AD13" s="23">
        <v>0</v>
      </c>
      <c r="AE13" s="23">
        <v>6.8479318663339894E-2</v>
      </c>
      <c r="AF13" s="23">
        <v>3.84047990753681E-3</v>
      </c>
      <c r="AG13" s="23">
        <v>0</v>
      </c>
      <c r="AH13" s="23"/>
      <c r="AI13" s="23">
        <v>2.3333649233159299E-2</v>
      </c>
      <c r="AJ13" s="23">
        <v>0</v>
      </c>
      <c r="AK13" s="23">
        <v>3.6771439666836603E-2</v>
      </c>
      <c r="AL13" s="23">
        <v>0</v>
      </c>
      <c r="AM13" s="23">
        <v>0.106756588368262</v>
      </c>
      <c r="AN13" s="23">
        <v>0.111541626254493</v>
      </c>
      <c r="AO13" s="23"/>
      <c r="AP13" s="23">
        <v>3.80557176187565E-2</v>
      </c>
      <c r="AQ13" s="23">
        <v>2.93008443615877E-2</v>
      </c>
      <c r="AR13" s="23"/>
      <c r="AS13" s="23">
        <v>3.3510732212122002E-2</v>
      </c>
      <c r="AT13" s="23" t="s">
        <v>88</v>
      </c>
      <c r="AU13" s="23">
        <v>0</v>
      </c>
      <c r="AV13" s="23"/>
      <c r="AW13" s="23">
        <v>3.51977038125873E-2</v>
      </c>
      <c r="AX13" s="23">
        <v>0</v>
      </c>
      <c r="AY13" s="23"/>
      <c r="AZ13" s="23">
        <v>1.87163622889484E-2</v>
      </c>
      <c r="BA13" s="23">
        <v>0.102959457428785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B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259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303</v>
      </c>
      <c r="D7" s="10">
        <v>137</v>
      </c>
      <c r="E7" s="10">
        <v>166</v>
      </c>
      <c r="F7" s="10"/>
      <c r="G7" s="10">
        <v>5</v>
      </c>
      <c r="H7" s="10">
        <v>110</v>
      </c>
      <c r="I7" s="10">
        <v>143</v>
      </c>
      <c r="J7" s="10">
        <v>36</v>
      </c>
      <c r="K7" s="10">
        <v>9</v>
      </c>
      <c r="L7" s="10" t="s">
        <v>87</v>
      </c>
      <c r="M7" s="10"/>
      <c r="N7" s="10">
        <v>152</v>
      </c>
      <c r="O7" s="10">
        <v>74</v>
      </c>
      <c r="P7" s="10">
        <v>36</v>
      </c>
      <c r="Q7" s="10">
        <v>41</v>
      </c>
      <c r="R7" s="10"/>
      <c r="S7" s="10">
        <v>70</v>
      </c>
      <c r="T7" s="10">
        <v>45</v>
      </c>
      <c r="U7" s="10">
        <v>27</v>
      </c>
      <c r="V7" s="10">
        <v>30</v>
      </c>
      <c r="W7" s="10">
        <v>20</v>
      </c>
      <c r="X7" s="10">
        <v>25</v>
      </c>
      <c r="Y7" s="10">
        <v>25</v>
      </c>
      <c r="Z7" s="10">
        <v>17</v>
      </c>
      <c r="AA7" s="10">
        <v>44</v>
      </c>
      <c r="AB7" s="10"/>
      <c r="AC7" s="10">
        <v>26</v>
      </c>
      <c r="AD7" s="10">
        <v>45</v>
      </c>
      <c r="AE7" s="10">
        <v>116</v>
      </c>
      <c r="AF7" s="10">
        <v>64</v>
      </c>
      <c r="AG7" s="10">
        <v>27</v>
      </c>
      <c r="AH7" s="10"/>
      <c r="AI7" s="10">
        <v>126</v>
      </c>
      <c r="AJ7" s="10">
        <v>54</v>
      </c>
      <c r="AK7" s="10">
        <v>35</v>
      </c>
      <c r="AL7" s="10">
        <v>33</v>
      </c>
      <c r="AM7" s="10">
        <v>14</v>
      </c>
      <c r="AN7" s="10">
        <v>19</v>
      </c>
      <c r="AO7" s="10"/>
      <c r="AP7" s="10">
        <v>151</v>
      </c>
      <c r="AQ7" s="10">
        <v>152</v>
      </c>
      <c r="AR7" s="10"/>
      <c r="AS7" s="10">
        <v>302</v>
      </c>
      <c r="AT7" s="10" t="s">
        <v>87</v>
      </c>
      <c r="AU7" s="10">
        <v>1</v>
      </c>
      <c r="AV7" s="10"/>
      <c r="AW7" s="10">
        <v>206</v>
      </c>
      <c r="AX7" s="10">
        <v>87</v>
      </c>
      <c r="AY7" s="10"/>
      <c r="AZ7" s="10">
        <v>252</v>
      </c>
      <c r="BA7" s="10">
        <v>51</v>
      </c>
    </row>
    <row r="8" spans="2:53" ht="30" customHeight="1" x14ac:dyDescent="0.35">
      <c r="B8" s="11" t="s">
        <v>19</v>
      </c>
      <c r="C8" s="11">
        <v>287</v>
      </c>
      <c r="D8" s="11">
        <v>160</v>
      </c>
      <c r="E8" s="11">
        <v>127</v>
      </c>
      <c r="F8" s="11"/>
      <c r="G8" s="11">
        <v>4</v>
      </c>
      <c r="H8" s="11">
        <v>86</v>
      </c>
      <c r="I8" s="11">
        <v>147</v>
      </c>
      <c r="J8" s="11">
        <v>37</v>
      </c>
      <c r="K8" s="11">
        <v>12</v>
      </c>
      <c r="L8" s="11" t="s">
        <v>87</v>
      </c>
      <c r="M8" s="11"/>
      <c r="N8" s="11">
        <v>89</v>
      </c>
      <c r="O8" s="11">
        <v>82</v>
      </c>
      <c r="P8" s="11">
        <v>53</v>
      </c>
      <c r="Q8" s="11">
        <v>64</v>
      </c>
      <c r="R8" s="11"/>
      <c r="S8" s="11">
        <v>56</v>
      </c>
      <c r="T8" s="11">
        <v>46</v>
      </c>
      <c r="U8" s="11">
        <v>36</v>
      </c>
      <c r="V8" s="11">
        <v>37</v>
      </c>
      <c r="W8" s="11">
        <v>21</v>
      </c>
      <c r="X8" s="11">
        <v>16</v>
      </c>
      <c r="Y8" s="11">
        <v>21</v>
      </c>
      <c r="Z8" s="11">
        <v>17</v>
      </c>
      <c r="AA8" s="11">
        <v>37</v>
      </c>
      <c r="AB8" s="11"/>
      <c r="AC8" s="11">
        <v>34</v>
      </c>
      <c r="AD8" s="11">
        <v>58</v>
      </c>
      <c r="AE8" s="11">
        <v>107</v>
      </c>
      <c r="AF8" s="11">
        <v>44</v>
      </c>
      <c r="AG8" s="11">
        <v>15</v>
      </c>
      <c r="AH8" s="11"/>
      <c r="AI8" s="11">
        <v>106</v>
      </c>
      <c r="AJ8" s="11">
        <v>50</v>
      </c>
      <c r="AK8" s="11">
        <v>36</v>
      </c>
      <c r="AL8" s="11">
        <v>36</v>
      </c>
      <c r="AM8" s="11">
        <v>14</v>
      </c>
      <c r="AN8" s="11">
        <v>19</v>
      </c>
      <c r="AO8" s="11"/>
      <c r="AP8" s="11">
        <v>135</v>
      </c>
      <c r="AQ8" s="11">
        <v>152</v>
      </c>
      <c r="AR8" s="11"/>
      <c r="AS8" s="11">
        <v>286</v>
      </c>
      <c r="AT8" s="11" t="s">
        <v>87</v>
      </c>
      <c r="AU8" s="11">
        <v>1</v>
      </c>
      <c r="AV8" s="11"/>
      <c r="AW8" s="11">
        <v>214</v>
      </c>
      <c r="AX8" s="11">
        <v>61</v>
      </c>
      <c r="AY8" s="11"/>
      <c r="AZ8" s="11">
        <v>237</v>
      </c>
      <c r="BA8" s="11">
        <v>50</v>
      </c>
    </row>
    <row r="9" spans="2:53" ht="29" x14ac:dyDescent="0.35">
      <c r="B9" s="15" t="s">
        <v>231</v>
      </c>
      <c r="C9" s="14">
        <v>8.4868566248182703E-2</v>
      </c>
      <c r="D9" s="14">
        <v>0.103103556028382</v>
      </c>
      <c r="E9" s="14">
        <v>6.1998913632451601E-2</v>
      </c>
      <c r="F9" s="14"/>
      <c r="G9" s="14">
        <v>0</v>
      </c>
      <c r="H9" s="14">
        <v>0.155968003234594</v>
      </c>
      <c r="I9" s="14">
        <v>5.1797112518658497E-2</v>
      </c>
      <c r="J9" s="14">
        <v>6.1039253380561001E-2</v>
      </c>
      <c r="K9" s="14">
        <v>8.4154102890532004E-2</v>
      </c>
      <c r="L9" s="14" t="s">
        <v>88</v>
      </c>
      <c r="M9" s="14"/>
      <c r="N9" s="14">
        <v>7.8706966766426897E-2</v>
      </c>
      <c r="O9" s="14">
        <v>7.6173581336218002E-2</v>
      </c>
      <c r="P9" s="14">
        <v>0.128446868489628</v>
      </c>
      <c r="Q9" s="14">
        <v>6.8343412006184795E-2</v>
      </c>
      <c r="R9" s="14"/>
      <c r="S9" s="14">
        <v>8.3337941630819298E-2</v>
      </c>
      <c r="T9" s="14">
        <v>0.104791015356707</v>
      </c>
      <c r="U9" s="14">
        <v>6.0288490259152901E-2</v>
      </c>
      <c r="V9" s="14">
        <v>0.159421154665812</v>
      </c>
      <c r="W9" s="14">
        <v>0</v>
      </c>
      <c r="X9" s="14">
        <v>0</v>
      </c>
      <c r="Y9" s="14">
        <v>0.124069822815016</v>
      </c>
      <c r="Z9" s="14">
        <v>0</v>
      </c>
      <c r="AA9" s="14">
        <v>0.112403368552184</v>
      </c>
      <c r="AB9" s="14"/>
      <c r="AC9" s="14">
        <v>4.0590532095130097E-2</v>
      </c>
      <c r="AD9" s="14">
        <v>8.87139983402572E-2</v>
      </c>
      <c r="AE9" s="14">
        <v>8.0564421176353596E-2</v>
      </c>
      <c r="AF9" s="14">
        <v>8.6579340593826007E-2</v>
      </c>
      <c r="AG9" s="14">
        <v>0.101006024975044</v>
      </c>
      <c r="AH9" s="14"/>
      <c r="AI9" s="14">
        <v>6.4904134662770493E-2</v>
      </c>
      <c r="AJ9" s="14">
        <v>0.21688050944759399</v>
      </c>
      <c r="AK9" s="14">
        <v>7.2706598521533203E-2</v>
      </c>
      <c r="AL9" s="14">
        <v>7.1651777660344695E-2</v>
      </c>
      <c r="AM9" s="14">
        <v>0</v>
      </c>
      <c r="AN9" s="14">
        <v>0</v>
      </c>
      <c r="AO9" s="14"/>
      <c r="AP9" s="14">
        <v>8.9840882194093905E-2</v>
      </c>
      <c r="AQ9" s="14">
        <v>8.0423224334615795E-2</v>
      </c>
      <c r="AR9" s="14"/>
      <c r="AS9" s="14">
        <v>8.5065028576101098E-2</v>
      </c>
      <c r="AT9" s="14" t="s">
        <v>88</v>
      </c>
      <c r="AU9" s="14">
        <v>0</v>
      </c>
      <c r="AV9" s="14"/>
      <c r="AW9" s="14">
        <v>5.5703940628860603E-2</v>
      </c>
      <c r="AX9" s="14">
        <v>0.20437065720251399</v>
      </c>
      <c r="AY9" s="14"/>
      <c r="AZ9" s="14">
        <v>8.9197363113243805E-2</v>
      </c>
      <c r="BA9" s="14">
        <v>6.4418409237211996E-2</v>
      </c>
    </row>
    <row r="10" spans="2:53" ht="29" x14ac:dyDescent="0.35">
      <c r="B10" s="15" t="s">
        <v>232</v>
      </c>
      <c r="C10" s="14">
        <v>0.774520364034189</v>
      </c>
      <c r="D10" s="14">
        <v>0.72062183405865898</v>
      </c>
      <c r="E10" s="14">
        <v>0.84211791532963398</v>
      </c>
      <c r="F10" s="14"/>
      <c r="G10" s="14">
        <v>0.26007861802882098</v>
      </c>
      <c r="H10" s="14">
        <v>0.75012690891876599</v>
      </c>
      <c r="I10" s="14">
        <v>0.80600380582055797</v>
      </c>
      <c r="J10" s="14">
        <v>0.72436688508788405</v>
      </c>
      <c r="K10" s="14">
        <v>0.91584589710946795</v>
      </c>
      <c r="L10" s="14" t="s">
        <v>88</v>
      </c>
      <c r="M10" s="14"/>
      <c r="N10" s="14">
        <v>0.82102931535704404</v>
      </c>
      <c r="O10" s="14">
        <v>0.79673463142970802</v>
      </c>
      <c r="P10" s="14">
        <v>0.72227503049029296</v>
      </c>
      <c r="Q10" s="14">
        <v>0.72499974877208195</v>
      </c>
      <c r="R10" s="14"/>
      <c r="S10" s="14">
        <v>0.67416113908077702</v>
      </c>
      <c r="T10" s="14">
        <v>0.84235264434686996</v>
      </c>
      <c r="U10" s="14">
        <v>0.76532613821539297</v>
      </c>
      <c r="V10" s="14">
        <v>0.70324530961829201</v>
      </c>
      <c r="W10" s="14">
        <v>0.86865949100289297</v>
      </c>
      <c r="X10" s="14">
        <v>0.87183935467224505</v>
      </c>
      <c r="Y10" s="14">
        <v>0.746588877351411</v>
      </c>
      <c r="Z10" s="14">
        <v>1</v>
      </c>
      <c r="AA10" s="14">
        <v>0.74112129016997197</v>
      </c>
      <c r="AB10" s="14"/>
      <c r="AC10" s="14">
        <v>0.84431596110353602</v>
      </c>
      <c r="AD10" s="14">
        <v>0.75782965915440303</v>
      </c>
      <c r="AE10" s="14">
        <v>0.78888050524509601</v>
      </c>
      <c r="AF10" s="14">
        <v>0.78331908284641405</v>
      </c>
      <c r="AG10" s="14">
        <v>0.70457011632450195</v>
      </c>
      <c r="AH10" s="14"/>
      <c r="AI10" s="14">
        <v>0.80349218011967005</v>
      </c>
      <c r="AJ10" s="14">
        <v>0.64821771114950999</v>
      </c>
      <c r="AK10" s="14">
        <v>0.80643170216000604</v>
      </c>
      <c r="AL10" s="14">
        <v>0.744200764211431</v>
      </c>
      <c r="AM10" s="14">
        <v>1</v>
      </c>
      <c r="AN10" s="14">
        <v>0.86037317729692397</v>
      </c>
      <c r="AO10" s="14"/>
      <c r="AP10" s="14">
        <v>0.77414515983691501</v>
      </c>
      <c r="AQ10" s="14">
        <v>0.774855803487842</v>
      </c>
      <c r="AR10" s="14"/>
      <c r="AS10" s="14">
        <v>0.77399840100195705</v>
      </c>
      <c r="AT10" s="14" t="s">
        <v>88</v>
      </c>
      <c r="AU10" s="14">
        <v>1</v>
      </c>
      <c r="AV10" s="14"/>
      <c r="AW10" s="14">
        <v>0.80418532896375405</v>
      </c>
      <c r="AX10" s="14">
        <v>0.68193669056013395</v>
      </c>
      <c r="AY10" s="14"/>
      <c r="AZ10" s="14">
        <v>0.75551923831825696</v>
      </c>
      <c r="BA10" s="14">
        <v>0.86428572295234896</v>
      </c>
    </row>
    <row r="11" spans="2:53" ht="29" x14ac:dyDescent="0.35">
      <c r="B11" s="15" t="s">
        <v>233</v>
      </c>
      <c r="C11" s="14">
        <v>9.3120010432904105E-2</v>
      </c>
      <c r="D11" s="14">
        <v>0.108028340044046</v>
      </c>
      <c r="E11" s="14">
        <v>7.4422532485432596E-2</v>
      </c>
      <c r="F11" s="14"/>
      <c r="G11" s="14">
        <v>0.73992138197117896</v>
      </c>
      <c r="H11" s="14">
        <v>6.7924422293748593E-2</v>
      </c>
      <c r="I11" s="14">
        <v>0.100322807843241</v>
      </c>
      <c r="J11" s="14">
        <v>7.4836639832802102E-2</v>
      </c>
      <c r="K11" s="14">
        <v>0</v>
      </c>
      <c r="L11" s="14" t="s">
        <v>88</v>
      </c>
      <c r="M11" s="14"/>
      <c r="N11" s="14">
        <v>6.7957517993493005E-2</v>
      </c>
      <c r="O11" s="14">
        <v>6.7520242926962598E-2</v>
      </c>
      <c r="P11" s="14">
        <v>7.70057912004425E-2</v>
      </c>
      <c r="Q11" s="14">
        <v>0.17414676429269199</v>
      </c>
      <c r="R11" s="14"/>
      <c r="S11" s="14">
        <v>0.19216716945693799</v>
      </c>
      <c r="T11" s="14">
        <v>5.2856340296422902E-2</v>
      </c>
      <c r="U11" s="14">
        <v>6.8244156959928706E-2</v>
      </c>
      <c r="V11" s="14">
        <v>0.100831746610404</v>
      </c>
      <c r="W11" s="14">
        <v>0.131340508997107</v>
      </c>
      <c r="X11" s="14">
        <v>0</v>
      </c>
      <c r="Y11" s="14">
        <v>0.12148416506153099</v>
      </c>
      <c r="Z11" s="14">
        <v>0</v>
      </c>
      <c r="AA11" s="14">
        <v>5.3672045863546403E-2</v>
      </c>
      <c r="AB11" s="14"/>
      <c r="AC11" s="14">
        <v>0.115093506801334</v>
      </c>
      <c r="AD11" s="14">
        <v>0.110408956527257</v>
      </c>
      <c r="AE11" s="14">
        <v>7.3092549984484098E-2</v>
      </c>
      <c r="AF11" s="14">
        <v>0.12626109665222299</v>
      </c>
      <c r="AG11" s="14">
        <v>0.10450910194739201</v>
      </c>
      <c r="AH11" s="14"/>
      <c r="AI11" s="14">
        <v>0.11662311108880501</v>
      </c>
      <c r="AJ11" s="14">
        <v>0.121013300615833</v>
      </c>
      <c r="AK11" s="14">
        <v>4.79077220864998E-2</v>
      </c>
      <c r="AL11" s="14">
        <v>0.144752494986328</v>
      </c>
      <c r="AM11" s="14">
        <v>0</v>
      </c>
      <c r="AN11" s="14">
        <v>0</v>
      </c>
      <c r="AO11" s="14"/>
      <c r="AP11" s="14">
        <v>9.0172191390933701E-2</v>
      </c>
      <c r="AQ11" s="14">
        <v>9.5755414876915204E-2</v>
      </c>
      <c r="AR11" s="14"/>
      <c r="AS11" s="14">
        <v>9.3335574037124003E-2</v>
      </c>
      <c r="AT11" s="14" t="s">
        <v>88</v>
      </c>
      <c r="AU11" s="14">
        <v>0</v>
      </c>
      <c r="AV11" s="14"/>
      <c r="AW11" s="14">
        <v>9.5923607608496997E-2</v>
      </c>
      <c r="AX11" s="14">
        <v>0.102227617014685</v>
      </c>
      <c r="AY11" s="14"/>
      <c r="AZ11" s="14">
        <v>0.109384177893187</v>
      </c>
      <c r="BA11" s="14">
        <v>1.62846243929512E-2</v>
      </c>
    </row>
    <row r="12" spans="2:53" x14ac:dyDescent="0.35">
      <c r="B12" s="15" t="s">
        <v>116</v>
      </c>
      <c r="C12" s="23">
        <v>4.7491059284724198E-2</v>
      </c>
      <c r="D12" s="23">
        <v>6.8246269868912302E-2</v>
      </c>
      <c r="E12" s="23">
        <v>2.14606385524817E-2</v>
      </c>
      <c r="F12" s="23"/>
      <c r="G12" s="23">
        <v>0</v>
      </c>
      <c r="H12" s="23">
        <v>2.5980665552890799E-2</v>
      </c>
      <c r="I12" s="23">
        <v>4.1876273817542997E-2</v>
      </c>
      <c r="J12" s="23">
        <v>0.13975722169875199</v>
      </c>
      <c r="K12" s="23">
        <v>0</v>
      </c>
      <c r="L12" s="23" t="s">
        <v>88</v>
      </c>
      <c r="M12" s="23"/>
      <c r="N12" s="23">
        <v>3.2306199883036402E-2</v>
      </c>
      <c r="O12" s="23">
        <v>5.9571544307111299E-2</v>
      </c>
      <c r="P12" s="23">
        <v>7.2272309819636907E-2</v>
      </c>
      <c r="Q12" s="23">
        <v>3.2510074929041601E-2</v>
      </c>
      <c r="R12" s="23"/>
      <c r="S12" s="23">
        <v>5.03337498314659E-2</v>
      </c>
      <c r="T12" s="23">
        <v>0</v>
      </c>
      <c r="U12" s="23">
        <v>0.106141214565526</v>
      </c>
      <c r="V12" s="23">
        <v>3.6501789105491803E-2</v>
      </c>
      <c r="W12" s="23">
        <v>0</v>
      </c>
      <c r="X12" s="23">
        <v>0.12816064532775501</v>
      </c>
      <c r="Y12" s="23">
        <v>7.8571347720425705E-3</v>
      </c>
      <c r="Z12" s="23">
        <v>0</v>
      </c>
      <c r="AA12" s="23">
        <v>9.2803295414297104E-2</v>
      </c>
      <c r="AB12" s="23"/>
      <c r="AC12" s="23">
        <v>0</v>
      </c>
      <c r="AD12" s="23">
        <v>4.3047385978082699E-2</v>
      </c>
      <c r="AE12" s="23">
        <v>5.7462523594066298E-2</v>
      </c>
      <c r="AF12" s="23">
        <v>3.84047990753681E-3</v>
      </c>
      <c r="AG12" s="23">
        <v>8.9914756753062097E-2</v>
      </c>
      <c r="AH12" s="23"/>
      <c r="AI12" s="23">
        <v>1.4980574128754601E-2</v>
      </c>
      <c r="AJ12" s="23">
        <v>1.3888478787063899E-2</v>
      </c>
      <c r="AK12" s="23">
        <v>7.2953977231960607E-2</v>
      </c>
      <c r="AL12" s="23">
        <v>3.9394963141895598E-2</v>
      </c>
      <c r="AM12" s="23">
        <v>0</v>
      </c>
      <c r="AN12" s="23">
        <v>0.139626822703076</v>
      </c>
      <c r="AO12" s="23"/>
      <c r="AP12" s="23">
        <v>4.58417665780569E-2</v>
      </c>
      <c r="AQ12" s="23">
        <v>4.8965557300627099E-2</v>
      </c>
      <c r="AR12" s="23"/>
      <c r="AS12" s="23">
        <v>4.76009963848174E-2</v>
      </c>
      <c r="AT12" s="23" t="s">
        <v>88</v>
      </c>
      <c r="AU12" s="23">
        <v>0</v>
      </c>
      <c r="AV12" s="23"/>
      <c r="AW12" s="23">
        <v>4.4187122798888499E-2</v>
      </c>
      <c r="AX12" s="23">
        <v>1.1465035222667499E-2</v>
      </c>
      <c r="AY12" s="23"/>
      <c r="AZ12" s="23">
        <v>4.5899220675312699E-2</v>
      </c>
      <c r="BA12" s="23">
        <v>5.5011243417488302E-2</v>
      </c>
    </row>
    <row r="13" spans="2:53" x14ac:dyDescent="0.35">
      <c r="B13" s="16" t="s">
        <v>219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BA18"/>
  <sheetViews>
    <sheetView showGridLines="0" topLeftCell="A4" workbookViewId="0">
      <pane xSplit="2" topLeftCell="C1" activePane="topRight" state="frozen"/>
      <selection pane="topRight" activeCell="B13" sqref="B13: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303</v>
      </c>
      <c r="D7" s="10">
        <v>137</v>
      </c>
      <c r="E7" s="10">
        <v>166</v>
      </c>
      <c r="F7" s="10"/>
      <c r="G7" s="10">
        <v>5</v>
      </c>
      <c r="H7" s="10">
        <v>110</v>
      </c>
      <c r="I7" s="10">
        <v>143</v>
      </c>
      <c r="J7" s="10">
        <v>36</v>
      </c>
      <c r="K7" s="10">
        <v>9</v>
      </c>
      <c r="L7" s="10" t="s">
        <v>87</v>
      </c>
      <c r="M7" s="10"/>
      <c r="N7" s="10">
        <v>152</v>
      </c>
      <c r="O7" s="10">
        <v>74</v>
      </c>
      <c r="P7" s="10">
        <v>36</v>
      </c>
      <c r="Q7" s="10">
        <v>41</v>
      </c>
      <c r="R7" s="10"/>
      <c r="S7" s="10">
        <v>70</v>
      </c>
      <c r="T7" s="10">
        <v>45</v>
      </c>
      <c r="U7" s="10">
        <v>27</v>
      </c>
      <c r="V7" s="10">
        <v>30</v>
      </c>
      <c r="W7" s="10">
        <v>20</v>
      </c>
      <c r="X7" s="10">
        <v>25</v>
      </c>
      <c r="Y7" s="10">
        <v>25</v>
      </c>
      <c r="Z7" s="10">
        <v>17</v>
      </c>
      <c r="AA7" s="10">
        <v>44</v>
      </c>
      <c r="AB7" s="10"/>
      <c r="AC7" s="10">
        <v>26</v>
      </c>
      <c r="AD7" s="10">
        <v>45</v>
      </c>
      <c r="AE7" s="10">
        <v>116</v>
      </c>
      <c r="AF7" s="10">
        <v>64</v>
      </c>
      <c r="AG7" s="10">
        <v>27</v>
      </c>
      <c r="AH7" s="10"/>
      <c r="AI7" s="10">
        <v>126</v>
      </c>
      <c r="AJ7" s="10">
        <v>54</v>
      </c>
      <c r="AK7" s="10">
        <v>35</v>
      </c>
      <c r="AL7" s="10">
        <v>33</v>
      </c>
      <c r="AM7" s="10">
        <v>14</v>
      </c>
      <c r="AN7" s="10">
        <v>19</v>
      </c>
      <c r="AO7" s="10"/>
      <c r="AP7" s="10">
        <v>151</v>
      </c>
      <c r="AQ7" s="10">
        <v>152</v>
      </c>
      <c r="AR7" s="10"/>
      <c r="AS7" s="10">
        <v>302</v>
      </c>
      <c r="AT7" s="10" t="s">
        <v>87</v>
      </c>
      <c r="AU7" s="10">
        <v>1</v>
      </c>
      <c r="AV7" s="10"/>
      <c r="AW7" s="10">
        <v>206</v>
      </c>
      <c r="AX7" s="10">
        <v>87</v>
      </c>
      <c r="AY7" s="10"/>
      <c r="AZ7" s="10">
        <v>252</v>
      </c>
      <c r="BA7" s="10">
        <v>51</v>
      </c>
    </row>
    <row r="8" spans="2:53" ht="30" customHeight="1" x14ac:dyDescent="0.35">
      <c r="B8" s="11" t="s">
        <v>19</v>
      </c>
      <c r="C8" s="11">
        <v>287</v>
      </c>
      <c r="D8" s="11">
        <v>160</v>
      </c>
      <c r="E8" s="11">
        <v>127</v>
      </c>
      <c r="F8" s="11"/>
      <c r="G8" s="11">
        <v>4</v>
      </c>
      <c r="H8" s="11">
        <v>86</v>
      </c>
      <c r="I8" s="11">
        <v>147</v>
      </c>
      <c r="J8" s="11">
        <v>37</v>
      </c>
      <c r="K8" s="11">
        <v>12</v>
      </c>
      <c r="L8" s="11" t="s">
        <v>87</v>
      </c>
      <c r="M8" s="11"/>
      <c r="N8" s="11">
        <v>89</v>
      </c>
      <c r="O8" s="11">
        <v>82</v>
      </c>
      <c r="P8" s="11">
        <v>53</v>
      </c>
      <c r="Q8" s="11">
        <v>64</v>
      </c>
      <c r="R8" s="11"/>
      <c r="S8" s="11">
        <v>56</v>
      </c>
      <c r="T8" s="11">
        <v>46</v>
      </c>
      <c r="U8" s="11">
        <v>36</v>
      </c>
      <c r="V8" s="11">
        <v>37</v>
      </c>
      <c r="W8" s="11">
        <v>21</v>
      </c>
      <c r="X8" s="11">
        <v>16</v>
      </c>
      <c r="Y8" s="11">
        <v>21</v>
      </c>
      <c r="Z8" s="11">
        <v>17</v>
      </c>
      <c r="AA8" s="11">
        <v>37</v>
      </c>
      <c r="AB8" s="11"/>
      <c r="AC8" s="11">
        <v>34</v>
      </c>
      <c r="AD8" s="11">
        <v>58</v>
      </c>
      <c r="AE8" s="11">
        <v>107</v>
      </c>
      <c r="AF8" s="11">
        <v>44</v>
      </c>
      <c r="AG8" s="11">
        <v>15</v>
      </c>
      <c r="AH8" s="11"/>
      <c r="AI8" s="11">
        <v>106</v>
      </c>
      <c r="AJ8" s="11">
        <v>50</v>
      </c>
      <c r="AK8" s="11">
        <v>36</v>
      </c>
      <c r="AL8" s="11">
        <v>36</v>
      </c>
      <c r="AM8" s="11">
        <v>14</v>
      </c>
      <c r="AN8" s="11">
        <v>19</v>
      </c>
      <c r="AO8" s="11"/>
      <c r="AP8" s="11">
        <v>135</v>
      </c>
      <c r="AQ8" s="11">
        <v>152</v>
      </c>
      <c r="AR8" s="11"/>
      <c r="AS8" s="11">
        <v>286</v>
      </c>
      <c r="AT8" s="11" t="s">
        <v>87</v>
      </c>
      <c r="AU8" s="11">
        <v>1</v>
      </c>
      <c r="AV8" s="11"/>
      <c r="AW8" s="11">
        <v>214</v>
      </c>
      <c r="AX8" s="11">
        <v>61</v>
      </c>
      <c r="AY8" s="11"/>
      <c r="AZ8" s="11">
        <v>237</v>
      </c>
      <c r="BA8" s="11">
        <v>50</v>
      </c>
    </row>
    <row r="9" spans="2:53" x14ac:dyDescent="0.35">
      <c r="B9" s="15" t="s">
        <v>235</v>
      </c>
      <c r="C9" s="14">
        <v>0.30958645858247402</v>
      </c>
      <c r="D9" s="14">
        <v>0.34325572919792302</v>
      </c>
      <c r="E9" s="14">
        <v>0.26735969936396897</v>
      </c>
      <c r="F9" s="14"/>
      <c r="G9" s="14">
        <v>0.31603047831618702</v>
      </c>
      <c r="H9" s="14">
        <v>0.31523595261097997</v>
      </c>
      <c r="I9" s="14">
        <v>0.32097470606022199</v>
      </c>
      <c r="J9" s="14">
        <v>0.282287694192698</v>
      </c>
      <c r="K9" s="14">
        <v>0.21137100942293399</v>
      </c>
      <c r="L9" s="14" t="s">
        <v>88</v>
      </c>
      <c r="M9" s="14"/>
      <c r="N9" s="14">
        <v>0.42271027860479399</v>
      </c>
      <c r="O9" s="14">
        <v>0.21039087017687799</v>
      </c>
      <c r="P9" s="14">
        <v>0.245430294193316</v>
      </c>
      <c r="Q9" s="14">
        <v>0.33291490423435599</v>
      </c>
      <c r="R9" s="14"/>
      <c r="S9" s="14">
        <v>0.42766098422806598</v>
      </c>
      <c r="T9" s="14">
        <v>0.34125731655702002</v>
      </c>
      <c r="U9" s="14">
        <v>0.32137474789956699</v>
      </c>
      <c r="V9" s="14">
        <v>0.225688606777603</v>
      </c>
      <c r="W9" s="14">
        <v>0.35156656769651201</v>
      </c>
      <c r="X9" s="14">
        <v>0.40100631743098902</v>
      </c>
      <c r="Y9" s="14">
        <v>0.236947095580543</v>
      </c>
      <c r="Z9" s="14">
        <v>9.0412004643222493E-2</v>
      </c>
      <c r="AA9" s="14">
        <v>0.23835229913401501</v>
      </c>
      <c r="AB9" s="14"/>
      <c r="AC9" s="14">
        <v>0.185171518077967</v>
      </c>
      <c r="AD9" s="14">
        <v>0.29474940256682097</v>
      </c>
      <c r="AE9" s="14">
        <v>0.297329086485077</v>
      </c>
      <c r="AF9" s="14">
        <v>0.48248956597683101</v>
      </c>
      <c r="AG9" s="14">
        <v>0.578849553946849</v>
      </c>
      <c r="AH9" s="14"/>
      <c r="AI9" s="14">
        <v>0.37074350012634499</v>
      </c>
      <c r="AJ9" s="14">
        <v>0.35040764309313599</v>
      </c>
      <c r="AK9" s="14">
        <v>0.21490627527602399</v>
      </c>
      <c r="AL9" s="14">
        <v>0.19076378440159</v>
      </c>
      <c r="AM9" s="14">
        <v>0.32415518097291501</v>
      </c>
      <c r="AN9" s="14">
        <v>0.220379326491775</v>
      </c>
      <c r="AO9" s="14"/>
      <c r="AP9" s="14">
        <v>0.35158105344530199</v>
      </c>
      <c r="AQ9" s="14">
        <v>0.27204251835065901</v>
      </c>
      <c r="AR9" s="14"/>
      <c r="AS9" s="14">
        <v>0.31030312058153797</v>
      </c>
      <c r="AT9" s="14" t="s">
        <v>88</v>
      </c>
      <c r="AU9" s="14">
        <v>0</v>
      </c>
      <c r="AV9" s="14"/>
      <c r="AW9" s="14">
        <v>0.28161688262100398</v>
      </c>
      <c r="AX9" s="14">
        <v>0.47059623799850903</v>
      </c>
      <c r="AY9" s="14"/>
      <c r="AZ9" s="14">
        <v>0.33773695866744502</v>
      </c>
      <c r="BA9" s="14">
        <v>0.17659750931541601</v>
      </c>
    </row>
    <row r="10" spans="2:53" x14ac:dyDescent="0.35">
      <c r="B10" s="15" t="s">
        <v>236</v>
      </c>
      <c r="C10" s="14">
        <v>0.44248875565022</v>
      </c>
      <c r="D10" s="14">
        <v>0.40283687118997302</v>
      </c>
      <c r="E10" s="14">
        <v>0.49221868882241498</v>
      </c>
      <c r="F10" s="14"/>
      <c r="G10" s="14">
        <v>0.68396952168381298</v>
      </c>
      <c r="H10" s="14">
        <v>0.43592183444004301</v>
      </c>
      <c r="I10" s="14">
        <v>0.39368256081165698</v>
      </c>
      <c r="J10" s="14">
        <v>0.51023347633021199</v>
      </c>
      <c r="K10" s="14">
        <v>0.78862899057706604</v>
      </c>
      <c r="L10" s="14" t="s">
        <v>88</v>
      </c>
      <c r="M10" s="14"/>
      <c r="N10" s="14">
        <v>0.446372312280364</v>
      </c>
      <c r="O10" s="14">
        <v>0.473528043508187</v>
      </c>
      <c r="P10" s="14">
        <v>0.422447437775682</v>
      </c>
      <c r="Q10" s="14">
        <v>0.414037785047983</v>
      </c>
      <c r="R10" s="14"/>
      <c r="S10" s="14">
        <v>0.391814483837296</v>
      </c>
      <c r="T10" s="14">
        <v>0.44376967317662902</v>
      </c>
      <c r="U10" s="14">
        <v>0.47795793465007302</v>
      </c>
      <c r="V10" s="14">
        <v>0.49769621737712899</v>
      </c>
      <c r="W10" s="14">
        <v>0.51834042592504503</v>
      </c>
      <c r="X10" s="14">
        <v>0.31616699395625603</v>
      </c>
      <c r="Y10" s="14">
        <v>0.397465794598994</v>
      </c>
      <c r="Z10" s="14">
        <v>0.44879996114944098</v>
      </c>
      <c r="AA10" s="14">
        <v>0.46452372442287598</v>
      </c>
      <c r="AB10" s="14"/>
      <c r="AC10" s="14">
        <v>0.47826727532855301</v>
      </c>
      <c r="AD10" s="14">
        <v>0.38154730559616601</v>
      </c>
      <c r="AE10" s="14">
        <v>0.49135038493218097</v>
      </c>
      <c r="AF10" s="14">
        <v>0.40937055930338501</v>
      </c>
      <c r="AG10" s="14">
        <v>0.29937925042676</v>
      </c>
      <c r="AH10" s="14"/>
      <c r="AI10" s="14">
        <v>0.43544515218400698</v>
      </c>
      <c r="AJ10" s="14">
        <v>0.38433328942176298</v>
      </c>
      <c r="AK10" s="14">
        <v>0.58440703438500297</v>
      </c>
      <c r="AL10" s="14">
        <v>0.39800998004120802</v>
      </c>
      <c r="AM10" s="14">
        <v>0.35585316237250503</v>
      </c>
      <c r="AN10" s="14">
        <v>0.60946734899489097</v>
      </c>
      <c r="AO10" s="14"/>
      <c r="AP10" s="14">
        <v>0.45923574483750002</v>
      </c>
      <c r="AQ10" s="14">
        <v>0.427516639282296</v>
      </c>
      <c r="AR10" s="14"/>
      <c r="AS10" s="14">
        <v>0.44119817231945702</v>
      </c>
      <c r="AT10" s="14" t="s">
        <v>88</v>
      </c>
      <c r="AU10" s="14">
        <v>1</v>
      </c>
      <c r="AV10" s="14"/>
      <c r="AW10" s="14">
        <v>0.44119412344000303</v>
      </c>
      <c r="AX10" s="14">
        <v>0.41880382987419101</v>
      </c>
      <c r="AY10" s="14"/>
      <c r="AZ10" s="14">
        <v>0.443420012565997</v>
      </c>
      <c r="BA10" s="14">
        <v>0.43808929992641099</v>
      </c>
    </row>
    <row r="11" spans="2:53" x14ac:dyDescent="0.35">
      <c r="B11" s="15" t="s">
        <v>237</v>
      </c>
      <c r="C11" s="14">
        <v>0.19572745560193</v>
      </c>
      <c r="D11" s="14">
        <v>0.218060064377465</v>
      </c>
      <c r="E11" s="14">
        <v>0.167718720151247</v>
      </c>
      <c r="F11" s="14"/>
      <c r="G11" s="14">
        <v>0</v>
      </c>
      <c r="H11" s="14">
        <v>0.18501722913135199</v>
      </c>
      <c r="I11" s="14">
        <v>0.22993542651264601</v>
      </c>
      <c r="J11" s="14">
        <v>0.17185169710204701</v>
      </c>
      <c r="K11" s="14">
        <v>0</v>
      </c>
      <c r="L11" s="14" t="s">
        <v>88</v>
      </c>
      <c r="M11" s="14"/>
      <c r="N11" s="14">
        <v>0.10606472229284999</v>
      </c>
      <c r="O11" s="14">
        <v>0.25923971768063597</v>
      </c>
      <c r="P11" s="14">
        <v>0.239145078602645</v>
      </c>
      <c r="Q11" s="14">
        <v>0.20274295718836799</v>
      </c>
      <c r="R11" s="14"/>
      <c r="S11" s="14">
        <v>0.155357657942155</v>
      </c>
      <c r="T11" s="14">
        <v>0.21497301026634999</v>
      </c>
      <c r="U11" s="14">
        <v>0.12820824980815601</v>
      </c>
      <c r="V11" s="14">
        <v>0.240113386739776</v>
      </c>
      <c r="W11" s="14">
        <v>0.13009300637844201</v>
      </c>
      <c r="X11" s="14">
        <v>0.18949124947545801</v>
      </c>
      <c r="Y11" s="14">
        <v>0.31574403958882602</v>
      </c>
      <c r="Z11" s="14">
        <v>0.39583624369244802</v>
      </c>
      <c r="AA11" s="14">
        <v>0.13458589007445501</v>
      </c>
      <c r="AB11" s="14"/>
      <c r="AC11" s="14">
        <v>0.33656120659347999</v>
      </c>
      <c r="AD11" s="14">
        <v>0.27238526916994699</v>
      </c>
      <c r="AE11" s="14">
        <v>0.12952390812151701</v>
      </c>
      <c r="AF11" s="14">
        <v>0.104299394812247</v>
      </c>
      <c r="AG11" s="14">
        <v>0.12177119562639099</v>
      </c>
      <c r="AH11" s="14"/>
      <c r="AI11" s="14">
        <v>0.15458291919275</v>
      </c>
      <c r="AJ11" s="14">
        <v>0.24559612462629399</v>
      </c>
      <c r="AK11" s="14">
        <v>0.13433054653380899</v>
      </c>
      <c r="AL11" s="14">
        <v>0.381292879031571</v>
      </c>
      <c r="AM11" s="14">
        <v>0.113513309475978</v>
      </c>
      <c r="AN11" s="14">
        <v>5.86116982588408E-2</v>
      </c>
      <c r="AO11" s="14"/>
      <c r="AP11" s="14">
        <v>0.14616092256470201</v>
      </c>
      <c r="AQ11" s="14">
        <v>0.240040847835539</v>
      </c>
      <c r="AR11" s="14"/>
      <c r="AS11" s="14">
        <v>0.19618054528242099</v>
      </c>
      <c r="AT11" s="14" t="s">
        <v>88</v>
      </c>
      <c r="AU11" s="14">
        <v>0</v>
      </c>
      <c r="AV11" s="14"/>
      <c r="AW11" s="14">
        <v>0.216786520977685</v>
      </c>
      <c r="AX11" s="14">
        <v>0.110599932127299</v>
      </c>
      <c r="AY11" s="14"/>
      <c r="AZ11" s="14">
        <v>0.19062180197808901</v>
      </c>
      <c r="BA11" s="14">
        <v>0.21984764915823199</v>
      </c>
    </row>
    <row r="12" spans="2:53" x14ac:dyDescent="0.35">
      <c r="B12" s="15" t="s">
        <v>238</v>
      </c>
      <c r="C12" s="14">
        <v>1.71262633547253E-2</v>
      </c>
      <c r="D12" s="14">
        <v>5.6268084136576199E-3</v>
      </c>
      <c r="E12" s="14">
        <v>3.1548456234594298E-2</v>
      </c>
      <c r="F12" s="14"/>
      <c r="G12" s="14">
        <v>0</v>
      </c>
      <c r="H12" s="14">
        <v>1.31544999143833E-2</v>
      </c>
      <c r="I12" s="14">
        <v>2.5743384309667001E-2</v>
      </c>
      <c r="J12" s="14">
        <v>0</v>
      </c>
      <c r="K12" s="14">
        <v>0</v>
      </c>
      <c r="L12" s="14" t="s">
        <v>88</v>
      </c>
      <c r="M12" s="14"/>
      <c r="N12" s="14">
        <v>1.01518032560566E-2</v>
      </c>
      <c r="O12" s="14">
        <v>9.9987429547698393E-3</v>
      </c>
      <c r="P12" s="14">
        <v>3.89458309500244E-2</v>
      </c>
      <c r="Q12" s="14">
        <v>1.7794278600250801E-2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6.1077931681919703E-2</v>
      </c>
      <c r="Y12" s="14">
        <v>4.1985935459593601E-2</v>
      </c>
      <c r="Z12" s="14">
        <v>6.4951790514888405E-2</v>
      </c>
      <c r="AA12" s="14">
        <v>5.3122397537697402E-2</v>
      </c>
      <c r="AB12" s="14"/>
      <c r="AC12" s="14">
        <v>0</v>
      </c>
      <c r="AD12" s="14">
        <v>3.2728786989244203E-2</v>
      </c>
      <c r="AE12" s="14">
        <v>1.8947076360152301E-2</v>
      </c>
      <c r="AF12" s="14">
        <v>0</v>
      </c>
      <c r="AG12" s="14">
        <v>0</v>
      </c>
      <c r="AH12" s="14"/>
      <c r="AI12" s="14">
        <v>1.8471470861994799E-2</v>
      </c>
      <c r="AJ12" s="14">
        <v>1.9662942858807E-2</v>
      </c>
      <c r="AK12" s="14">
        <v>0</v>
      </c>
      <c r="AL12" s="14">
        <v>2.9933356525631099E-2</v>
      </c>
      <c r="AM12" s="14">
        <v>6.3055316250642895E-2</v>
      </c>
      <c r="AN12" s="14">
        <v>0</v>
      </c>
      <c r="AO12" s="14"/>
      <c r="AP12" s="14">
        <v>1.39348264265526E-2</v>
      </c>
      <c r="AQ12" s="14">
        <v>1.99794666699687E-2</v>
      </c>
      <c r="AR12" s="14"/>
      <c r="AS12" s="14">
        <v>1.7165908958698101E-2</v>
      </c>
      <c r="AT12" s="14" t="s">
        <v>88</v>
      </c>
      <c r="AU12" s="14">
        <v>0</v>
      </c>
      <c r="AV12" s="14"/>
      <c r="AW12" s="14">
        <v>2.3004885921747101E-2</v>
      </c>
      <c r="AX12" s="14">
        <v>0</v>
      </c>
      <c r="AY12" s="14"/>
      <c r="AZ12" s="14">
        <v>3.7932995741365998E-3</v>
      </c>
      <c r="BA12" s="14">
        <v>8.0114019822428995E-2</v>
      </c>
    </row>
    <row r="13" spans="2:53" x14ac:dyDescent="0.35">
      <c r="B13" s="15" t="s">
        <v>116</v>
      </c>
      <c r="C13" s="23">
        <v>3.5071066810650503E-2</v>
      </c>
      <c r="D13" s="23">
        <v>3.0220526820981398E-2</v>
      </c>
      <c r="E13" s="23">
        <v>4.1154435427774701E-2</v>
      </c>
      <c r="F13" s="23"/>
      <c r="G13" s="23">
        <v>0</v>
      </c>
      <c r="H13" s="23">
        <v>5.0670483903241303E-2</v>
      </c>
      <c r="I13" s="23">
        <v>2.9663922305807701E-2</v>
      </c>
      <c r="J13" s="23">
        <v>3.5627132375042503E-2</v>
      </c>
      <c r="K13" s="23">
        <v>0</v>
      </c>
      <c r="L13" s="23" t="s">
        <v>88</v>
      </c>
      <c r="M13" s="23"/>
      <c r="N13" s="23">
        <v>1.4700883565935701E-2</v>
      </c>
      <c r="O13" s="23">
        <v>4.6842625679529001E-2</v>
      </c>
      <c r="P13" s="23">
        <v>5.4031358478331501E-2</v>
      </c>
      <c r="Q13" s="23">
        <v>3.2510074929041601E-2</v>
      </c>
      <c r="R13" s="23"/>
      <c r="S13" s="23">
        <v>2.5166873992483699E-2</v>
      </c>
      <c r="T13" s="23">
        <v>0</v>
      </c>
      <c r="U13" s="23">
        <v>7.2459067642204403E-2</v>
      </c>
      <c r="V13" s="23">
        <v>3.6501789105491803E-2</v>
      </c>
      <c r="W13" s="23">
        <v>0</v>
      </c>
      <c r="X13" s="23">
        <v>3.2257507455378101E-2</v>
      </c>
      <c r="Y13" s="23">
        <v>7.8571347720425705E-3</v>
      </c>
      <c r="Z13" s="23">
        <v>0</v>
      </c>
      <c r="AA13" s="23">
        <v>0.109415688830956</v>
      </c>
      <c r="AB13" s="23"/>
      <c r="AC13" s="23">
        <v>0</v>
      </c>
      <c r="AD13" s="23">
        <v>1.8589235677821499E-2</v>
      </c>
      <c r="AE13" s="23">
        <v>6.2849544101073795E-2</v>
      </c>
      <c r="AF13" s="23">
        <v>3.84047990753681E-3</v>
      </c>
      <c r="AG13" s="23">
        <v>0</v>
      </c>
      <c r="AH13" s="23"/>
      <c r="AI13" s="23">
        <v>2.0756957634902901E-2</v>
      </c>
      <c r="AJ13" s="23">
        <v>0</v>
      </c>
      <c r="AK13" s="23">
        <v>6.6356143805163706E-2</v>
      </c>
      <c r="AL13" s="23">
        <v>0</v>
      </c>
      <c r="AM13" s="23">
        <v>0.14342303092795999</v>
      </c>
      <c r="AN13" s="23">
        <v>0.111541626254493</v>
      </c>
      <c r="AO13" s="23"/>
      <c r="AP13" s="23">
        <v>2.90874527259436E-2</v>
      </c>
      <c r="AQ13" s="23">
        <v>4.0420527861537603E-2</v>
      </c>
      <c r="AR13" s="23"/>
      <c r="AS13" s="23">
        <v>3.5152252857885598E-2</v>
      </c>
      <c r="AT13" s="23" t="s">
        <v>88</v>
      </c>
      <c r="AU13" s="23">
        <v>0</v>
      </c>
      <c r="AV13" s="23"/>
      <c r="AW13" s="23">
        <v>3.7397587039560302E-2</v>
      </c>
      <c r="AX13" s="23">
        <v>0</v>
      </c>
      <c r="AY13" s="23"/>
      <c r="AZ13" s="23">
        <v>2.4427927214331999E-2</v>
      </c>
      <c r="BA13" s="23">
        <v>8.5351521777511694E-2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BA19"/>
  <sheetViews>
    <sheetView showGridLines="0" topLeftCell="A5" workbookViewId="0">
      <pane xSplit="2" topLeftCell="C1" activePane="topRight" state="frozen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303</v>
      </c>
      <c r="D7" s="10">
        <v>137</v>
      </c>
      <c r="E7" s="10">
        <v>166</v>
      </c>
      <c r="F7" s="10"/>
      <c r="G7" s="10">
        <v>5</v>
      </c>
      <c r="H7" s="10">
        <v>110</v>
      </c>
      <c r="I7" s="10">
        <v>143</v>
      </c>
      <c r="J7" s="10">
        <v>36</v>
      </c>
      <c r="K7" s="10">
        <v>9</v>
      </c>
      <c r="L7" s="10" t="s">
        <v>87</v>
      </c>
      <c r="M7" s="10"/>
      <c r="N7" s="10">
        <v>152</v>
      </c>
      <c r="O7" s="10">
        <v>74</v>
      </c>
      <c r="P7" s="10">
        <v>36</v>
      </c>
      <c r="Q7" s="10">
        <v>41</v>
      </c>
      <c r="R7" s="10"/>
      <c r="S7" s="10">
        <v>70</v>
      </c>
      <c r="T7" s="10">
        <v>45</v>
      </c>
      <c r="U7" s="10">
        <v>27</v>
      </c>
      <c r="V7" s="10">
        <v>30</v>
      </c>
      <c r="W7" s="10">
        <v>20</v>
      </c>
      <c r="X7" s="10">
        <v>25</v>
      </c>
      <c r="Y7" s="10">
        <v>25</v>
      </c>
      <c r="Z7" s="10">
        <v>17</v>
      </c>
      <c r="AA7" s="10">
        <v>44</v>
      </c>
      <c r="AB7" s="10"/>
      <c r="AC7" s="10">
        <v>26</v>
      </c>
      <c r="AD7" s="10">
        <v>45</v>
      </c>
      <c r="AE7" s="10">
        <v>116</v>
      </c>
      <c r="AF7" s="10">
        <v>64</v>
      </c>
      <c r="AG7" s="10">
        <v>27</v>
      </c>
      <c r="AH7" s="10"/>
      <c r="AI7" s="10">
        <v>126</v>
      </c>
      <c r="AJ7" s="10">
        <v>54</v>
      </c>
      <c r="AK7" s="10">
        <v>35</v>
      </c>
      <c r="AL7" s="10">
        <v>33</v>
      </c>
      <c r="AM7" s="10">
        <v>14</v>
      </c>
      <c r="AN7" s="10">
        <v>19</v>
      </c>
      <c r="AO7" s="10"/>
      <c r="AP7" s="10">
        <v>151</v>
      </c>
      <c r="AQ7" s="10">
        <v>152</v>
      </c>
      <c r="AR7" s="10"/>
      <c r="AS7" s="10">
        <v>302</v>
      </c>
      <c r="AT7" s="10" t="s">
        <v>87</v>
      </c>
      <c r="AU7" s="10">
        <v>1</v>
      </c>
      <c r="AV7" s="10"/>
      <c r="AW7" s="10">
        <v>206</v>
      </c>
      <c r="AX7" s="10">
        <v>87</v>
      </c>
      <c r="AY7" s="10"/>
      <c r="AZ7" s="10">
        <v>252</v>
      </c>
      <c r="BA7" s="10">
        <v>51</v>
      </c>
    </row>
    <row r="8" spans="2:53" ht="30" customHeight="1" x14ac:dyDescent="0.35">
      <c r="B8" s="11" t="s">
        <v>19</v>
      </c>
      <c r="C8" s="11">
        <v>287</v>
      </c>
      <c r="D8" s="11">
        <v>160</v>
      </c>
      <c r="E8" s="11">
        <v>127</v>
      </c>
      <c r="F8" s="11"/>
      <c r="G8" s="11">
        <v>4</v>
      </c>
      <c r="H8" s="11">
        <v>86</v>
      </c>
      <c r="I8" s="11">
        <v>147</v>
      </c>
      <c r="J8" s="11">
        <v>37</v>
      </c>
      <c r="K8" s="11">
        <v>12</v>
      </c>
      <c r="L8" s="11" t="s">
        <v>87</v>
      </c>
      <c r="M8" s="11"/>
      <c r="N8" s="11">
        <v>89</v>
      </c>
      <c r="O8" s="11">
        <v>82</v>
      </c>
      <c r="P8" s="11">
        <v>53</v>
      </c>
      <c r="Q8" s="11">
        <v>64</v>
      </c>
      <c r="R8" s="11"/>
      <c r="S8" s="11">
        <v>56</v>
      </c>
      <c r="T8" s="11">
        <v>46</v>
      </c>
      <c r="U8" s="11">
        <v>36</v>
      </c>
      <c r="V8" s="11">
        <v>37</v>
      </c>
      <c r="W8" s="11">
        <v>21</v>
      </c>
      <c r="X8" s="11">
        <v>16</v>
      </c>
      <c r="Y8" s="11">
        <v>21</v>
      </c>
      <c r="Z8" s="11">
        <v>17</v>
      </c>
      <c r="AA8" s="11">
        <v>37</v>
      </c>
      <c r="AB8" s="11"/>
      <c r="AC8" s="11">
        <v>34</v>
      </c>
      <c r="AD8" s="11">
        <v>58</v>
      </c>
      <c r="AE8" s="11">
        <v>107</v>
      </c>
      <c r="AF8" s="11">
        <v>44</v>
      </c>
      <c r="AG8" s="11">
        <v>15</v>
      </c>
      <c r="AH8" s="11"/>
      <c r="AI8" s="11">
        <v>106</v>
      </c>
      <c r="AJ8" s="11">
        <v>50</v>
      </c>
      <c r="AK8" s="11">
        <v>36</v>
      </c>
      <c r="AL8" s="11">
        <v>36</v>
      </c>
      <c r="AM8" s="11">
        <v>14</v>
      </c>
      <c r="AN8" s="11">
        <v>19</v>
      </c>
      <c r="AO8" s="11"/>
      <c r="AP8" s="11">
        <v>135</v>
      </c>
      <c r="AQ8" s="11">
        <v>152</v>
      </c>
      <c r="AR8" s="11"/>
      <c r="AS8" s="11">
        <v>286</v>
      </c>
      <c r="AT8" s="11" t="s">
        <v>87</v>
      </c>
      <c r="AU8" s="11">
        <v>1</v>
      </c>
      <c r="AV8" s="11"/>
      <c r="AW8" s="11">
        <v>214</v>
      </c>
      <c r="AX8" s="11">
        <v>61</v>
      </c>
      <c r="AY8" s="11"/>
      <c r="AZ8" s="11">
        <v>237</v>
      </c>
      <c r="BA8" s="11">
        <v>50</v>
      </c>
    </row>
    <row r="9" spans="2:53" x14ac:dyDescent="0.35">
      <c r="B9" s="15" t="s">
        <v>220</v>
      </c>
      <c r="C9" s="14">
        <v>0.57041087494258402</v>
      </c>
      <c r="D9" s="14">
        <v>0.64388037157473299</v>
      </c>
      <c r="E9" s="14">
        <v>0.47826813803497098</v>
      </c>
      <c r="F9" s="14"/>
      <c r="G9" s="14">
        <v>0.73233461028976199</v>
      </c>
      <c r="H9" s="14">
        <v>0.62548131285454001</v>
      </c>
      <c r="I9" s="14">
        <v>0.54420940022783304</v>
      </c>
      <c r="J9" s="14">
        <v>0.48708357137885999</v>
      </c>
      <c r="K9" s="14">
        <v>0.69576719247051799</v>
      </c>
      <c r="L9" s="14" t="s">
        <v>88</v>
      </c>
      <c r="M9" s="14"/>
      <c r="N9" s="14">
        <v>0.62880853170277196</v>
      </c>
      <c r="O9" s="14">
        <v>0.50833912780224899</v>
      </c>
      <c r="P9" s="14">
        <v>0.55720876404393205</v>
      </c>
      <c r="Q9" s="14">
        <v>0.57981124172364895</v>
      </c>
      <c r="R9" s="14"/>
      <c r="S9" s="14">
        <v>0.57381255283754895</v>
      </c>
      <c r="T9" s="14">
        <v>0.57095831546963705</v>
      </c>
      <c r="U9" s="14">
        <v>0.622541138960226</v>
      </c>
      <c r="V9" s="14">
        <v>0.51536069395067197</v>
      </c>
      <c r="W9" s="14">
        <v>0.68892453768776096</v>
      </c>
      <c r="X9" s="14">
        <v>0.49133119909116302</v>
      </c>
      <c r="Y9" s="14">
        <v>0.53829413712750895</v>
      </c>
      <c r="Z9" s="14">
        <v>0.61501683613913305</v>
      </c>
      <c r="AA9" s="14">
        <v>0.53495708691978106</v>
      </c>
      <c r="AB9" s="14"/>
      <c r="AC9" s="14">
        <v>0.71995303390849197</v>
      </c>
      <c r="AD9" s="14">
        <v>0.46753333029378902</v>
      </c>
      <c r="AE9" s="14">
        <v>0.50079874233754196</v>
      </c>
      <c r="AF9" s="14">
        <v>0.61548103989045999</v>
      </c>
      <c r="AG9" s="14">
        <v>0.70321263772167697</v>
      </c>
      <c r="AH9" s="14"/>
      <c r="AI9" s="14">
        <v>0.56793641928414296</v>
      </c>
      <c r="AJ9" s="14">
        <v>0.55885091587888802</v>
      </c>
      <c r="AK9" s="14">
        <v>0.62385184965479501</v>
      </c>
      <c r="AL9" s="14">
        <v>0.63304807652471995</v>
      </c>
      <c r="AM9" s="14">
        <v>0.62356212536224798</v>
      </c>
      <c r="AN9" s="14">
        <v>0.55127027072606405</v>
      </c>
      <c r="AO9" s="14"/>
      <c r="AP9" s="14">
        <v>0.64274412531534197</v>
      </c>
      <c r="AQ9" s="14">
        <v>0.50574361865309503</v>
      </c>
      <c r="AR9" s="14"/>
      <c r="AS9" s="14">
        <v>0.56941641865224901</v>
      </c>
      <c r="AT9" s="14" t="s">
        <v>88</v>
      </c>
      <c r="AU9" s="14">
        <v>1</v>
      </c>
      <c r="AV9" s="14"/>
      <c r="AW9" s="14">
        <v>0.56499236463694602</v>
      </c>
      <c r="AX9" s="14">
        <v>0.61034624443009999</v>
      </c>
      <c r="AY9" s="14"/>
      <c r="AZ9" s="14">
        <v>0.58855020266330604</v>
      </c>
      <c r="BA9" s="14">
        <v>0.48471683303539798</v>
      </c>
    </row>
    <row r="10" spans="2:53" x14ac:dyDescent="0.35">
      <c r="B10" s="15" t="s">
        <v>221</v>
      </c>
      <c r="C10" s="14">
        <v>0.33094951034859899</v>
      </c>
      <c r="D10" s="14">
        <v>0.268712453493266</v>
      </c>
      <c r="E10" s="14">
        <v>0.40900493496159002</v>
      </c>
      <c r="F10" s="14"/>
      <c r="G10" s="14">
        <v>0</v>
      </c>
      <c r="H10" s="14">
        <v>0.29348407473676402</v>
      </c>
      <c r="I10" s="14">
        <v>0.36533222130981202</v>
      </c>
      <c r="J10" s="14">
        <v>0.36579050342740399</v>
      </c>
      <c r="K10" s="14">
        <v>0.19348803637276701</v>
      </c>
      <c r="L10" s="14" t="s">
        <v>88</v>
      </c>
      <c r="M10" s="14"/>
      <c r="N10" s="14">
        <v>0.28452318702393298</v>
      </c>
      <c r="O10" s="14">
        <v>0.327741914816574</v>
      </c>
      <c r="P10" s="14">
        <v>0.328658745127063</v>
      </c>
      <c r="Q10" s="14">
        <v>0.40133304806019099</v>
      </c>
      <c r="R10" s="14"/>
      <c r="S10" s="14">
        <v>0.35727818002871797</v>
      </c>
      <c r="T10" s="14">
        <v>0.29118823978258002</v>
      </c>
      <c r="U10" s="14">
        <v>0.268316517742478</v>
      </c>
      <c r="V10" s="14">
        <v>0.305336778512384</v>
      </c>
      <c r="W10" s="14">
        <v>0.31107546231223898</v>
      </c>
      <c r="X10" s="14">
        <v>0.37219233684647601</v>
      </c>
      <c r="Y10" s="14">
        <v>0.37753292378124798</v>
      </c>
      <c r="Z10" s="14">
        <v>0.33910591149541403</v>
      </c>
      <c r="AA10" s="14">
        <v>0.38985138227899202</v>
      </c>
      <c r="AB10" s="14"/>
      <c r="AC10" s="14">
        <v>0.23731703284654401</v>
      </c>
      <c r="AD10" s="14">
        <v>0.39946847947210901</v>
      </c>
      <c r="AE10" s="14">
        <v>0.38013902012064299</v>
      </c>
      <c r="AF10" s="14">
        <v>0.33395824254165202</v>
      </c>
      <c r="AG10" s="14">
        <v>0.179976826298064</v>
      </c>
      <c r="AH10" s="14"/>
      <c r="AI10" s="14">
        <v>0.35877287295833499</v>
      </c>
      <c r="AJ10" s="14">
        <v>0.31557780875226898</v>
      </c>
      <c r="AK10" s="14">
        <v>0.238976324536784</v>
      </c>
      <c r="AL10" s="14">
        <v>0.295979574899498</v>
      </c>
      <c r="AM10" s="14">
        <v>0.21238151382004899</v>
      </c>
      <c r="AN10" s="14">
        <v>0.36288687715669998</v>
      </c>
      <c r="AO10" s="14"/>
      <c r="AP10" s="14">
        <v>0.26270553474223002</v>
      </c>
      <c r="AQ10" s="14">
        <v>0.39196087978116601</v>
      </c>
      <c r="AR10" s="14"/>
      <c r="AS10" s="14">
        <v>0.33171562569731899</v>
      </c>
      <c r="AT10" s="14" t="s">
        <v>88</v>
      </c>
      <c r="AU10" s="14">
        <v>0</v>
      </c>
      <c r="AV10" s="14"/>
      <c r="AW10" s="14">
        <v>0.34015181212356599</v>
      </c>
      <c r="AX10" s="14">
        <v>0.257690395269777</v>
      </c>
      <c r="AY10" s="14"/>
      <c r="AZ10" s="14">
        <v>0.326445014701853</v>
      </c>
      <c r="BA10" s="14">
        <v>0.35222970577072998</v>
      </c>
    </row>
    <row r="11" spans="2:53" x14ac:dyDescent="0.35">
      <c r="B11" s="15" t="s">
        <v>222</v>
      </c>
      <c r="C11" s="14">
        <v>3.1960278388247797E-2</v>
      </c>
      <c r="D11" s="14">
        <v>1.9015058007929901E-2</v>
      </c>
      <c r="E11" s="14">
        <v>4.8195697036709499E-2</v>
      </c>
      <c r="F11" s="14"/>
      <c r="G11" s="14">
        <v>0</v>
      </c>
      <c r="H11" s="14">
        <v>1.14579248907029E-2</v>
      </c>
      <c r="I11" s="14">
        <v>3.72555834038822E-2</v>
      </c>
      <c r="J11" s="14">
        <v>7.2394547590367606E-2</v>
      </c>
      <c r="K11" s="14">
        <v>0</v>
      </c>
      <c r="L11" s="14" t="s">
        <v>88</v>
      </c>
      <c r="M11" s="14"/>
      <c r="N11" s="14">
        <v>4.1765076821388698E-2</v>
      </c>
      <c r="O11" s="14">
        <v>5.4947501373694099E-2</v>
      </c>
      <c r="P11" s="14">
        <v>1.8661829620639701E-2</v>
      </c>
      <c r="Q11" s="14">
        <v>0</v>
      </c>
      <c r="R11" s="14"/>
      <c r="S11" s="14">
        <v>1.8817833007252701E-2</v>
      </c>
      <c r="T11" s="14">
        <v>3.7513282401068597E-2</v>
      </c>
      <c r="U11" s="14">
        <v>2.9994142689125401E-2</v>
      </c>
      <c r="V11" s="14">
        <v>5.1564426250653203E-2</v>
      </c>
      <c r="W11" s="14">
        <v>0</v>
      </c>
      <c r="X11" s="14">
        <v>0.104218959177818</v>
      </c>
      <c r="Y11" s="14">
        <v>4.1985936237479198E-2</v>
      </c>
      <c r="Z11" s="14">
        <v>0</v>
      </c>
      <c r="AA11" s="14">
        <v>2.2217331950190201E-2</v>
      </c>
      <c r="AB11" s="14"/>
      <c r="AC11" s="14">
        <v>0</v>
      </c>
      <c r="AD11" s="14">
        <v>4.99388088586585E-2</v>
      </c>
      <c r="AE11" s="14">
        <v>2.6371365700403E-2</v>
      </c>
      <c r="AF11" s="14">
        <v>3.97388812235056E-2</v>
      </c>
      <c r="AG11" s="14">
        <v>0</v>
      </c>
      <c r="AH11" s="14"/>
      <c r="AI11" s="14">
        <v>1.62575326470339E-2</v>
      </c>
      <c r="AJ11" s="14">
        <v>5.3207680372244999E-2</v>
      </c>
      <c r="AK11" s="14">
        <v>2.72388402745097E-2</v>
      </c>
      <c r="AL11" s="14">
        <v>0</v>
      </c>
      <c r="AM11" s="14">
        <v>5.7299772449440997E-2</v>
      </c>
      <c r="AN11" s="14">
        <v>5.7757655668653499E-2</v>
      </c>
      <c r="AO11" s="14"/>
      <c r="AP11" s="14">
        <v>3.7716848264363001E-2</v>
      </c>
      <c r="AQ11" s="14">
        <v>2.6813799035962399E-2</v>
      </c>
      <c r="AR11" s="14"/>
      <c r="AS11" s="14">
        <v>3.2034263268288302E-2</v>
      </c>
      <c r="AT11" s="14" t="s">
        <v>88</v>
      </c>
      <c r="AU11" s="14">
        <v>0</v>
      </c>
      <c r="AV11" s="14"/>
      <c r="AW11" s="14">
        <v>3.6570832841576403E-2</v>
      </c>
      <c r="AX11" s="14">
        <v>2.2296091575056302E-2</v>
      </c>
      <c r="AY11" s="14"/>
      <c r="AZ11" s="14">
        <v>2.7268648679837599E-2</v>
      </c>
      <c r="BA11" s="14">
        <v>5.4124534916134399E-2</v>
      </c>
    </row>
    <row r="12" spans="2:53" x14ac:dyDescent="0.35">
      <c r="B12" s="15" t="s">
        <v>223</v>
      </c>
      <c r="C12" s="14">
        <v>1.2860068690737801E-2</v>
      </c>
      <c r="D12" s="14">
        <v>1.3756912891543901E-2</v>
      </c>
      <c r="E12" s="14">
        <v>1.17352797234776E-2</v>
      </c>
      <c r="F12" s="14"/>
      <c r="G12" s="14">
        <v>0</v>
      </c>
      <c r="H12" s="14">
        <v>3.39516667627889E-2</v>
      </c>
      <c r="I12" s="14">
        <v>5.1731060199895398E-3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1.82974887538777E-2</v>
      </c>
      <c r="P12" s="14">
        <v>4.1439308136457298E-2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5.9704290515780398E-2</v>
      </c>
      <c r="W12" s="14">
        <v>0</v>
      </c>
      <c r="X12" s="14">
        <v>0</v>
      </c>
      <c r="Y12" s="14">
        <v>3.43298680817214E-2</v>
      </c>
      <c r="Z12" s="14">
        <v>4.5877252365452197E-2</v>
      </c>
      <c r="AA12" s="14">
        <v>0</v>
      </c>
      <c r="AB12" s="14"/>
      <c r="AC12" s="14">
        <v>0</v>
      </c>
      <c r="AD12" s="14">
        <v>3.8005039819757801E-2</v>
      </c>
      <c r="AE12" s="14">
        <v>6.8426112539953501E-3</v>
      </c>
      <c r="AF12" s="14">
        <v>0</v>
      </c>
      <c r="AG12" s="14">
        <v>0</v>
      </c>
      <c r="AH12" s="14"/>
      <c r="AI12" s="14">
        <v>7.1860592230894001E-3</v>
      </c>
      <c r="AJ12" s="14">
        <v>4.3662318462841403E-2</v>
      </c>
      <c r="AK12" s="14">
        <v>0</v>
      </c>
      <c r="AL12" s="14">
        <v>2.0451432143588098E-2</v>
      </c>
      <c r="AM12" s="14">
        <v>0</v>
      </c>
      <c r="AN12" s="14">
        <v>0</v>
      </c>
      <c r="AO12" s="14"/>
      <c r="AP12" s="14">
        <v>1.10292462720115E-2</v>
      </c>
      <c r="AQ12" s="14">
        <v>1.4496857608174599E-2</v>
      </c>
      <c r="AR12" s="14"/>
      <c r="AS12" s="14">
        <v>1.2889838476464801E-2</v>
      </c>
      <c r="AT12" s="14" t="s">
        <v>88</v>
      </c>
      <c r="AU12" s="14">
        <v>0</v>
      </c>
      <c r="AV12" s="14"/>
      <c r="AW12" s="14">
        <v>6.9930327467477198E-3</v>
      </c>
      <c r="AX12" s="14">
        <v>3.6043545643462897E-2</v>
      </c>
      <c r="AY12" s="14"/>
      <c r="AZ12" s="14">
        <v>1.2375787801146799E-2</v>
      </c>
      <c r="BA12" s="14">
        <v>1.51479146068821E-2</v>
      </c>
    </row>
    <row r="13" spans="2:53" x14ac:dyDescent="0.35">
      <c r="B13" s="15" t="s">
        <v>116</v>
      </c>
      <c r="C13" s="18">
        <v>1.32459046466319E-2</v>
      </c>
      <c r="D13" s="18">
        <v>1.7225754715654001E-2</v>
      </c>
      <c r="E13" s="18">
        <v>8.2545232618141794E-3</v>
      </c>
      <c r="F13" s="18"/>
      <c r="G13" s="18">
        <v>0</v>
      </c>
      <c r="H13" s="18">
        <v>1.9474474900554701E-3</v>
      </c>
      <c r="I13" s="18">
        <v>1.5652182274546102E-2</v>
      </c>
      <c r="J13" s="18">
        <v>3.5627132375042503E-2</v>
      </c>
      <c r="K13" s="18">
        <v>0</v>
      </c>
      <c r="L13" s="18" t="s">
        <v>88</v>
      </c>
      <c r="M13" s="18"/>
      <c r="N13" s="18">
        <v>1.8997810930962999E-3</v>
      </c>
      <c r="O13" s="18">
        <v>4.44957727172249E-2</v>
      </c>
      <c r="P13" s="18">
        <v>0</v>
      </c>
      <c r="Q13" s="18">
        <v>0</v>
      </c>
      <c r="R13" s="18"/>
      <c r="S13" s="18">
        <v>2.5166873992483699E-2</v>
      </c>
      <c r="T13" s="18">
        <v>1.9035155048568699E-2</v>
      </c>
      <c r="U13" s="18">
        <v>0</v>
      </c>
      <c r="V13" s="18">
        <v>0</v>
      </c>
      <c r="W13" s="18">
        <v>0</v>
      </c>
      <c r="X13" s="18">
        <v>0</v>
      </c>
      <c r="Y13" s="18">
        <v>7.8571347720425705E-3</v>
      </c>
      <c r="Z13" s="18">
        <v>0</v>
      </c>
      <c r="AA13" s="18">
        <v>3.6339865763226897E-2</v>
      </c>
      <c r="AB13" s="18"/>
      <c r="AC13" s="18">
        <v>0</v>
      </c>
      <c r="AD13" s="18">
        <v>0</v>
      </c>
      <c r="AE13" s="18">
        <v>3.3842162387872403E-2</v>
      </c>
      <c r="AF13" s="18">
        <v>3.84047990753681E-3</v>
      </c>
      <c r="AG13" s="18">
        <v>0</v>
      </c>
      <c r="AH13" s="18"/>
      <c r="AI13" s="18">
        <v>2.3333649233159299E-2</v>
      </c>
      <c r="AJ13" s="18">
        <v>0</v>
      </c>
      <c r="AK13" s="18">
        <v>3.6771439666836603E-2</v>
      </c>
      <c r="AL13" s="18">
        <v>0</v>
      </c>
      <c r="AM13" s="18">
        <v>0</v>
      </c>
      <c r="AN13" s="18">
        <v>0</v>
      </c>
      <c r="AO13" s="18"/>
      <c r="AP13" s="18">
        <v>6.5167403841774199E-3</v>
      </c>
      <c r="AQ13" s="18">
        <v>1.9261901269647001E-2</v>
      </c>
      <c r="AR13" s="18"/>
      <c r="AS13" s="18">
        <v>1.3276567604394799E-2</v>
      </c>
      <c r="AT13" s="18" t="s">
        <v>88</v>
      </c>
      <c r="AU13" s="18">
        <v>0</v>
      </c>
      <c r="AV13" s="18"/>
      <c r="AW13" s="18">
        <v>1.77925866848259E-2</v>
      </c>
      <c r="AX13" s="18">
        <v>0</v>
      </c>
      <c r="AY13" s="18"/>
      <c r="AZ13" s="18">
        <v>6.3480583650033203E-3</v>
      </c>
      <c r="BA13" s="18">
        <v>4.5832797470224E-2</v>
      </c>
    </row>
    <row r="14" spans="2:53" x14ac:dyDescent="0.35">
      <c r="B14" s="26" t="s">
        <v>224</v>
      </c>
      <c r="C14" s="27">
        <v>0.90136038529118301</v>
      </c>
      <c r="D14" s="27">
        <v>0.91259282506799899</v>
      </c>
      <c r="E14" s="27">
        <v>0.887273072996561</v>
      </c>
      <c r="F14" s="27"/>
      <c r="G14" s="27">
        <v>0.73233461028976199</v>
      </c>
      <c r="H14" s="27">
        <v>0.91896538759130397</v>
      </c>
      <c r="I14" s="27">
        <v>0.90954162153764495</v>
      </c>
      <c r="J14" s="27">
        <v>0.85287407480626298</v>
      </c>
      <c r="K14" s="27">
        <v>0.88925522884328501</v>
      </c>
      <c r="L14" s="27" t="s">
        <v>88</v>
      </c>
      <c r="M14" s="27"/>
      <c r="N14" s="27">
        <v>0.91333171872670404</v>
      </c>
      <c r="O14" s="27">
        <v>0.83608104261882299</v>
      </c>
      <c r="P14" s="27">
        <v>0.88586750917099399</v>
      </c>
      <c r="Q14" s="27">
        <v>0.98114428978384005</v>
      </c>
      <c r="R14" s="27"/>
      <c r="S14" s="27">
        <v>0.93109073286626698</v>
      </c>
      <c r="T14" s="27">
        <v>0.86214655525221795</v>
      </c>
      <c r="U14" s="27">
        <v>0.890857656702704</v>
      </c>
      <c r="V14" s="27">
        <v>0.82069747246305602</v>
      </c>
      <c r="W14" s="27">
        <v>1</v>
      </c>
      <c r="X14" s="27">
        <v>0.86352353593763997</v>
      </c>
      <c r="Y14" s="27">
        <v>0.91582706090875698</v>
      </c>
      <c r="Z14" s="27">
        <v>0.95412274763454796</v>
      </c>
      <c r="AA14" s="27">
        <v>0.92480846919877302</v>
      </c>
      <c r="AB14" s="27"/>
      <c r="AC14" s="27">
        <v>0.95727006675503701</v>
      </c>
      <c r="AD14" s="27">
        <v>0.86700180976589902</v>
      </c>
      <c r="AE14" s="27">
        <v>0.880937762458185</v>
      </c>
      <c r="AF14" s="27">
        <v>0.94943928243211295</v>
      </c>
      <c r="AG14" s="27">
        <v>0.88318946401974197</v>
      </c>
      <c r="AH14" s="27"/>
      <c r="AI14" s="27">
        <v>0.926709292242477</v>
      </c>
      <c r="AJ14" s="27">
        <v>0.87442872463115695</v>
      </c>
      <c r="AK14" s="27">
        <v>0.86282817419157898</v>
      </c>
      <c r="AL14" s="27">
        <v>0.92902765142421795</v>
      </c>
      <c r="AM14" s="27">
        <v>0.83594363918229697</v>
      </c>
      <c r="AN14" s="27">
        <v>0.91415714788276403</v>
      </c>
      <c r="AO14" s="27"/>
      <c r="AP14" s="27">
        <v>0.90544966005757199</v>
      </c>
      <c r="AQ14" s="27">
        <v>0.89770449843426103</v>
      </c>
      <c r="AR14" s="27"/>
      <c r="AS14" s="27">
        <v>0.90113204434956695</v>
      </c>
      <c r="AT14" s="27" t="s">
        <v>88</v>
      </c>
      <c r="AU14" s="27">
        <v>1</v>
      </c>
      <c r="AV14" s="27"/>
      <c r="AW14" s="27">
        <v>0.90514417676051295</v>
      </c>
      <c r="AX14" s="27">
        <v>0.86803663969987599</v>
      </c>
      <c r="AY14" s="27"/>
      <c r="AZ14" s="27">
        <v>0.91499521736515899</v>
      </c>
      <c r="BA14" s="27">
        <v>0.83694653880612802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364</v>
      </c>
      <c r="D7" s="10">
        <v>168</v>
      </c>
      <c r="E7" s="10">
        <v>196</v>
      </c>
      <c r="F7" s="10"/>
      <c r="G7" s="10">
        <v>7</v>
      </c>
      <c r="H7" s="10">
        <v>124</v>
      </c>
      <c r="I7" s="10">
        <v>179</v>
      </c>
      <c r="J7" s="10">
        <v>44</v>
      </c>
      <c r="K7" s="10">
        <v>10</v>
      </c>
      <c r="L7" s="10" t="s">
        <v>87</v>
      </c>
      <c r="M7" s="10"/>
      <c r="N7" s="10">
        <v>175</v>
      </c>
      <c r="O7" s="10">
        <v>85</v>
      </c>
      <c r="P7" s="10">
        <v>48</v>
      </c>
      <c r="Q7" s="10">
        <v>56</v>
      </c>
      <c r="R7" s="10"/>
      <c r="S7" s="10">
        <v>82</v>
      </c>
      <c r="T7" s="10">
        <v>57</v>
      </c>
      <c r="U7" s="10">
        <v>33</v>
      </c>
      <c r="V7" s="10">
        <v>40</v>
      </c>
      <c r="W7" s="10">
        <v>22</v>
      </c>
      <c r="X7" s="10">
        <v>31</v>
      </c>
      <c r="Y7" s="10">
        <v>33</v>
      </c>
      <c r="Z7" s="10">
        <v>20</v>
      </c>
      <c r="AA7" s="10">
        <v>46</v>
      </c>
      <c r="AB7" s="10"/>
      <c r="AC7" s="10">
        <v>31</v>
      </c>
      <c r="AD7" s="10">
        <v>61</v>
      </c>
      <c r="AE7" s="10">
        <v>132</v>
      </c>
      <c r="AF7" s="10">
        <v>79</v>
      </c>
      <c r="AG7" s="10">
        <v>30</v>
      </c>
      <c r="AH7" s="10"/>
      <c r="AI7" s="10">
        <v>146</v>
      </c>
      <c r="AJ7" s="10">
        <v>63</v>
      </c>
      <c r="AK7" s="10">
        <v>38</v>
      </c>
      <c r="AL7" s="10">
        <v>44</v>
      </c>
      <c r="AM7" s="10">
        <v>18</v>
      </c>
      <c r="AN7" s="10">
        <v>27</v>
      </c>
      <c r="AO7" s="10"/>
      <c r="AP7" s="10">
        <v>178</v>
      </c>
      <c r="AQ7" s="10">
        <v>186</v>
      </c>
      <c r="AR7" s="10"/>
      <c r="AS7" s="10">
        <v>363</v>
      </c>
      <c r="AT7" s="10" t="s">
        <v>87</v>
      </c>
      <c r="AU7" s="10">
        <v>1</v>
      </c>
      <c r="AV7" s="10"/>
      <c r="AW7" s="10">
        <v>251</v>
      </c>
      <c r="AX7" s="10">
        <v>101</v>
      </c>
      <c r="AY7" s="10"/>
      <c r="AZ7" s="10">
        <v>302</v>
      </c>
      <c r="BA7" s="10">
        <v>61</v>
      </c>
    </row>
    <row r="8" spans="2:53" ht="30" customHeight="1" x14ac:dyDescent="0.35">
      <c r="B8" s="11" t="s">
        <v>19</v>
      </c>
      <c r="C8" s="11">
        <v>356</v>
      </c>
      <c r="D8" s="11">
        <v>199</v>
      </c>
      <c r="E8" s="11">
        <v>157</v>
      </c>
      <c r="F8" s="11"/>
      <c r="G8" s="11">
        <v>6</v>
      </c>
      <c r="H8" s="11">
        <v>98</v>
      </c>
      <c r="I8" s="11">
        <v>191</v>
      </c>
      <c r="J8" s="11">
        <v>48</v>
      </c>
      <c r="K8" s="11">
        <v>13</v>
      </c>
      <c r="L8" s="11" t="s">
        <v>87</v>
      </c>
      <c r="M8" s="11"/>
      <c r="N8" s="11">
        <v>104</v>
      </c>
      <c r="O8" s="11">
        <v>95</v>
      </c>
      <c r="P8" s="11">
        <v>72</v>
      </c>
      <c r="Q8" s="11">
        <v>85</v>
      </c>
      <c r="R8" s="11"/>
      <c r="S8" s="11">
        <v>70</v>
      </c>
      <c r="T8" s="11">
        <v>61</v>
      </c>
      <c r="U8" s="11">
        <v>44</v>
      </c>
      <c r="V8" s="11">
        <v>47</v>
      </c>
      <c r="W8" s="11">
        <v>21</v>
      </c>
      <c r="X8" s="11">
        <v>23</v>
      </c>
      <c r="Y8" s="11">
        <v>30</v>
      </c>
      <c r="Z8" s="11">
        <v>19</v>
      </c>
      <c r="AA8" s="11">
        <v>39</v>
      </c>
      <c r="AB8" s="11"/>
      <c r="AC8" s="11">
        <v>41</v>
      </c>
      <c r="AD8" s="11">
        <v>77</v>
      </c>
      <c r="AE8" s="11">
        <v>124</v>
      </c>
      <c r="AF8" s="11">
        <v>59</v>
      </c>
      <c r="AG8" s="11">
        <v>16</v>
      </c>
      <c r="AH8" s="11"/>
      <c r="AI8" s="11">
        <v>128</v>
      </c>
      <c r="AJ8" s="11">
        <v>61</v>
      </c>
      <c r="AK8" s="11">
        <v>38</v>
      </c>
      <c r="AL8" s="11">
        <v>47</v>
      </c>
      <c r="AM8" s="11">
        <v>19</v>
      </c>
      <c r="AN8" s="11">
        <v>28</v>
      </c>
      <c r="AO8" s="11"/>
      <c r="AP8" s="11">
        <v>167</v>
      </c>
      <c r="AQ8" s="11">
        <v>189</v>
      </c>
      <c r="AR8" s="11"/>
      <c r="AS8" s="11">
        <v>355</v>
      </c>
      <c r="AT8" s="11" t="s">
        <v>87</v>
      </c>
      <c r="AU8" s="11">
        <v>1</v>
      </c>
      <c r="AV8" s="11"/>
      <c r="AW8" s="11">
        <v>267</v>
      </c>
      <c r="AX8" s="11">
        <v>74</v>
      </c>
      <c r="AY8" s="11"/>
      <c r="AZ8" s="11">
        <v>291</v>
      </c>
      <c r="BA8" s="11">
        <v>64</v>
      </c>
    </row>
    <row r="9" spans="2:53" x14ac:dyDescent="0.35">
      <c r="B9" s="15" t="s">
        <v>154</v>
      </c>
      <c r="C9" s="14">
        <v>0.32288997149326798</v>
      </c>
      <c r="D9" s="14">
        <v>0.36754193595208901</v>
      </c>
      <c r="E9" s="14">
        <v>0.26616164655830798</v>
      </c>
      <c r="F9" s="14"/>
      <c r="G9" s="14">
        <v>0.470147227567073</v>
      </c>
      <c r="H9" s="14">
        <v>0.30068148539741102</v>
      </c>
      <c r="I9" s="14">
        <v>0.333710023201715</v>
      </c>
      <c r="J9" s="14">
        <v>0.30755245551958499</v>
      </c>
      <c r="K9" s="14">
        <v>0.31662840516276802</v>
      </c>
      <c r="L9" s="14" t="s">
        <v>88</v>
      </c>
      <c r="M9" s="14"/>
      <c r="N9" s="14">
        <v>0.37047766986441899</v>
      </c>
      <c r="O9" s="14">
        <v>0.25866401362499197</v>
      </c>
      <c r="P9" s="14">
        <v>0.30252737891777598</v>
      </c>
      <c r="Q9" s="14">
        <v>0.35353163827304501</v>
      </c>
      <c r="R9" s="14"/>
      <c r="S9" s="14">
        <v>0.45956223338673002</v>
      </c>
      <c r="T9" s="14">
        <v>0.291876356408308</v>
      </c>
      <c r="U9" s="14">
        <v>0.29986693118778501</v>
      </c>
      <c r="V9" s="14">
        <v>0.26118617112823</v>
      </c>
      <c r="W9" s="14">
        <v>0.40686241021108199</v>
      </c>
      <c r="X9" s="14">
        <v>0.26332852364496001</v>
      </c>
      <c r="Y9" s="14">
        <v>0.28906277332741998</v>
      </c>
      <c r="Z9" s="14">
        <v>0.16588190047012599</v>
      </c>
      <c r="AA9" s="14">
        <v>0.32258651260875698</v>
      </c>
      <c r="AB9" s="14"/>
      <c r="AC9" s="14">
        <v>0.16516082113929501</v>
      </c>
      <c r="AD9" s="14">
        <v>0.21434643611620799</v>
      </c>
      <c r="AE9" s="14">
        <v>0.36176444742862601</v>
      </c>
      <c r="AF9" s="14">
        <v>0.37117150563430901</v>
      </c>
      <c r="AG9" s="14">
        <v>0.490932978366805</v>
      </c>
      <c r="AH9" s="14"/>
      <c r="AI9" s="14">
        <v>0.29007564963743498</v>
      </c>
      <c r="AJ9" s="14">
        <v>0.31233641824570801</v>
      </c>
      <c r="AK9" s="14">
        <v>0.33684135707969698</v>
      </c>
      <c r="AL9" s="14">
        <v>0.44239057168638601</v>
      </c>
      <c r="AM9" s="14">
        <v>0.21678892007220901</v>
      </c>
      <c r="AN9" s="14">
        <v>0.49208613170930698</v>
      </c>
      <c r="AO9" s="14"/>
      <c r="AP9" s="14">
        <v>0.39834025184894101</v>
      </c>
      <c r="AQ9" s="14">
        <v>0.25626675499537199</v>
      </c>
      <c r="AR9" s="14"/>
      <c r="AS9" s="14">
        <v>0.32162618306162299</v>
      </c>
      <c r="AT9" s="14" t="s">
        <v>88</v>
      </c>
      <c r="AU9" s="14">
        <v>1</v>
      </c>
      <c r="AV9" s="14"/>
      <c r="AW9" s="14">
        <v>0.28907000277565498</v>
      </c>
      <c r="AX9" s="14">
        <v>0.456231364275622</v>
      </c>
      <c r="AY9" s="14"/>
      <c r="AZ9" s="14">
        <v>0.36220246655355398</v>
      </c>
      <c r="BA9" s="14">
        <v>0.15052674375776101</v>
      </c>
    </row>
    <row r="10" spans="2:53" x14ac:dyDescent="0.35">
      <c r="B10" s="15" t="s">
        <v>155</v>
      </c>
      <c r="C10" s="14">
        <v>0.54122673431511303</v>
      </c>
      <c r="D10" s="14">
        <v>0.52770640017069104</v>
      </c>
      <c r="E10" s="14">
        <v>0.55840371449660797</v>
      </c>
      <c r="F10" s="14"/>
      <c r="G10" s="14">
        <v>0.52985277243292705</v>
      </c>
      <c r="H10" s="14">
        <v>0.59834613393399405</v>
      </c>
      <c r="I10" s="14">
        <v>0.54541715660266399</v>
      </c>
      <c r="J10" s="14">
        <v>0.419208077576806</v>
      </c>
      <c r="K10" s="14">
        <v>0.50310203926812502</v>
      </c>
      <c r="L10" s="14" t="s">
        <v>88</v>
      </c>
      <c r="M10" s="14"/>
      <c r="N10" s="14">
        <v>0.56776772201107695</v>
      </c>
      <c r="O10" s="14">
        <v>0.60951053669157795</v>
      </c>
      <c r="P10" s="14">
        <v>0.49347818208156702</v>
      </c>
      <c r="Q10" s="14">
        <v>0.47311061733992299</v>
      </c>
      <c r="R10" s="14"/>
      <c r="S10" s="14">
        <v>0.41285902586701601</v>
      </c>
      <c r="T10" s="14">
        <v>0.62948750709530499</v>
      </c>
      <c r="U10" s="14">
        <v>0.43628734662996299</v>
      </c>
      <c r="V10" s="14">
        <v>0.61467137493252</v>
      </c>
      <c r="W10" s="14">
        <v>0.56217765718838597</v>
      </c>
      <c r="X10" s="14">
        <v>0.62034742362641204</v>
      </c>
      <c r="Y10" s="14">
        <v>0.56928510203863503</v>
      </c>
      <c r="Z10" s="14">
        <v>0.676681341994393</v>
      </c>
      <c r="AA10" s="14">
        <v>0.51446465329816005</v>
      </c>
      <c r="AB10" s="14"/>
      <c r="AC10" s="14">
        <v>0.60296901881976095</v>
      </c>
      <c r="AD10" s="14">
        <v>0.568478638253468</v>
      </c>
      <c r="AE10" s="14">
        <v>0.54823874678343898</v>
      </c>
      <c r="AF10" s="14">
        <v>0.53290942051401002</v>
      </c>
      <c r="AG10" s="14">
        <v>0.50906702163319495</v>
      </c>
      <c r="AH10" s="14"/>
      <c r="AI10" s="14">
        <v>0.59949070273721405</v>
      </c>
      <c r="AJ10" s="14">
        <v>0.599779504198379</v>
      </c>
      <c r="AK10" s="14">
        <v>0.56154344263279299</v>
      </c>
      <c r="AL10" s="14">
        <v>0.44358884901858697</v>
      </c>
      <c r="AM10" s="14">
        <v>0.43207081318710999</v>
      </c>
      <c r="AN10" s="14">
        <v>0.39841364577166699</v>
      </c>
      <c r="AO10" s="14"/>
      <c r="AP10" s="14">
        <v>0.46665403036473402</v>
      </c>
      <c r="AQ10" s="14">
        <v>0.60707504364808296</v>
      </c>
      <c r="AR10" s="14"/>
      <c r="AS10" s="14">
        <v>0.54223690409096603</v>
      </c>
      <c r="AT10" s="14" t="s">
        <v>88</v>
      </c>
      <c r="AU10" s="14">
        <v>0</v>
      </c>
      <c r="AV10" s="14"/>
      <c r="AW10" s="14">
        <v>0.54850694175952497</v>
      </c>
      <c r="AX10" s="14">
        <v>0.52921084699657195</v>
      </c>
      <c r="AY10" s="14"/>
      <c r="AZ10" s="14">
        <v>0.52117382525033096</v>
      </c>
      <c r="BA10" s="14">
        <v>0.62295536452935796</v>
      </c>
    </row>
    <row r="11" spans="2:53" x14ac:dyDescent="0.35">
      <c r="B11" s="15" t="s">
        <v>116</v>
      </c>
      <c r="C11" s="23">
        <v>0.13588329419161899</v>
      </c>
      <c r="D11" s="23">
        <v>0.104751663877221</v>
      </c>
      <c r="E11" s="23">
        <v>0.17543463894508399</v>
      </c>
      <c r="F11" s="23"/>
      <c r="G11" s="23">
        <v>0</v>
      </c>
      <c r="H11" s="23">
        <v>0.100972380668595</v>
      </c>
      <c r="I11" s="23">
        <v>0.120872820195621</v>
      </c>
      <c r="J11" s="23">
        <v>0.27323946690360901</v>
      </c>
      <c r="K11" s="23">
        <v>0.18026955556910701</v>
      </c>
      <c r="L11" s="23" t="s">
        <v>88</v>
      </c>
      <c r="M11" s="23"/>
      <c r="N11" s="23">
        <v>6.1754608124504201E-2</v>
      </c>
      <c r="O11" s="23">
        <v>0.13182544968342999</v>
      </c>
      <c r="P11" s="23">
        <v>0.203994439000656</v>
      </c>
      <c r="Q11" s="23">
        <v>0.173357744387032</v>
      </c>
      <c r="R11" s="23"/>
      <c r="S11" s="23">
        <v>0.127578740746254</v>
      </c>
      <c r="T11" s="23">
        <v>7.8636136496386205E-2</v>
      </c>
      <c r="U11" s="23">
        <v>0.263845722182252</v>
      </c>
      <c r="V11" s="23">
        <v>0.12414245393925</v>
      </c>
      <c r="W11" s="23">
        <v>3.0959932600532002E-2</v>
      </c>
      <c r="X11" s="23">
        <v>0.116324052728628</v>
      </c>
      <c r="Y11" s="23">
        <v>0.141652124633945</v>
      </c>
      <c r="Z11" s="23">
        <v>0.157436757535481</v>
      </c>
      <c r="AA11" s="23">
        <v>0.162948834093083</v>
      </c>
      <c r="AB11" s="23"/>
      <c r="AC11" s="23">
        <v>0.23187016004094399</v>
      </c>
      <c r="AD11" s="23">
        <v>0.21717492563032401</v>
      </c>
      <c r="AE11" s="23">
        <v>8.9996805787934203E-2</v>
      </c>
      <c r="AF11" s="23">
        <v>9.59190738516804E-2</v>
      </c>
      <c r="AG11" s="23">
        <v>0</v>
      </c>
      <c r="AH11" s="23"/>
      <c r="AI11" s="23">
        <v>0.110433647625351</v>
      </c>
      <c r="AJ11" s="23">
        <v>8.7884077555912599E-2</v>
      </c>
      <c r="AK11" s="23">
        <v>0.10161520028751</v>
      </c>
      <c r="AL11" s="23">
        <v>0.114020579295028</v>
      </c>
      <c r="AM11" s="23">
        <v>0.351140266740681</v>
      </c>
      <c r="AN11" s="23">
        <v>0.109500222519025</v>
      </c>
      <c r="AO11" s="23"/>
      <c r="AP11" s="23">
        <v>0.135005717786325</v>
      </c>
      <c r="AQ11" s="23">
        <v>0.13665820135654599</v>
      </c>
      <c r="AR11" s="23"/>
      <c r="AS11" s="23">
        <v>0.136136912847411</v>
      </c>
      <c r="AT11" s="23" t="s">
        <v>88</v>
      </c>
      <c r="AU11" s="23">
        <v>0</v>
      </c>
      <c r="AV11" s="23"/>
      <c r="AW11" s="23">
        <v>0.16242305546482</v>
      </c>
      <c r="AX11" s="23">
        <v>1.4557788727805301E-2</v>
      </c>
      <c r="AY11" s="23"/>
      <c r="AZ11" s="23">
        <v>0.116623708196116</v>
      </c>
      <c r="BA11" s="23">
        <v>0.226517891712881</v>
      </c>
    </row>
    <row r="12" spans="2:53" x14ac:dyDescent="0.35">
      <c r="B12" s="16" t="s">
        <v>213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BA18"/>
  <sheetViews>
    <sheetView showGridLines="0" topLeftCell="A5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117</v>
      </c>
      <c r="D7" s="10">
        <v>63</v>
      </c>
      <c r="E7" s="10">
        <v>54</v>
      </c>
      <c r="F7" s="10"/>
      <c r="G7" s="10">
        <v>3</v>
      </c>
      <c r="H7" s="10">
        <v>37</v>
      </c>
      <c r="I7" s="10">
        <v>58</v>
      </c>
      <c r="J7" s="10">
        <v>15</v>
      </c>
      <c r="K7" s="10">
        <v>4</v>
      </c>
      <c r="L7" s="10" t="s">
        <v>87</v>
      </c>
      <c r="M7" s="10"/>
      <c r="N7" s="10">
        <v>63</v>
      </c>
      <c r="O7" s="10">
        <v>22</v>
      </c>
      <c r="P7" s="10">
        <v>14</v>
      </c>
      <c r="Q7" s="10">
        <v>18</v>
      </c>
      <c r="R7" s="10"/>
      <c r="S7" s="10">
        <v>39</v>
      </c>
      <c r="T7" s="10">
        <v>16</v>
      </c>
      <c r="U7" s="10">
        <v>10</v>
      </c>
      <c r="V7" s="10">
        <v>9</v>
      </c>
      <c r="W7" s="10">
        <v>8</v>
      </c>
      <c r="X7" s="10">
        <v>9</v>
      </c>
      <c r="Y7" s="10">
        <v>9</v>
      </c>
      <c r="Z7" s="10">
        <v>3</v>
      </c>
      <c r="AA7" s="10">
        <v>14</v>
      </c>
      <c r="AB7" s="10"/>
      <c r="AC7" s="10">
        <v>5</v>
      </c>
      <c r="AD7" s="10">
        <v>13</v>
      </c>
      <c r="AE7" s="10">
        <v>46</v>
      </c>
      <c r="AF7" s="10">
        <v>29</v>
      </c>
      <c r="AG7" s="10">
        <v>14</v>
      </c>
      <c r="AH7" s="10"/>
      <c r="AI7" s="10">
        <v>46</v>
      </c>
      <c r="AJ7" s="10">
        <v>21</v>
      </c>
      <c r="AK7" s="10">
        <v>12</v>
      </c>
      <c r="AL7" s="10">
        <v>18</v>
      </c>
      <c r="AM7" s="10">
        <v>5</v>
      </c>
      <c r="AN7" s="10">
        <v>9</v>
      </c>
      <c r="AO7" s="10"/>
      <c r="AP7" s="10">
        <v>67</v>
      </c>
      <c r="AQ7" s="10">
        <v>50</v>
      </c>
      <c r="AR7" s="10"/>
      <c r="AS7" s="10">
        <v>116</v>
      </c>
      <c r="AT7" s="10" t="s">
        <v>87</v>
      </c>
      <c r="AU7" s="10">
        <v>1</v>
      </c>
      <c r="AV7" s="10"/>
      <c r="AW7" s="10">
        <v>68</v>
      </c>
      <c r="AX7" s="10">
        <v>46</v>
      </c>
      <c r="AY7" s="10"/>
      <c r="AZ7" s="10">
        <v>108</v>
      </c>
      <c r="BA7" s="10">
        <v>9</v>
      </c>
    </row>
    <row r="8" spans="2:53" ht="30" customHeight="1" x14ac:dyDescent="0.35">
      <c r="B8" s="11" t="s">
        <v>19</v>
      </c>
      <c r="C8" s="11">
        <v>115</v>
      </c>
      <c r="D8" s="11">
        <v>73</v>
      </c>
      <c r="E8" s="11">
        <v>42</v>
      </c>
      <c r="F8" s="11"/>
      <c r="G8" s="11">
        <v>3</v>
      </c>
      <c r="H8" s="11">
        <v>29</v>
      </c>
      <c r="I8" s="11">
        <v>64</v>
      </c>
      <c r="J8" s="11">
        <v>15</v>
      </c>
      <c r="K8" s="11">
        <v>4</v>
      </c>
      <c r="L8" s="11" t="s">
        <v>87</v>
      </c>
      <c r="M8" s="11"/>
      <c r="N8" s="11">
        <v>38</v>
      </c>
      <c r="O8" s="11">
        <v>25</v>
      </c>
      <c r="P8" s="11">
        <v>22</v>
      </c>
      <c r="Q8" s="11">
        <v>30</v>
      </c>
      <c r="R8" s="11"/>
      <c r="S8" s="11">
        <v>32</v>
      </c>
      <c r="T8" s="11">
        <v>18</v>
      </c>
      <c r="U8" s="11">
        <v>13</v>
      </c>
      <c r="V8" s="11">
        <v>12</v>
      </c>
      <c r="W8" s="11">
        <v>9</v>
      </c>
      <c r="X8" s="11">
        <v>6</v>
      </c>
      <c r="Y8" s="11">
        <v>9</v>
      </c>
      <c r="Z8" s="11">
        <v>3</v>
      </c>
      <c r="AA8" s="11">
        <v>13</v>
      </c>
      <c r="AB8" s="11"/>
      <c r="AC8" s="11">
        <v>7</v>
      </c>
      <c r="AD8" s="11">
        <v>17</v>
      </c>
      <c r="AE8" s="11">
        <v>45</v>
      </c>
      <c r="AF8" s="11">
        <v>22</v>
      </c>
      <c r="AG8" s="11">
        <v>8</v>
      </c>
      <c r="AH8" s="11"/>
      <c r="AI8" s="11">
        <v>37</v>
      </c>
      <c r="AJ8" s="11">
        <v>19</v>
      </c>
      <c r="AK8" s="11">
        <v>13</v>
      </c>
      <c r="AL8" s="11">
        <v>21</v>
      </c>
      <c r="AM8" s="11">
        <v>4</v>
      </c>
      <c r="AN8" s="11">
        <v>14</v>
      </c>
      <c r="AO8" s="11"/>
      <c r="AP8" s="11">
        <v>66</v>
      </c>
      <c r="AQ8" s="11">
        <v>48</v>
      </c>
      <c r="AR8" s="11"/>
      <c r="AS8" s="11">
        <v>114</v>
      </c>
      <c r="AT8" s="11" t="s">
        <v>87</v>
      </c>
      <c r="AU8" s="11">
        <v>1</v>
      </c>
      <c r="AV8" s="11"/>
      <c r="AW8" s="11">
        <v>77</v>
      </c>
      <c r="AX8" s="11">
        <v>34</v>
      </c>
      <c r="AY8" s="11"/>
      <c r="AZ8" s="11">
        <v>105</v>
      </c>
      <c r="BA8" s="11">
        <v>10</v>
      </c>
    </row>
    <row r="9" spans="2:53" x14ac:dyDescent="0.35">
      <c r="B9" s="15" t="s">
        <v>214</v>
      </c>
      <c r="C9" s="14">
        <v>0.23772126681299399</v>
      </c>
      <c r="D9" s="14">
        <v>0.23652278504862001</v>
      </c>
      <c r="E9" s="14">
        <v>0.23982384543285701</v>
      </c>
      <c r="F9" s="14"/>
      <c r="G9" s="14">
        <v>0</v>
      </c>
      <c r="H9" s="14">
        <v>0.32825061150325902</v>
      </c>
      <c r="I9" s="14">
        <v>0.19820086898359601</v>
      </c>
      <c r="J9" s="14">
        <v>0.178680131731349</v>
      </c>
      <c r="K9" s="14">
        <v>0.59458602342188105</v>
      </c>
      <c r="L9" s="14" t="s">
        <v>88</v>
      </c>
      <c r="M9" s="14"/>
      <c r="N9" s="14">
        <v>0.32238537719126198</v>
      </c>
      <c r="O9" s="14">
        <v>8.9695740309617897E-2</v>
      </c>
      <c r="P9" s="14">
        <v>0.15653584682717001</v>
      </c>
      <c r="Q9" s="14">
        <v>0.30868570045235699</v>
      </c>
      <c r="R9" s="14"/>
      <c r="S9" s="14">
        <v>0.31016655878708899</v>
      </c>
      <c r="T9" s="14">
        <v>0.27430972964372802</v>
      </c>
      <c r="U9" s="14">
        <v>9.8702652743334604E-2</v>
      </c>
      <c r="V9" s="14">
        <v>0.22331519461969199</v>
      </c>
      <c r="W9" s="14">
        <v>7.6094354807734396E-2</v>
      </c>
      <c r="X9" s="14">
        <v>0.18676135876417799</v>
      </c>
      <c r="Y9" s="14">
        <v>0.42268432631481301</v>
      </c>
      <c r="Z9" s="14">
        <v>0</v>
      </c>
      <c r="AA9" s="14">
        <v>0.23255317810000101</v>
      </c>
      <c r="AB9" s="14"/>
      <c r="AC9" s="14">
        <v>0.81490519881298595</v>
      </c>
      <c r="AD9" s="14">
        <v>0.119915638222702</v>
      </c>
      <c r="AE9" s="14">
        <v>0.26093275984840397</v>
      </c>
      <c r="AF9" s="14">
        <v>0.186868338844037</v>
      </c>
      <c r="AG9" s="14">
        <v>0.29133440088997398</v>
      </c>
      <c r="AH9" s="14"/>
      <c r="AI9" s="14">
        <v>0.27797800995811001</v>
      </c>
      <c r="AJ9" s="14">
        <v>0.315724373008689</v>
      </c>
      <c r="AK9" s="14">
        <v>0.103247655096739</v>
      </c>
      <c r="AL9" s="14">
        <v>6.6981955399950804E-2</v>
      </c>
      <c r="AM9" s="14">
        <v>0.333864417985892</v>
      </c>
      <c r="AN9" s="14">
        <v>0.29714850657608399</v>
      </c>
      <c r="AO9" s="14"/>
      <c r="AP9" s="14">
        <v>0.22663371581807101</v>
      </c>
      <c r="AQ9" s="14">
        <v>0.25293943195364799</v>
      </c>
      <c r="AR9" s="14"/>
      <c r="AS9" s="14">
        <v>0.23910079878073601</v>
      </c>
      <c r="AT9" s="14" t="s">
        <v>88</v>
      </c>
      <c r="AU9" s="14">
        <v>0</v>
      </c>
      <c r="AV9" s="14"/>
      <c r="AW9" s="14">
        <v>0.21427688118260299</v>
      </c>
      <c r="AX9" s="14">
        <v>0.32069074581711099</v>
      </c>
      <c r="AY9" s="14"/>
      <c r="AZ9" s="14">
        <v>0.24324030189811899</v>
      </c>
      <c r="BA9" s="14">
        <v>0.17719879545450701</v>
      </c>
    </row>
    <row r="10" spans="2:53" x14ac:dyDescent="0.35">
      <c r="B10" s="15" t="s">
        <v>215</v>
      </c>
      <c r="C10" s="14">
        <v>0.41352599970917697</v>
      </c>
      <c r="D10" s="14">
        <v>0.407888828582054</v>
      </c>
      <c r="E10" s="14">
        <v>0.42341567499730298</v>
      </c>
      <c r="F10" s="14"/>
      <c r="G10" s="14">
        <v>0</v>
      </c>
      <c r="H10" s="14">
        <v>0.30666329919364499</v>
      </c>
      <c r="I10" s="14">
        <v>0.48917353780702</v>
      </c>
      <c r="J10" s="14">
        <v>0.44321461118335498</v>
      </c>
      <c r="K10" s="14">
        <v>0.18413736918017901</v>
      </c>
      <c r="L10" s="14" t="s">
        <v>88</v>
      </c>
      <c r="M10" s="14"/>
      <c r="N10" s="14">
        <v>0.41146229378919902</v>
      </c>
      <c r="O10" s="14">
        <v>0.44716863282105301</v>
      </c>
      <c r="P10" s="14">
        <v>0.64172097122434801</v>
      </c>
      <c r="Q10" s="14">
        <v>0.224093371849344</v>
      </c>
      <c r="R10" s="14"/>
      <c r="S10" s="14">
        <v>0.39984728483127702</v>
      </c>
      <c r="T10" s="14">
        <v>0.50917958451888201</v>
      </c>
      <c r="U10" s="14">
        <v>0.24404675432565101</v>
      </c>
      <c r="V10" s="14">
        <v>0.37945951962083302</v>
      </c>
      <c r="W10" s="14">
        <v>0.179660424690117</v>
      </c>
      <c r="X10" s="14">
        <v>0.50833341761560102</v>
      </c>
      <c r="Y10" s="14">
        <v>0.45985800869274102</v>
      </c>
      <c r="Z10" s="14">
        <v>1</v>
      </c>
      <c r="AA10" s="14">
        <v>0.45885604040079397</v>
      </c>
      <c r="AB10" s="14"/>
      <c r="AC10" s="14">
        <v>0.18509480118701399</v>
      </c>
      <c r="AD10" s="14">
        <v>0.37098188054951298</v>
      </c>
      <c r="AE10" s="14">
        <v>0.387146236111852</v>
      </c>
      <c r="AF10" s="14">
        <v>0.53450775018619101</v>
      </c>
      <c r="AG10" s="14">
        <v>0.475815194667706</v>
      </c>
      <c r="AH10" s="14"/>
      <c r="AI10" s="14">
        <v>0.47389659651444699</v>
      </c>
      <c r="AJ10" s="14">
        <v>0.56835577635482004</v>
      </c>
      <c r="AK10" s="14">
        <v>0.22518685788582499</v>
      </c>
      <c r="AL10" s="14">
        <v>0.42435333445986601</v>
      </c>
      <c r="AM10" s="14">
        <v>0.19724319918307801</v>
      </c>
      <c r="AN10" s="14">
        <v>0.33129704231707202</v>
      </c>
      <c r="AO10" s="14"/>
      <c r="AP10" s="14">
        <v>0.36923624211629302</v>
      </c>
      <c r="AQ10" s="14">
        <v>0.474315694872394</v>
      </c>
      <c r="AR10" s="14"/>
      <c r="AS10" s="14">
        <v>0.41592575276341198</v>
      </c>
      <c r="AT10" s="14" t="s">
        <v>88</v>
      </c>
      <c r="AU10" s="14">
        <v>0</v>
      </c>
      <c r="AV10" s="14"/>
      <c r="AW10" s="14">
        <v>0.41871503880872302</v>
      </c>
      <c r="AX10" s="14">
        <v>0.452652607824372</v>
      </c>
      <c r="AY10" s="14"/>
      <c r="AZ10" s="14">
        <v>0.39420858737109998</v>
      </c>
      <c r="BA10" s="14">
        <v>0.625363307665871</v>
      </c>
    </row>
    <row r="11" spans="2:53" x14ac:dyDescent="0.35">
      <c r="B11" s="15" t="s">
        <v>216</v>
      </c>
      <c r="C11" s="14">
        <v>0.176661859974652</v>
      </c>
      <c r="D11" s="14">
        <v>0.18936993994297899</v>
      </c>
      <c r="E11" s="14">
        <v>0.15436720515788099</v>
      </c>
      <c r="F11" s="14"/>
      <c r="G11" s="14">
        <v>0.58808842997294097</v>
      </c>
      <c r="H11" s="14">
        <v>0.20849439072687501</v>
      </c>
      <c r="I11" s="14">
        <v>0.142504925675737</v>
      </c>
      <c r="J11" s="14">
        <v>0.16744452820319899</v>
      </c>
      <c r="K11" s="14">
        <v>0.22127660739794</v>
      </c>
      <c r="L11" s="14" t="s">
        <v>88</v>
      </c>
      <c r="M11" s="14"/>
      <c r="N11" s="14">
        <v>0.212066057310726</v>
      </c>
      <c r="O11" s="14">
        <v>0.136094129108147</v>
      </c>
      <c r="P11" s="14">
        <v>4.5512508771139201E-2</v>
      </c>
      <c r="Q11" s="14">
        <v>0.25910182523488201</v>
      </c>
      <c r="R11" s="14"/>
      <c r="S11" s="14">
        <v>0.14023048651999401</v>
      </c>
      <c r="T11" s="14">
        <v>8.6326267218162306E-2</v>
      </c>
      <c r="U11" s="14">
        <v>0.44454174809915398</v>
      </c>
      <c r="V11" s="14">
        <v>0.28879288826001398</v>
      </c>
      <c r="W11" s="14">
        <v>0.26602703878973499</v>
      </c>
      <c r="X11" s="14">
        <v>0.30490522362022099</v>
      </c>
      <c r="Y11" s="14">
        <v>0</v>
      </c>
      <c r="Z11" s="14">
        <v>0</v>
      </c>
      <c r="AA11" s="14">
        <v>4.8279521775384499E-2</v>
      </c>
      <c r="AB11" s="14"/>
      <c r="AC11" s="14">
        <v>0</v>
      </c>
      <c r="AD11" s="14">
        <v>0.22118430400240899</v>
      </c>
      <c r="AE11" s="14">
        <v>0.223781672663103</v>
      </c>
      <c r="AF11" s="14">
        <v>0.168826323446708</v>
      </c>
      <c r="AG11" s="14">
        <v>5.8063445215440698E-2</v>
      </c>
      <c r="AH11" s="14"/>
      <c r="AI11" s="14">
        <v>0.14384799170535501</v>
      </c>
      <c r="AJ11" s="14">
        <v>3.9978261769334299E-2</v>
      </c>
      <c r="AK11" s="14">
        <v>0.51396551863013196</v>
      </c>
      <c r="AL11" s="14">
        <v>0.23848320518733401</v>
      </c>
      <c r="AM11" s="14">
        <v>0.46889238283103002</v>
      </c>
      <c r="AN11" s="14">
        <v>5.0493456148804898E-2</v>
      </c>
      <c r="AO11" s="14"/>
      <c r="AP11" s="14">
        <v>0.20720585034303499</v>
      </c>
      <c r="AQ11" s="14">
        <v>0.13473885193677099</v>
      </c>
      <c r="AR11" s="14"/>
      <c r="AS11" s="14">
        <v>0.177687055097423</v>
      </c>
      <c r="AT11" s="14" t="s">
        <v>88</v>
      </c>
      <c r="AU11" s="14">
        <v>0</v>
      </c>
      <c r="AV11" s="14"/>
      <c r="AW11" s="14">
        <v>0.20134051451696799</v>
      </c>
      <c r="AX11" s="14">
        <v>0.141974884330659</v>
      </c>
      <c r="AY11" s="14"/>
      <c r="AZ11" s="14">
        <v>0.18895116312865901</v>
      </c>
      <c r="BA11" s="14">
        <v>4.18957302649723E-2</v>
      </c>
    </row>
    <row r="12" spans="2:53" x14ac:dyDescent="0.35">
      <c r="B12" s="15" t="s">
        <v>217</v>
      </c>
      <c r="C12" s="14">
        <v>3.9857052551406799E-2</v>
      </c>
      <c r="D12" s="14">
        <v>3.9549085059394702E-2</v>
      </c>
      <c r="E12" s="14">
        <v>4.0397341009325703E-2</v>
      </c>
      <c r="F12" s="14"/>
      <c r="G12" s="14">
        <v>0</v>
      </c>
      <c r="H12" s="14">
        <v>4.9297253024408301E-2</v>
      </c>
      <c r="I12" s="14">
        <v>4.90090884102998E-2</v>
      </c>
      <c r="J12" s="14">
        <v>0</v>
      </c>
      <c r="K12" s="14">
        <v>0</v>
      </c>
      <c r="L12" s="14" t="s">
        <v>88</v>
      </c>
      <c r="M12" s="14"/>
      <c r="N12" s="14">
        <v>1.58606553099928E-2</v>
      </c>
      <c r="O12" s="14">
        <v>0.161748283137298</v>
      </c>
      <c r="P12" s="14">
        <v>0</v>
      </c>
      <c r="Q12" s="14">
        <v>0</v>
      </c>
      <c r="R12" s="14"/>
      <c r="S12" s="14">
        <v>0</v>
      </c>
      <c r="T12" s="14">
        <v>8.0790833460258601E-2</v>
      </c>
      <c r="U12" s="14">
        <v>8.0704394363509804E-2</v>
      </c>
      <c r="V12" s="14">
        <v>0</v>
      </c>
      <c r="W12" s="14">
        <v>0.166457569941693</v>
      </c>
      <c r="X12" s="14">
        <v>0</v>
      </c>
      <c r="Y12" s="14">
        <v>0</v>
      </c>
      <c r="Z12" s="14">
        <v>0</v>
      </c>
      <c r="AA12" s="14">
        <v>4.82158440297554E-2</v>
      </c>
      <c r="AB12" s="14"/>
      <c r="AC12" s="14">
        <v>0</v>
      </c>
      <c r="AD12" s="14">
        <v>6.4994864602802502E-2</v>
      </c>
      <c r="AE12" s="14">
        <v>7.8365869502396199E-2</v>
      </c>
      <c r="AF12" s="14">
        <v>0</v>
      </c>
      <c r="AG12" s="14">
        <v>0</v>
      </c>
      <c r="AH12" s="14"/>
      <c r="AI12" s="14">
        <v>1.6393663575558E-2</v>
      </c>
      <c r="AJ12" s="14">
        <v>7.59415888671571E-2</v>
      </c>
      <c r="AK12" s="14">
        <v>0</v>
      </c>
      <c r="AL12" s="14">
        <v>5.1275361966749797E-2</v>
      </c>
      <c r="AM12" s="14">
        <v>0</v>
      </c>
      <c r="AN12" s="14">
        <v>0</v>
      </c>
      <c r="AO12" s="14"/>
      <c r="AP12" s="14">
        <v>1.6166662336956201E-2</v>
      </c>
      <c r="AQ12" s="14">
        <v>7.2373184445194194E-2</v>
      </c>
      <c r="AR12" s="14"/>
      <c r="AS12" s="14">
        <v>4.0088348972092097E-2</v>
      </c>
      <c r="AT12" s="14" t="s">
        <v>88</v>
      </c>
      <c r="AU12" s="14">
        <v>0</v>
      </c>
      <c r="AV12" s="14"/>
      <c r="AW12" s="14">
        <v>4.0605242573736697E-2</v>
      </c>
      <c r="AX12" s="14">
        <v>4.3060559912257199E-2</v>
      </c>
      <c r="AY12" s="14"/>
      <c r="AZ12" s="14">
        <v>3.7692984636115402E-2</v>
      </c>
      <c r="BA12" s="14">
        <v>6.3588508576040495E-2</v>
      </c>
    </row>
    <row r="13" spans="2:53" x14ac:dyDescent="0.35">
      <c r="B13" s="15" t="s">
        <v>116</v>
      </c>
      <c r="C13" s="23">
        <v>9.4890141678970197E-2</v>
      </c>
      <c r="D13" s="23">
        <v>0.126669361366953</v>
      </c>
      <c r="E13" s="23">
        <v>3.9137680641919803E-2</v>
      </c>
      <c r="F13" s="23"/>
      <c r="G13" s="23">
        <v>0</v>
      </c>
      <c r="H13" s="23">
        <v>7.0547355111413704E-2</v>
      </c>
      <c r="I13" s="23">
        <v>0.100075881743871</v>
      </c>
      <c r="J13" s="23">
        <v>0.16561581039791601</v>
      </c>
      <c r="K13" s="23">
        <v>0</v>
      </c>
      <c r="L13" s="23" t="s">
        <v>88</v>
      </c>
      <c r="M13" s="23"/>
      <c r="N13" s="23">
        <v>1.58606553099928E-2</v>
      </c>
      <c r="O13" s="23">
        <v>0.12931043871161499</v>
      </c>
      <c r="P13" s="23">
        <v>9.4443607810386396E-2</v>
      </c>
      <c r="Q13" s="23">
        <v>0.16816484647163901</v>
      </c>
      <c r="R13" s="23"/>
      <c r="S13" s="23">
        <v>0.10589409157644</v>
      </c>
      <c r="T13" s="23">
        <v>0</v>
      </c>
      <c r="U13" s="23">
        <v>0.13200445046834999</v>
      </c>
      <c r="V13" s="23">
        <v>0</v>
      </c>
      <c r="W13" s="23">
        <v>0.23566625696298499</v>
      </c>
      <c r="X13" s="23">
        <v>0</v>
      </c>
      <c r="Y13" s="23">
        <v>0.117457664992445</v>
      </c>
      <c r="Z13" s="23">
        <v>0</v>
      </c>
      <c r="AA13" s="23">
        <v>0.21209541569406501</v>
      </c>
      <c r="AB13" s="23"/>
      <c r="AC13" s="23">
        <v>0</v>
      </c>
      <c r="AD13" s="23">
        <v>0.22292331262257301</v>
      </c>
      <c r="AE13" s="23">
        <v>0</v>
      </c>
      <c r="AF13" s="23">
        <v>7.9727486208585593E-2</v>
      </c>
      <c r="AG13" s="23">
        <v>0</v>
      </c>
      <c r="AH13" s="23"/>
      <c r="AI13" s="23">
        <v>8.2566446817384107E-2</v>
      </c>
      <c r="AJ13" s="23">
        <v>0</v>
      </c>
      <c r="AK13" s="23">
        <v>0</v>
      </c>
      <c r="AL13" s="23">
        <v>0.16147320965015199</v>
      </c>
      <c r="AM13" s="23">
        <v>0</v>
      </c>
      <c r="AN13" s="23">
        <v>0.32106099495803903</v>
      </c>
      <c r="AO13" s="23"/>
      <c r="AP13" s="23">
        <v>0.139462739859889</v>
      </c>
      <c r="AQ13" s="23">
        <v>3.3712235018087899E-2</v>
      </c>
      <c r="AR13" s="23"/>
      <c r="AS13" s="23">
        <v>9.5440803324117196E-2</v>
      </c>
      <c r="AT13" s="23" t="s">
        <v>88</v>
      </c>
      <c r="AU13" s="23">
        <v>0</v>
      </c>
      <c r="AV13" s="23"/>
      <c r="AW13" s="23">
        <v>9.6177097070884801E-2</v>
      </c>
      <c r="AX13" s="23">
        <v>0</v>
      </c>
      <c r="AY13" s="23"/>
      <c r="AZ13" s="23">
        <v>0.103543159465648</v>
      </c>
      <c r="BA13" s="23">
        <v>0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BA19"/>
  <sheetViews>
    <sheetView showGridLines="0" topLeftCell="A5" workbookViewId="0">
      <pane xSplit="2" topLeftCell="C1" activePane="topRight" state="frozen"/>
      <selection pane="topRight" activeCell="E13" sqref="E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117</v>
      </c>
      <c r="D7" s="10">
        <v>63</v>
      </c>
      <c r="E7" s="10">
        <v>54</v>
      </c>
      <c r="F7" s="10"/>
      <c r="G7" s="10">
        <v>3</v>
      </c>
      <c r="H7" s="10">
        <v>37</v>
      </c>
      <c r="I7" s="10">
        <v>58</v>
      </c>
      <c r="J7" s="10">
        <v>15</v>
      </c>
      <c r="K7" s="10">
        <v>4</v>
      </c>
      <c r="L7" s="10" t="s">
        <v>87</v>
      </c>
      <c r="M7" s="10"/>
      <c r="N7" s="10">
        <v>63</v>
      </c>
      <c r="O7" s="10">
        <v>22</v>
      </c>
      <c r="P7" s="10">
        <v>14</v>
      </c>
      <c r="Q7" s="10">
        <v>18</v>
      </c>
      <c r="R7" s="10"/>
      <c r="S7" s="10">
        <v>39</v>
      </c>
      <c r="T7" s="10">
        <v>16</v>
      </c>
      <c r="U7" s="10">
        <v>10</v>
      </c>
      <c r="V7" s="10">
        <v>9</v>
      </c>
      <c r="W7" s="10">
        <v>8</v>
      </c>
      <c r="X7" s="10">
        <v>9</v>
      </c>
      <c r="Y7" s="10">
        <v>9</v>
      </c>
      <c r="Z7" s="10">
        <v>3</v>
      </c>
      <c r="AA7" s="10">
        <v>14</v>
      </c>
      <c r="AB7" s="10"/>
      <c r="AC7" s="10">
        <v>5</v>
      </c>
      <c r="AD7" s="10">
        <v>13</v>
      </c>
      <c r="AE7" s="10">
        <v>46</v>
      </c>
      <c r="AF7" s="10">
        <v>29</v>
      </c>
      <c r="AG7" s="10">
        <v>14</v>
      </c>
      <c r="AH7" s="10"/>
      <c r="AI7" s="10">
        <v>46</v>
      </c>
      <c r="AJ7" s="10">
        <v>21</v>
      </c>
      <c r="AK7" s="10">
        <v>12</v>
      </c>
      <c r="AL7" s="10">
        <v>18</v>
      </c>
      <c r="AM7" s="10">
        <v>5</v>
      </c>
      <c r="AN7" s="10">
        <v>9</v>
      </c>
      <c r="AO7" s="10"/>
      <c r="AP7" s="10">
        <v>67</v>
      </c>
      <c r="AQ7" s="10">
        <v>50</v>
      </c>
      <c r="AR7" s="10"/>
      <c r="AS7" s="10">
        <v>116</v>
      </c>
      <c r="AT7" s="10" t="s">
        <v>87</v>
      </c>
      <c r="AU7" s="10">
        <v>1</v>
      </c>
      <c r="AV7" s="10"/>
      <c r="AW7" s="10">
        <v>68</v>
      </c>
      <c r="AX7" s="10">
        <v>46</v>
      </c>
      <c r="AY7" s="10"/>
      <c r="AZ7" s="10">
        <v>108</v>
      </c>
      <c r="BA7" s="10">
        <v>9</v>
      </c>
    </row>
    <row r="8" spans="2:53" ht="30" customHeight="1" x14ac:dyDescent="0.35">
      <c r="B8" s="11" t="s">
        <v>19</v>
      </c>
      <c r="C8" s="11">
        <v>115</v>
      </c>
      <c r="D8" s="11">
        <v>73</v>
      </c>
      <c r="E8" s="11">
        <v>42</v>
      </c>
      <c r="F8" s="11"/>
      <c r="G8" s="11">
        <v>3</v>
      </c>
      <c r="H8" s="11">
        <v>29</v>
      </c>
      <c r="I8" s="11">
        <v>64</v>
      </c>
      <c r="J8" s="11">
        <v>15</v>
      </c>
      <c r="K8" s="11">
        <v>4</v>
      </c>
      <c r="L8" s="11" t="s">
        <v>87</v>
      </c>
      <c r="M8" s="11"/>
      <c r="N8" s="11">
        <v>38</v>
      </c>
      <c r="O8" s="11">
        <v>25</v>
      </c>
      <c r="P8" s="11">
        <v>22</v>
      </c>
      <c r="Q8" s="11">
        <v>30</v>
      </c>
      <c r="R8" s="11"/>
      <c r="S8" s="11">
        <v>32</v>
      </c>
      <c r="T8" s="11">
        <v>18</v>
      </c>
      <c r="U8" s="11">
        <v>13</v>
      </c>
      <c r="V8" s="11">
        <v>12</v>
      </c>
      <c r="W8" s="11">
        <v>9</v>
      </c>
      <c r="X8" s="11">
        <v>6</v>
      </c>
      <c r="Y8" s="11">
        <v>9</v>
      </c>
      <c r="Z8" s="11">
        <v>3</v>
      </c>
      <c r="AA8" s="11">
        <v>13</v>
      </c>
      <c r="AB8" s="11"/>
      <c r="AC8" s="11">
        <v>7</v>
      </c>
      <c r="AD8" s="11">
        <v>17</v>
      </c>
      <c r="AE8" s="11">
        <v>45</v>
      </c>
      <c r="AF8" s="11">
        <v>22</v>
      </c>
      <c r="AG8" s="11">
        <v>8</v>
      </c>
      <c r="AH8" s="11"/>
      <c r="AI8" s="11">
        <v>37</v>
      </c>
      <c r="AJ8" s="11">
        <v>19</v>
      </c>
      <c r="AK8" s="11">
        <v>13</v>
      </c>
      <c r="AL8" s="11">
        <v>21</v>
      </c>
      <c r="AM8" s="11">
        <v>4</v>
      </c>
      <c r="AN8" s="11">
        <v>14</v>
      </c>
      <c r="AO8" s="11"/>
      <c r="AP8" s="11">
        <v>66</v>
      </c>
      <c r="AQ8" s="11">
        <v>48</v>
      </c>
      <c r="AR8" s="11"/>
      <c r="AS8" s="11">
        <v>114</v>
      </c>
      <c r="AT8" s="11" t="s">
        <v>87</v>
      </c>
      <c r="AU8" s="11">
        <v>1</v>
      </c>
      <c r="AV8" s="11"/>
      <c r="AW8" s="11">
        <v>77</v>
      </c>
      <c r="AX8" s="11">
        <v>34</v>
      </c>
      <c r="AY8" s="11"/>
      <c r="AZ8" s="11">
        <v>105</v>
      </c>
      <c r="BA8" s="11">
        <v>10</v>
      </c>
    </row>
    <row r="9" spans="2:53" x14ac:dyDescent="0.35">
      <c r="B9" s="15" t="s">
        <v>220</v>
      </c>
      <c r="C9" s="14">
        <v>0.28718622783493702</v>
      </c>
      <c r="D9" s="14">
        <v>0.27471260821700899</v>
      </c>
      <c r="E9" s="14">
        <v>0.30906955280539</v>
      </c>
      <c r="F9" s="14"/>
      <c r="G9" s="14">
        <v>0.77406958762123901</v>
      </c>
      <c r="H9" s="14">
        <v>0.17336232196326801</v>
      </c>
      <c r="I9" s="14">
        <v>0.28742573391316101</v>
      </c>
      <c r="J9" s="14">
        <v>0.33364406592302198</v>
      </c>
      <c r="K9" s="14">
        <v>0.59458602342188105</v>
      </c>
      <c r="L9" s="14" t="s">
        <v>88</v>
      </c>
      <c r="M9" s="14"/>
      <c r="N9" s="14">
        <v>0.315450844919485</v>
      </c>
      <c r="O9" s="14">
        <v>0.24031743032070399</v>
      </c>
      <c r="P9" s="14">
        <v>0.201953380854485</v>
      </c>
      <c r="Q9" s="14">
        <v>0.35074813821156597</v>
      </c>
      <c r="R9" s="14"/>
      <c r="S9" s="14">
        <v>0.41450351306375299</v>
      </c>
      <c r="T9" s="14">
        <v>0.31124240286106902</v>
      </c>
      <c r="U9" s="14">
        <v>0.312537328629585</v>
      </c>
      <c r="V9" s="14">
        <v>0.137103807493096</v>
      </c>
      <c r="W9" s="14">
        <v>0.14156299443311501</v>
      </c>
      <c r="X9" s="14">
        <v>0.18676135876417799</v>
      </c>
      <c r="Y9" s="14">
        <v>3.1610200599432599E-2</v>
      </c>
      <c r="Z9" s="14">
        <v>0</v>
      </c>
      <c r="AA9" s="14">
        <v>0.44909708419291999</v>
      </c>
      <c r="AB9" s="14"/>
      <c r="AC9" s="14">
        <v>0.56296800867159902</v>
      </c>
      <c r="AD9" s="14">
        <v>0.38687072760149699</v>
      </c>
      <c r="AE9" s="14">
        <v>0.23649003002274199</v>
      </c>
      <c r="AF9" s="14">
        <v>0.30653135355200301</v>
      </c>
      <c r="AG9" s="14">
        <v>0.26907083992813202</v>
      </c>
      <c r="AH9" s="14"/>
      <c r="AI9" s="14">
        <v>0.20444671977703499</v>
      </c>
      <c r="AJ9" s="14">
        <v>0.41228808312114801</v>
      </c>
      <c r="AK9" s="14">
        <v>0.12869524851697201</v>
      </c>
      <c r="AL9" s="14">
        <v>0.42838392641261203</v>
      </c>
      <c r="AM9" s="14">
        <v>0.255620939214592</v>
      </c>
      <c r="AN9" s="14">
        <v>0.13662960925384801</v>
      </c>
      <c r="AO9" s="14"/>
      <c r="AP9" s="14">
        <v>0.29025888130737898</v>
      </c>
      <c r="AQ9" s="14">
        <v>0.28296887199278298</v>
      </c>
      <c r="AR9" s="14"/>
      <c r="AS9" s="14">
        <v>0.28885281234924998</v>
      </c>
      <c r="AT9" s="14" t="s">
        <v>88</v>
      </c>
      <c r="AU9" s="14">
        <v>0</v>
      </c>
      <c r="AV9" s="14"/>
      <c r="AW9" s="14">
        <v>0.22066900607015699</v>
      </c>
      <c r="AX9" s="14">
        <v>0.43279934566329098</v>
      </c>
      <c r="AY9" s="14"/>
      <c r="AZ9" s="14">
        <v>0.30166223039739898</v>
      </c>
      <c r="BA9" s="14">
        <v>0.12844046214242399</v>
      </c>
    </row>
    <row r="10" spans="2:53" x14ac:dyDescent="0.35">
      <c r="B10" s="15" t="s">
        <v>221</v>
      </c>
      <c r="C10" s="14">
        <v>0.44542207658778499</v>
      </c>
      <c r="D10" s="14">
        <v>0.48295803796046199</v>
      </c>
      <c r="E10" s="14">
        <v>0.37957016944641098</v>
      </c>
      <c r="F10" s="14"/>
      <c r="G10" s="14">
        <v>0</v>
      </c>
      <c r="H10" s="14">
        <v>0.50782617571742295</v>
      </c>
      <c r="I10" s="14">
        <v>0.43899678139558101</v>
      </c>
      <c r="J10" s="14">
        <v>0.44785184335234501</v>
      </c>
      <c r="K10" s="14">
        <v>0.40541397657811901</v>
      </c>
      <c r="L10" s="14" t="s">
        <v>88</v>
      </c>
      <c r="M10" s="14"/>
      <c r="N10" s="14">
        <v>0.451031267161771</v>
      </c>
      <c r="O10" s="14">
        <v>0.46208392572114798</v>
      </c>
      <c r="P10" s="14">
        <v>0.44589629969619499</v>
      </c>
      <c r="Q10" s="14">
        <v>0.42434081838566001</v>
      </c>
      <c r="R10" s="14"/>
      <c r="S10" s="14">
        <v>0.50165283215944301</v>
      </c>
      <c r="T10" s="14">
        <v>0.32646813793566998</v>
      </c>
      <c r="U10" s="14">
        <v>0.162216513042061</v>
      </c>
      <c r="V10" s="14">
        <v>0.63992950913190405</v>
      </c>
      <c r="W10" s="14">
        <v>0.28064935500643001</v>
      </c>
      <c r="X10" s="14">
        <v>0.50833341761560102</v>
      </c>
      <c r="Y10" s="14">
        <v>0.85093213440812199</v>
      </c>
      <c r="Z10" s="14">
        <v>1</v>
      </c>
      <c r="AA10" s="14">
        <v>0.24231213430787399</v>
      </c>
      <c r="AB10" s="14"/>
      <c r="AC10" s="14">
        <v>0.43703199132840098</v>
      </c>
      <c r="AD10" s="14">
        <v>0.223102375930257</v>
      </c>
      <c r="AE10" s="14">
        <v>0.50338927184596705</v>
      </c>
      <c r="AF10" s="14">
        <v>0.44798720150288002</v>
      </c>
      <c r="AG10" s="14">
        <v>0.64817057470537498</v>
      </c>
      <c r="AH10" s="14"/>
      <c r="AI10" s="14">
        <v>0.57249289474348297</v>
      </c>
      <c r="AJ10" s="14">
        <v>0.37468984795561799</v>
      </c>
      <c r="AK10" s="14">
        <v>0.19973926446559101</v>
      </c>
      <c r="AL10" s="14">
        <v>0.459666639750479</v>
      </c>
      <c r="AM10" s="14">
        <v>0.74437906078540805</v>
      </c>
      <c r="AN10" s="14">
        <v>0.38746850618696999</v>
      </c>
      <c r="AO10" s="14"/>
      <c r="AP10" s="14">
        <v>0.43023874654122202</v>
      </c>
      <c r="AQ10" s="14">
        <v>0.46626188369572402</v>
      </c>
      <c r="AR10" s="14"/>
      <c r="AS10" s="14">
        <v>0.44800692733348702</v>
      </c>
      <c r="AT10" s="14" t="s">
        <v>88</v>
      </c>
      <c r="AU10" s="14">
        <v>0</v>
      </c>
      <c r="AV10" s="14"/>
      <c r="AW10" s="14">
        <v>0.49362160832041302</v>
      </c>
      <c r="AX10" s="14">
        <v>0.39005635679964001</v>
      </c>
      <c r="AY10" s="14"/>
      <c r="AZ10" s="14">
        <v>0.44398483424627</v>
      </c>
      <c r="BA10" s="14">
        <v>0.461183066889155</v>
      </c>
    </row>
    <row r="11" spans="2:53" x14ac:dyDescent="0.35">
      <c r="B11" s="15" t="s">
        <v>222</v>
      </c>
      <c r="C11" s="14">
        <v>0.129504104398842</v>
      </c>
      <c r="D11" s="14">
        <v>0.100404105959555</v>
      </c>
      <c r="E11" s="14">
        <v>0.18055622415174</v>
      </c>
      <c r="F11" s="14"/>
      <c r="G11" s="14">
        <v>0</v>
      </c>
      <c r="H11" s="14">
        <v>0.17375001755709499</v>
      </c>
      <c r="I11" s="14">
        <v>0.152988138165496</v>
      </c>
      <c r="J11" s="14">
        <v>0</v>
      </c>
      <c r="K11" s="14">
        <v>0</v>
      </c>
      <c r="L11" s="14" t="s">
        <v>88</v>
      </c>
      <c r="M11" s="14"/>
      <c r="N11" s="14">
        <v>0.17812181123675899</v>
      </c>
      <c r="O11" s="14">
        <v>0.13863189706750201</v>
      </c>
      <c r="P11" s="14">
        <v>0.155841090767253</v>
      </c>
      <c r="Q11" s="14">
        <v>4.0937970046859798E-2</v>
      </c>
      <c r="R11" s="14"/>
      <c r="S11" s="14">
        <v>3.9312195402925E-2</v>
      </c>
      <c r="T11" s="14">
        <v>0.24456594315268701</v>
      </c>
      <c r="U11" s="14">
        <v>0.20961912533183699</v>
      </c>
      <c r="V11" s="14">
        <v>0.222966683374999</v>
      </c>
      <c r="W11" s="14">
        <v>0.26602703878973499</v>
      </c>
      <c r="X11" s="14">
        <v>2.6386967920725399E-2</v>
      </c>
      <c r="Y11" s="14">
        <v>0</v>
      </c>
      <c r="Z11" s="14">
        <v>0</v>
      </c>
      <c r="AA11" s="14">
        <v>9.6431688059510801E-2</v>
      </c>
      <c r="AB11" s="14"/>
      <c r="AC11" s="14">
        <v>0</v>
      </c>
      <c r="AD11" s="14">
        <v>0.101924186687957</v>
      </c>
      <c r="AE11" s="14">
        <v>0.213069396447296</v>
      </c>
      <c r="AF11" s="14">
        <v>6.6249772012394903E-2</v>
      </c>
      <c r="AG11" s="14">
        <v>1.99445556923998E-2</v>
      </c>
      <c r="AH11" s="14"/>
      <c r="AI11" s="14">
        <v>0.102284499035731</v>
      </c>
      <c r="AJ11" s="14">
        <v>0.13708048005607701</v>
      </c>
      <c r="AK11" s="14">
        <v>0.34968141571351902</v>
      </c>
      <c r="AL11" s="14">
        <v>5.1275361966749797E-2</v>
      </c>
      <c r="AM11" s="14">
        <v>0</v>
      </c>
      <c r="AN11" s="14">
        <v>0.14846381268195899</v>
      </c>
      <c r="AO11" s="14"/>
      <c r="AP11" s="14">
        <v>0.11304661606647901</v>
      </c>
      <c r="AQ11" s="14">
        <v>0.15209275137389999</v>
      </c>
      <c r="AR11" s="14"/>
      <c r="AS11" s="14">
        <v>0.13025563603236801</v>
      </c>
      <c r="AT11" s="14" t="s">
        <v>88</v>
      </c>
      <c r="AU11" s="14">
        <v>0</v>
      </c>
      <c r="AV11" s="14"/>
      <c r="AW11" s="14">
        <v>0.134734818604515</v>
      </c>
      <c r="AX11" s="14">
        <v>0.13350612648412299</v>
      </c>
      <c r="AY11" s="14"/>
      <c r="AZ11" s="14">
        <v>0.103891395420755</v>
      </c>
      <c r="BA11" s="14">
        <v>0.410376470968421</v>
      </c>
    </row>
    <row r="12" spans="2:53" x14ac:dyDescent="0.35">
      <c r="B12" s="15" t="s">
        <v>223</v>
      </c>
      <c r="C12" s="14">
        <v>4.8489812723904298E-2</v>
      </c>
      <c r="D12" s="14">
        <v>5.3142611868017699E-2</v>
      </c>
      <c r="E12" s="14">
        <v>4.0327088605996E-2</v>
      </c>
      <c r="F12" s="14"/>
      <c r="G12" s="14">
        <v>0.22593041237876099</v>
      </c>
      <c r="H12" s="14">
        <v>0</v>
      </c>
      <c r="I12" s="14">
        <v>6.09084964507507E-2</v>
      </c>
      <c r="J12" s="14">
        <v>6.9447127698527802E-2</v>
      </c>
      <c r="K12" s="14">
        <v>0</v>
      </c>
      <c r="L12" s="14" t="s">
        <v>88</v>
      </c>
      <c r="M12" s="14"/>
      <c r="N12" s="14">
        <v>1.71495134181943E-2</v>
      </c>
      <c r="O12" s="14">
        <v>5.8855384698433801E-2</v>
      </c>
      <c r="P12" s="14">
        <v>0</v>
      </c>
      <c r="Q12" s="14">
        <v>0.115085938311085</v>
      </c>
      <c r="R12" s="14"/>
      <c r="S12" s="14">
        <v>0</v>
      </c>
      <c r="T12" s="14">
        <v>0.117723516050574</v>
      </c>
      <c r="U12" s="14">
        <v>0.18362258252816799</v>
      </c>
      <c r="V12" s="14">
        <v>0</v>
      </c>
      <c r="W12" s="14">
        <v>0</v>
      </c>
      <c r="X12" s="14">
        <v>0</v>
      </c>
      <c r="Y12" s="14">
        <v>0.117457664992445</v>
      </c>
      <c r="Z12" s="14">
        <v>0</v>
      </c>
      <c r="AA12" s="14">
        <v>0</v>
      </c>
      <c r="AB12" s="14"/>
      <c r="AC12" s="14">
        <v>0</v>
      </c>
      <c r="AD12" s="14">
        <v>6.1816688632724201E-2</v>
      </c>
      <c r="AE12" s="14">
        <v>4.7051301683994601E-2</v>
      </c>
      <c r="AF12" s="14">
        <v>0</v>
      </c>
      <c r="AG12" s="14">
        <v>0</v>
      </c>
      <c r="AH12" s="14"/>
      <c r="AI12" s="14">
        <v>2.7441662602500999E-2</v>
      </c>
      <c r="AJ12" s="14">
        <v>7.59415888671571E-2</v>
      </c>
      <c r="AK12" s="14">
        <v>0.19207792842346799</v>
      </c>
      <c r="AL12" s="14">
        <v>3.1501533962398999E-2</v>
      </c>
      <c r="AM12" s="14">
        <v>0</v>
      </c>
      <c r="AN12" s="14">
        <v>0</v>
      </c>
      <c r="AO12" s="14"/>
      <c r="AP12" s="14">
        <v>3.6783180303686103E-2</v>
      </c>
      <c r="AQ12" s="14">
        <v>6.4557695116812905E-2</v>
      </c>
      <c r="AR12" s="14"/>
      <c r="AS12" s="14">
        <v>4.8771206339457703E-2</v>
      </c>
      <c r="AT12" s="14" t="s">
        <v>88</v>
      </c>
      <c r="AU12" s="14">
        <v>0</v>
      </c>
      <c r="AV12" s="14"/>
      <c r="AW12" s="14">
        <v>6.3725949081935296E-2</v>
      </c>
      <c r="AX12" s="14">
        <v>1.9603486494079E-2</v>
      </c>
      <c r="AY12" s="14"/>
      <c r="AZ12" s="14">
        <v>5.2911591472977602E-2</v>
      </c>
      <c r="BA12" s="14">
        <v>0</v>
      </c>
    </row>
    <row r="13" spans="2:53" x14ac:dyDescent="0.35">
      <c r="B13" s="15" t="s">
        <v>116</v>
      </c>
      <c r="C13" s="18">
        <v>6.1890244801173E-2</v>
      </c>
      <c r="D13" s="18">
        <v>8.0428544382575407E-2</v>
      </c>
      <c r="E13" s="18">
        <v>2.9367236519249801E-2</v>
      </c>
      <c r="F13" s="18"/>
      <c r="G13" s="18">
        <v>0</v>
      </c>
      <c r="H13" s="18">
        <v>7.0547355111413704E-2</v>
      </c>
      <c r="I13" s="18">
        <v>5.9680850075010901E-2</v>
      </c>
      <c r="J13" s="18">
        <v>8.3240773316814398E-2</v>
      </c>
      <c r="K13" s="18">
        <v>0</v>
      </c>
      <c r="L13" s="18" t="s">
        <v>88</v>
      </c>
      <c r="M13" s="18"/>
      <c r="N13" s="18">
        <v>0</v>
      </c>
      <c r="O13" s="18">
        <v>7.1631392076331998E-2</v>
      </c>
      <c r="P13" s="18">
        <v>0.150796719910927</v>
      </c>
      <c r="Q13" s="18">
        <v>6.8887135044829795E-2</v>
      </c>
      <c r="R13" s="18"/>
      <c r="S13" s="18">
        <v>3.8334384787820003E-2</v>
      </c>
      <c r="T13" s="18">
        <v>0</v>
      </c>
      <c r="U13" s="18">
        <v>0.13200445046834999</v>
      </c>
      <c r="V13" s="18">
        <v>0</v>
      </c>
      <c r="W13" s="18">
        <v>0.23566625696298499</v>
      </c>
      <c r="X13" s="18">
        <v>0</v>
      </c>
      <c r="Y13" s="18">
        <v>0</v>
      </c>
      <c r="Z13" s="18">
        <v>0</v>
      </c>
      <c r="AA13" s="18">
        <v>0.16387957166431</v>
      </c>
      <c r="AB13" s="18"/>
      <c r="AC13" s="18">
        <v>0</v>
      </c>
      <c r="AD13" s="18">
        <v>0.124177301904695</v>
      </c>
      <c r="AE13" s="18">
        <v>0</v>
      </c>
      <c r="AF13" s="18">
        <v>0.13529554074976899</v>
      </c>
      <c r="AG13" s="18">
        <v>0</v>
      </c>
      <c r="AH13" s="18"/>
      <c r="AI13" s="18">
        <v>8.8016932412103802E-2</v>
      </c>
      <c r="AJ13" s="18">
        <v>0</v>
      </c>
      <c r="AK13" s="18">
        <v>0</v>
      </c>
      <c r="AL13" s="18">
        <v>0</v>
      </c>
      <c r="AM13" s="18">
        <v>0</v>
      </c>
      <c r="AN13" s="18">
        <v>0.276944615728417</v>
      </c>
      <c r="AO13" s="18"/>
      <c r="AP13" s="18">
        <v>0.10698183363458499</v>
      </c>
      <c r="AQ13" s="18">
        <v>0</v>
      </c>
      <c r="AR13" s="18"/>
      <c r="AS13" s="18">
        <v>6.2249403122761997E-2</v>
      </c>
      <c r="AT13" s="18" t="s">
        <v>88</v>
      </c>
      <c r="AU13" s="18">
        <v>0</v>
      </c>
      <c r="AV13" s="18"/>
      <c r="AW13" s="18">
        <v>6.5342873861969103E-2</v>
      </c>
      <c r="AX13" s="18">
        <v>0</v>
      </c>
      <c r="AY13" s="18"/>
      <c r="AZ13" s="18">
        <v>6.7534006941377303E-2</v>
      </c>
      <c r="BA13" s="18">
        <v>0</v>
      </c>
    </row>
    <row r="14" spans="2:53" x14ac:dyDescent="0.35">
      <c r="B14" s="26" t="s">
        <v>224</v>
      </c>
      <c r="C14" s="27">
        <v>0.73260830442272296</v>
      </c>
      <c r="D14" s="27">
        <v>0.75767064617747104</v>
      </c>
      <c r="E14" s="27">
        <v>0.68863972225180103</v>
      </c>
      <c r="F14" s="27"/>
      <c r="G14" s="27">
        <v>0.77406958762123901</v>
      </c>
      <c r="H14" s="27">
        <v>0.68118849768069101</v>
      </c>
      <c r="I14" s="27">
        <v>0.72642251530874202</v>
      </c>
      <c r="J14" s="27">
        <v>0.78149590927536705</v>
      </c>
      <c r="K14" s="27">
        <v>1</v>
      </c>
      <c r="L14" s="27" t="s">
        <v>88</v>
      </c>
      <c r="M14" s="27"/>
      <c r="N14" s="27">
        <v>0.76648211208125705</v>
      </c>
      <c r="O14" s="27">
        <v>0.70240135604185105</v>
      </c>
      <c r="P14" s="27">
        <v>0.64784968055068104</v>
      </c>
      <c r="Q14" s="27">
        <v>0.77508895659722499</v>
      </c>
      <c r="R14" s="27"/>
      <c r="S14" s="27">
        <v>0.916156345223196</v>
      </c>
      <c r="T14" s="27">
        <v>0.63771054079673894</v>
      </c>
      <c r="U14" s="27">
        <v>0.47475384167164503</v>
      </c>
      <c r="V14" s="27">
        <v>0.77703331662500097</v>
      </c>
      <c r="W14" s="27">
        <v>0.422212349439545</v>
      </c>
      <c r="X14" s="27">
        <v>0.69509477637977901</v>
      </c>
      <c r="Y14" s="27">
        <v>0.88254233500755497</v>
      </c>
      <c r="Z14" s="27">
        <v>1</v>
      </c>
      <c r="AA14" s="27">
        <v>0.69140921850079495</v>
      </c>
      <c r="AB14" s="27"/>
      <c r="AC14" s="27">
        <v>1</v>
      </c>
      <c r="AD14" s="27">
        <v>0.60997310353175405</v>
      </c>
      <c r="AE14" s="27">
        <v>0.73987930186870898</v>
      </c>
      <c r="AF14" s="27">
        <v>0.75451855505488297</v>
      </c>
      <c r="AG14" s="27">
        <v>0.91724141463350695</v>
      </c>
      <c r="AH14" s="27"/>
      <c r="AI14" s="27">
        <v>0.77693961452051796</v>
      </c>
      <c r="AJ14" s="27">
        <v>0.78697793107676595</v>
      </c>
      <c r="AK14" s="27">
        <v>0.32843451298256299</v>
      </c>
      <c r="AL14" s="27">
        <v>0.88805056616309097</v>
      </c>
      <c r="AM14" s="27">
        <v>1</v>
      </c>
      <c r="AN14" s="27">
        <v>0.52409811544081797</v>
      </c>
      <c r="AO14" s="27"/>
      <c r="AP14" s="27">
        <v>0.72049762784860105</v>
      </c>
      <c r="AQ14" s="27">
        <v>0.74923075568850706</v>
      </c>
      <c r="AR14" s="27"/>
      <c r="AS14" s="27">
        <v>0.73685973968273699</v>
      </c>
      <c r="AT14" s="27" t="s">
        <v>88</v>
      </c>
      <c r="AU14" s="27">
        <v>0</v>
      </c>
      <c r="AV14" s="27"/>
      <c r="AW14" s="27">
        <v>0.71429061439056996</v>
      </c>
      <c r="AX14" s="27">
        <v>0.82285570246293105</v>
      </c>
      <c r="AY14" s="27"/>
      <c r="AZ14" s="27">
        <v>0.74564706464366903</v>
      </c>
      <c r="BA14" s="27">
        <v>0.589623529031579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BA18"/>
  <sheetViews>
    <sheetView showGridLines="0" workbookViewId="0">
      <pane xSplit="2" topLeftCell="C1" activePane="topRight" state="frozen"/>
      <selection pane="topRight" activeCell="D14" sqref="D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117</v>
      </c>
      <c r="D7" s="10">
        <v>63</v>
      </c>
      <c r="E7" s="10">
        <v>54</v>
      </c>
      <c r="F7" s="10"/>
      <c r="G7" s="10">
        <v>3</v>
      </c>
      <c r="H7" s="10">
        <v>37</v>
      </c>
      <c r="I7" s="10">
        <v>58</v>
      </c>
      <c r="J7" s="10">
        <v>15</v>
      </c>
      <c r="K7" s="10">
        <v>4</v>
      </c>
      <c r="L7" s="10" t="s">
        <v>87</v>
      </c>
      <c r="M7" s="10"/>
      <c r="N7" s="10">
        <v>63</v>
      </c>
      <c r="O7" s="10">
        <v>22</v>
      </c>
      <c r="P7" s="10">
        <v>14</v>
      </c>
      <c r="Q7" s="10">
        <v>18</v>
      </c>
      <c r="R7" s="10"/>
      <c r="S7" s="10">
        <v>39</v>
      </c>
      <c r="T7" s="10">
        <v>16</v>
      </c>
      <c r="U7" s="10">
        <v>10</v>
      </c>
      <c r="V7" s="10">
        <v>9</v>
      </c>
      <c r="W7" s="10">
        <v>8</v>
      </c>
      <c r="X7" s="10">
        <v>9</v>
      </c>
      <c r="Y7" s="10">
        <v>9</v>
      </c>
      <c r="Z7" s="10">
        <v>3</v>
      </c>
      <c r="AA7" s="10">
        <v>14</v>
      </c>
      <c r="AB7" s="10"/>
      <c r="AC7" s="10">
        <v>5</v>
      </c>
      <c r="AD7" s="10">
        <v>13</v>
      </c>
      <c r="AE7" s="10">
        <v>46</v>
      </c>
      <c r="AF7" s="10">
        <v>29</v>
      </c>
      <c r="AG7" s="10">
        <v>14</v>
      </c>
      <c r="AH7" s="10"/>
      <c r="AI7" s="10">
        <v>46</v>
      </c>
      <c r="AJ7" s="10">
        <v>21</v>
      </c>
      <c r="AK7" s="10">
        <v>12</v>
      </c>
      <c r="AL7" s="10">
        <v>18</v>
      </c>
      <c r="AM7" s="10">
        <v>5</v>
      </c>
      <c r="AN7" s="10">
        <v>9</v>
      </c>
      <c r="AO7" s="10"/>
      <c r="AP7" s="10">
        <v>67</v>
      </c>
      <c r="AQ7" s="10">
        <v>50</v>
      </c>
      <c r="AR7" s="10"/>
      <c r="AS7" s="10">
        <v>116</v>
      </c>
      <c r="AT7" s="10" t="s">
        <v>87</v>
      </c>
      <c r="AU7" s="10">
        <v>1</v>
      </c>
      <c r="AV7" s="10"/>
      <c r="AW7" s="10">
        <v>68</v>
      </c>
      <c r="AX7" s="10">
        <v>46</v>
      </c>
      <c r="AY7" s="10"/>
      <c r="AZ7" s="10">
        <v>108</v>
      </c>
      <c r="BA7" s="10">
        <v>9</v>
      </c>
    </row>
    <row r="8" spans="2:53" ht="30" customHeight="1" x14ac:dyDescent="0.35">
      <c r="B8" s="11" t="s">
        <v>19</v>
      </c>
      <c r="C8" s="11">
        <v>115</v>
      </c>
      <c r="D8" s="11">
        <v>73</v>
      </c>
      <c r="E8" s="11">
        <v>42</v>
      </c>
      <c r="F8" s="11"/>
      <c r="G8" s="11">
        <v>3</v>
      </c>
      <c r="H8" s="11">
        <v>29</v>
      </c>
      <c r="I8" s="11">
        <v>64</v>
      </c>
      <c r="J8" s="11">
        <v>15</v>
      </c>
      <c r="K8" s="11">
        <v>4</v>
      </c>
      <c r="L8" s="11" t="s">
        <v>87</v>
      </c>
      <c r="M8" s="11"/>
      <c r="N8" s="11">
        <v>38</v>
      </c>
      <c r="O8" s="11">
        <v>25</v>
      </c>
      <c r="P8" s="11">
        <v>22</v>
      </c>
      <c r="Q8" s="11">
        <v>30</v>
      </c>
      <c r="R8" s="11"/>
      <c r="S8" s="11">
        <v>32</v>
      </c>
      <c r="T8" s="11">
        <v>18</v>
      </c>
      <c r="U8" s="11">
        <v>13</v>
      </c>
      <c r="V8" s="11">
        <v>12</v>
      </c>
      <c r="W8" s="11">
        <v>9</v>
      </c>
      <c r="X8" s="11">
        <v>6</v>
      </c>
      <c r="Y8" s="11">
        <v>9</v>
      </c>
      <c r="Z8" s="11">
        <v>3</v>
      </c>
      <c r="AA8" s="11">
        <v>13</v>
      </c>
      <c r="AB8" s="11"/>
      <c r="AC8" s="11">
        <v>7</v>
      </c>
      <c r="AD8" s="11">
        <v>17</v>
      </c>
      <c r="AE8" s="11">
        <v>45</v>
      </c>
      <c r="AF8" s="11">
        <v>22</v>
      </c>
      <c r="AG8" s="11">
        <v>8</v>
      </c>
      <c r="AH8" s="11"/>
      <c r="AI8" s="11">
        <v>37</v>
      </c>
      <c r="AJ8" s="11">
        <v>19</v>
      </c>
      <c r="AK8" s="11">
        <v>13</v>
      </c>
      <c r="AL8" s="11">
        <v>21</v>
      </c>
      <c r="AM8" s="11">
        <v>4</v>
      </c>
      <c r="AN8" s="11">
        <v>14</v>
      </c>
      <c r="AO8" s="11"/>
      <c r="AP8" s="11">
        <v>66</v>
      </c>
      <c r="AQ8" s="11">
        <v>48</v>
      </c>
      <c r="AR8" s="11"/>
      <c r="AS8" s="11">
        <v>114</v>
      </c>
      <c r="AT8" s="11" t="s">
        <v>87</v>
      </c>
      <c r="AU8" s="11">
        <v>1</v>
      </c>
      <c r="AV8" s="11"/>
      <c r="AW8" s="11">
        <v>77</v>
      </c>
      <c r="AX8" s="11">
        <v>34</v>
      </c>
      <c r="AY8" s="11"/>
      <c r="AZ8" s="11">
        <v>105</v>
      </c>
      <c r="BA8" s="11">
        <v>10</v>
      </c>
    </row>
    <row r="9" spans="2:53" x14ac:dyDescent="0.35">
      <c r="B9" s="15" t="s">
        <v>226</v>
      </c>
      <c r="C9" s="14">
        <v>0.29205465713256101</v>
      </c>
      <c r="D9" s="14">
        <v>0.31898050870492201</v>
      </c>
      <c r="E9" s="14">
        <v>0.24481679209318799</v>
      </c>
      <c r="F9" s="14"/>
      <c r="G9" s="14">
        <v>0.77406958762123901</v>
      </c>
      <c r="H9" s="14">
        <v>0.27312316708918799</v>
      </c>
      <c r="I9" s="14">
        <v>0.28074544935307699</v>
      </c>
      <c r="J9" s="14">
        <v>0.201232338721203</v>
      </c>
      <c r="K9" s="14">
        <v>0.59458602342188105</v>
      </c>
      <c r="L9" s="14" t="s">
        <v>88</v>
      </c>
      <c r="M9" s="14"/>
      <c r="N9" s="14">
        <v>0.37709368478531902</v>
      </c>
      <c r="O9" s="14">
        <v>0.14412787964679299</v>
      </c>
      <c r="P9" s="14">
        <v>0.16525338052379701</v>
      </c>
      <c r="Q9" s="14">
        <v>0.39537633897560598</v>
      </c>
      <c r="R9" s="14"/>
      <c r="S9" s="14">
        <v>0.39430913323820699</v>
      </c>
      <c r="T9" s="14">
        <v>0.27430972964372802</v>
      </c>
      <c r="U9" s="14">
        <v>0.34274940706898499</v>
      </c>
      <c r="V9" s="14">
        <v>2.8671386854450101E-2</v>
      </c>
      <c r="W9" s="14">
        <v>0.179660424690117</v>
      </c>
      <c r="X9" s="14">
        <v>0.18676135876417799</v>
      </c>
      <c r="Y9" s="14">
        <v>0.33041757051354498</v>
      </c>
      <c r="Z9" s="14">
        <v>0</v>
      </c>
      <c r="AA9" s="14">
        <v>0.43913599402779602</v>
      </c>
      <c r="AB9" s="14"/>
      <c r="AC9" s="14">
        <v>0.81490519881298595</v>
      </c>
      <c r="AD9" s="14">
        <v>0.34857860213300301</v>
      </c>
      <c r="AE9" s="14">
        <v>0.23091365961431001</v>
      </c>
      <c r="AF9" s="14">
        <v>0.272583674133412</v>
      </c>
      <c r="AG9" s="14">
        <v>0.50651406156122103</v>
      </c>
      <c r="AH9" s="14"/>
      <c r="AI9" s="14">
        <v>0.303349597128727</v>
      </c>
      <c r="AJ9" s="14">
        <v>0.34557020433330798</v>
      </c>
      <c r="AK9" s="14">
        <v>0.23362338451617301</v>
      </c>
      <c r="AL9" s="14">
        <v>0.22562275951257399</v>
      </c>
      <c r="AM9" s="14">
        <v>0.51124186744690903</v>
      </c>
      <c r="AN9" s="14">
        <v>0.13662960925384801</v>
      </c>
      <c r="AO9" s="14"/>
      <c r="AP9" s="14">
        <v>0.31138657882088</v>
      </c>
      <c r="AQ9" s="14">
        <v>0.26552072038911601</v>
      </c>
      <c r="AR9" s="14"/>
      <c r="AS9" s="14">
        <v>0.29374949386822002</v>
      </c>
      <c r="AT9" s="14" t="s">
        <v>88</v>
      </c>
      <c r="AU9" s="14">
        <v>0</v>
      </c>
      <c r="AV9" s="14"/>
      <c r="AW9" s="14">
        <v>0.231450527712701</v>
      </c>
      <c r="AX9" s="14">
        <v>0.46676240297486998</v>
      </c>
      <c r="AY9" s="14"/>
      <c r="AZ9" s="14">
        <v>0.30697461103243401</v>
      </c>
      <c r="BA9" s="14">
        <v>0.12844046214242399</v>
      </c>
    </row>
    <row r="10" spans="2:53" x14ac:dyDescent="0.35">
      <c r="B10" s="15" t="s">
        <v>227</v>
      </c>
      <c r="C10" s="14">
        <v>0.40633366254572401</v>
      </c>
      <c r="D10" s="14">
        <v>0.38236286223011201</v>
      </c>
      <c r="E10" s="14">
        <v>0.44838727883160301</v>
      </c>
      <c r="F10" s="14"/>
      <c r="G10" s="14">
        <v>0</v>
      </c>
      <c r="H10" s="14">
        <v>0.41704708970259002</v>
      </c>
      <c r="I10" s="14">
        <v>0.379962552299698</v>
      </c>
      <c r="J10" s="14">
        <v>0.580263570554164</v>
      </c>
      <c r="K10" s="14">
        <v>0.40541397657811901</v>
      </c>
      <c r="L10" s="14" t="s">
        <v>88</v>
      </c>
      <c r="M10" s="14"/>
      <c r="N10" s="14">
        <v>0.312980194466355</v>
      </c>
      <c r="O10" s="14">
        <v>0.45041553973224302</v>
      </c>
      <c r="P10" s="14">
        <v>0.57665032542717998</v>
      </c>
      <c r="Q10" s="14">
        <v>0.36681875451582302</v>
      </c>
      <c r="R10" s="14"/>
      <c r="S10" s="14">
        <v>0.40685345668780698</v>
      </c>
      <c r="T10" s="14">
        <v>0.38836142035806398</v>
      </c>
      <c r="U10" s="14">
        <v>0</v>
      </c>
      <c r="V10" s="14">
        <v>0.74836192977055105</v>
      </c>
      <c r="W10" s="14">
        <v>0.34212139359746901</v>
      </c>
      <c r="X10" s="14">
        <v>0.48194644508349599</v>
      </c>
      <c r="Y10" s="14">
        <v>0.55212476449401005</v>
      </c>
      <c r="Z10" s="14">
        <v>0.464141120384853</v>
      </c>
      <c r="AA10" s="14">
        <v>0.41615279613730899</v>
      </c>
      <c r="AB10" s="14"/>
      <c r="AC10" s="14">
        <v>0.18509480118701399</v>
      </c>
      <c r="AD10" s="14">
        <v>0.26139450139875098</v>
      </c>
      <c r="AE10" s="14">
        <v>0.50202640229203099</v>
      </c>
      <c r="AF10" s="14">
        <v>0.30419327571359001</v>
      </c>
      <c r="AG10" s="14">
        <v>0.39502978982204101</v>
      </c>
      <c r="AH10" s="14"/>
      <c r="AI10" s="14">
        <v>0.45031877245236801</v>
      </c>
      <c r="AJ10" s="14">
        <v>0.48172675438044699</v>
      </c>
      <c r="AK10" s="14">
        <v>8.5184038928328598E-2</v>
      </c>
      <c r="AL10" s="14">
        <v>0.38669823278724103</v>
      </c>
      <c r="AM10" s="14">
        <v>0.48875813255309097</v>
      </c>
      <c r="AN10" s="14">
        <v>0.64176194757538996</v>
      </c>
      <c r="AO10" s="14"/>
      <c r="AP10" s="14">
        <v>0.38926538806730698</v>
      </c>
      <c r="AQ10" s="14">
        <v>0.42976064112715001</v>
      </c>
      <c r="AR10" s="14"/>
      <c r="AS10" s="14">
        <v>0.40869167739465301</v>
      </c>
      <c r="AT10" s="14" t="s">
        <v>88</v>
      </c>
      <c r="AU10" s="14">
        <v>0</v>
      </c>
      <c r="AV10" s="14"/>
      <c r="AW10" s="14">
        <v>0.40054685241430699</v>
      </c>
      <c r="AX10" s="14">
        <v>0.36604248365338499</v>
      </c>
      <c r="AY10" s="14"/>
      <c r="AZ10" s="14">
        <v>0.381914116959292</v>
      </c>
      <c r="BA10" s="14">
        <v>0.67412164097795402</v>
      </c>
    </row>
    <row r="11" spans="2:53" x14ac:dyDescent="0.35">
      <c r="B11" s="15" t="s">
        <v>228</v>
      </c>
      <c r="C11" s="14">
        <v>0.12199317949158101</v>
      </c>
      <c r="D11" s="14">
        <v>0.11303426923052</v>
      </c>
      <c r="E11" s="14">
        <v>0.13771040918344701</v>
      </c>
      <c r="F11" s="14"/>
      <c r="G11" s="14">
        <v>0</v>
      </c>
      <c r="H11" s="14">
        <v>0.14701029271355701</v>
      </c>
      <c r="I11" s="14">
        <v>0.141409483760324</v>
      </c>
      <c r="J11" s="14">
        <v>4.5044918484180997E-2</v>
      </c>
      <c r="K11" s="14">
        <v>0</v>
      </c>
      <c r="L11" s="14" t="s">
        <v>88</v>
      </c>
      <c r="M11" s="14"/>
      <c r="N11" s="14">
        <v>0.242664592777427</v>
      </c>
      <c r="O11" s="14">
        <v>7.9776512369068506E-2</v>
      </c>
      <c r="P11" s="14">
        <v>4.5512508771139201E-2</v>
      </c>
      <c r="Q11" s="14">
        <v>5.7367633362774E-2</v>
      </c>
      <c r="R11" s="14"/>
      <c r="S11" s="14">
        <v>9.8896932730410406E-2</v>
      </c>
      <c r="T11" s="14">
        <v>0.17021174878866499</v>
      </c>
      <c r="U11" s="14">
        <v>0.17940704710684399</v>
      </c>
      <c r="V11" s="14">
        <v>0.114534285875539</v>
      </c>
      <c r="W11" s="14">
        <v>7.6094354807734396E-2</v>
      </c>
      <c r="X11" s="14">
        <v>0.216000664225453</v>
      </c>
      <c r="Y11" s="14">
        <v>0</v>
      </c>
      <c r="Z11" s="14">
        <v>0.535858879615147</v>
      </c>
      <c r="AA11" s="14">
        <v>2.4139760887692301E-2</v>
      </c>
      <c r="AB11" s="14"/>
      <c r="AC11" s="14">
        <v>0</v>
      </c>
      <c r="AD11" s="14">
        <v>0.12483608279790299</v>
      </c>
      <c r="AE11" s="14">
        <v>0.124159488048004</v>
      </c>
      <c r="AF11" s="14">
        <v>0.18995267034753799</v>
      </c>
      <c r="AG11" s="14">
        <v>6.0337259093697103E-2</v>
      </c>
      <c r="AH11" s="14"/>
      <c r="AI11" s="14">
        <v>0.114479371828742</v>
      </c>
      <c r="AJ11" s="14">
        <v>7.5607628022179102E-2</v>
      </c>
      <c r="AK11" s="14">
        <v>0.38359417491488701</v>
      </c>
      <c r="AL11" s="14">
        <v>0.16378207179847001</v>
      </c>
      <c r="AM11" s="14">
        <v>0</v>
      </c>
      <c r="AN11" s="14">
        <v>0</v>
      </c>
      <c r="AO11" s="14"/>
      <c r="AP11" s="14">
        <v>8.9370643169978198E-2</v>
      </c>
      <c r="AQ11" s="14">
        <v>0.16676908584605199</v>
      </c>
      <c r="AR11" s="14"/>
      <c r="AS11" s="14">
        <v>0.11689797495635</v>
      </c>
      <c r="AT11" s="14" t="s">
        <v>88</v>
      </c>
      <c r="AU11" s="14">
        <v>1</v>
      </c>
      <c r="AV11" s="14"/>
      <c r="AW11" s="14">
        <v>0.13156320473768299</v>
      </c>
      <c r="AX11" s="14">
        <v>9.5453993868661102E-2</v>
      </c>
      <c r="AY11" s="14"/>
      <c r="AZ11" s="14">
        <v>0.13311771923107699</v>
      </c>
      <c r="BA11" s="14">
        <v>0</v>
      </c>
    </row>
    <row r="12" spans="2:53" x14ac:dyDescent="0.35">
      <c r="B12" s="15" t="s">
        <v>229</v>
      </c>
      <c r="C12" s="14">
        <v>6.9564809512470599E-2</v>
      </c>
      <c r="D12" s="14">
        <v>5.7426287879100001E-2</v>
      </c>
      <c r="E12" s="14">
        <v>9.08602491442939E-2</v>
      </c>
      <c r="F12" s="14"/>
      <c r="G12" s="14">
        <v>0.22593041237876099</v>
      </c>
      <c r="H12" s="14">
        <v>8.9765781205738707E-2</v>
      </c>
      <c r="I12" s="14">
        <v>3.82910827861647E-2</v>
      </c>
      <c r="J12" s="14">
        <v>0.15268790101534199</v>
      </c>
      <c r="K12" s="14">
        <v>0</v>
      </c>
      <c r="L12" s="14" t="s">
        <v>88</v>
      </c>
      <c r="M12" s="14"/>
      <c r="N12" s="14">
        <v>1.71495134181943E-2</v>
      </c>
      <c r="O12" s="14">
        <v>0.107614159379184</v>
      </c>
      <c r="P12" s="14">
        <v>5.6353112100540698E-2</v>
      </c>
      <c r="Q12" s="14">
        <v>0.115085938311085</v>
      </c>
      <c r="R12" s="14"/>
      <c r="S12" s="14">
        <v>3.8334384787820003E-2</v>
      </c>
      <c r="T12" s="14">
        <v>8.6326267749284299E-2</v>
      </c>
      <c r="U12" s="14">
        <v>0.31562701713082802</v>
      </c>
      <c r="V12" s="14">
        <v>0</v>
      </c>
      <c r="W12" s="14">
        <v>0</v>
      </c>
      <c r="X12" s="14">
        <v>0</v>
      </c>
      <c r="Y12" s="14">
        <v>0.117457664992445</v>
      </c>
      <c r="Z12" s="14">
        <v>0</v>
      </c>
      <c r="AA12" s="14">
        <v>0</v>
      </c>
      <c r="AB12" s="14"/>
      <c r="AC12" s="14">
        <v>0</v>
      </c>
      <c r="AD12" s="14">
        <v>6.1816688632724201E-2</v>
      </c>
      <c r="AE12" s="14">
        <v>3.4502565021757803E-2</v>
      </c>
      <c r="AF12" s="14">
        <v>0.13529553116727699</v>
      </c>
      <c r="AG12" s="14">
        <v>0</v>
      </c>
      <c r="AH12" s="14"/>
      <c r="AI12" s="14">
        <v>6.03338107997217E-2</v>
      </c>
      <c r="AJ12" s="14">
        <v>0</v>
      </c>
      <c r="AK12" s="14">
        <v>0.19207792842346799</v>
      </c>
      <c r="AL12" s="14">
        <v>0.11537026526072799</v>
      </c>
      <c r="AM12" s="14">
        <v>0</v>
      </c>
      <c r="AN12" s="14">
        <v>0</v>
      </c>
      <c r="AO12" s="14"/>
      <c r="AP12" s="14">
        <v>8.1656390446777499E-2</v>
      </c>
      <c r="AQ12" s="14">
        <v>5.2968567875872098E-2</v>
      </c>
      <c r="AR12" s="14"/>
      <c r="AS12" s="14">
        <v>6.9968504477750201E-2</v>
      </c>
      <c r="AT12" s="14" t="s">
        <v>88</v>
      </c>
      <c r="AU12" s="14">
        <v>0</v>
      </c>
      <c r="AV12" s="14"/>
      <c r="AW12" s="14">
        <v>9.5146168249731905E-2</v>
      </c>
      <c r="AX12" s="14">
        <v>1.9603486494079E-2</v>
      </c>
      <c r="AY12" s="14"/>
      <c r="AZ12" s="14">
        <v>6.7523173773582704E-2</v>
      </c>
      <c r="BA12" s="14">
        <v>9.1953658038609498E-2</v>
      </c>
    </row>
    <row r="13" spans="2:53" x14ac:dyDescent="0.35">
      <c r="B13" s="15" t="s">
        <v>116</v>
      </c>
      <c r="C13" s="23">
        <v>8.4306764346870802E-2</v>
      </c>
      <c r="D13" s="23">
        <v>0.124019026149156</v>
      </c>
      <c r="E13" s="23">
        <v>1.46368243494994E-2</v>
      </c>
      <c r="F13" s="23"/>
      <c r="G13" s="23">
        <v>0</v>
      </c>
      <c r="H13" s="23">
        <v>4.9297253024408301E-2</v>
      </c>
      <c r="I13" s="23">
        <v>0.12899346378931401</v>
      </c>
      <c r="J13" s="23">
        <v>0</v>
      </c>
      <c r="K13" s="23">
        <v>0</v>
      </c>
      <c r="L13" s="23" t="s">
        <v>88</v>
      </c>
      <c r="M13" s="23"/>
      <c r="N13" s="23">
        <v>2.6310558155230101E-2</v>
      </c>
      <c r="O13" s="23">
        <v>0.189585938756832</v>
      </c>
      <c r="P13" s="23">
        <v>9.4443607810386396E-2</v>
      </c>
      <c r="Q13" s="23">
        <v>6.5351334834711797E-2</v>
      </c>
      <c r="R13" s="23"/>
      <c r="S13" s="23">
        <v>6.1606092555755498E-2</v>
      </c>
      <c r="T13" s="23">
        <v>8.0790833460258601E-2</v>
      </c>
      <c r="U13" s="23">
        <v>0.16221652869334199</v>
      </c>
      <c r="V13" s="23">
        <v>0</v>
      </c>
      <c r="W13" s="23">
        <v>0.40212382690467902</v>
      </c>
      <c r="X13" s="23">
        <v>0</v>
      </c>
      <c r="Y13" s="23">
        <v>0</v>
      </c>
      <c r="Z13" s="23">
        <v>0</v>
      </c>
      <c r="AA13" s="23">
        <v>4.82158440297554E-2</v>
      </c>
      <c r="AB13" s="23"/>
      <c r="AC13" s="23">
        <v>0</v>
      </c>
      <c r="AD13" s="23">
        <v>0.16110662398984901</v>
      </c>
      <c r="AE13" s="23">
        <v>6.47141110244705E-2</v>
      </c>
      <c r="AF13" s="23">
        <v>9.7974848638182704E-2</v>
      </c>
      <c r="AG13" s="23">
        <v>0</v>
      </c>
      <c r="AH13" s="23"/>
      <c r="AI13" s="23">
        <v>5.51247842148831E-2</v>
      </c>
      <c r="AJ13" s="23">
        <v>9.7095413264066094E-2</v>
      </c>
      <c r="AK13" s="23">
        <v>0</v>
      </c>
      <c r="AL13" s="23">
        <v>9.3940401687107794E-2</v>
      </c>
      <c r="AM13" s="23">
        <v>0</v>
      </c>
      <c r="AN13" s="23">
        <v>0.17111498702195599</v>
      </c>
      <c r="AO13" s="23"/>
      <c r="AP13" s="23">
        <v>9.3001253760602698E-2</v>
      </c>
      <c r="AQ13" s="23">
        <v>7.2373184445194194E-2</v>
      </c>
      <c r="AR13" s="23"/>
      <c r="AS13" s="23">
        <v>8.4796009074835602E-2</v>
      </c>
      <c r="AT13" s="23" t="s">
        <v>88</v>
      </c>
      <c r="AU13" s="23">
        <v>0</v>
      </c>
      <c r="AV13" s="23"/>
      <c r="AW13" s="23">
        <v>0.10687427694514801</v>
      </c>
      <c r="AX13" s="23">
        <v>4.3060559912257199E-2</v>
      </c>
      <c r="AY13" s="23"/>
      <c r="AZ13" s="23">
        <v>8.8174220183364793E-2</v>
      </c>
      <c r="BA13" s="23">
        <v>4.18957302649723E-2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BA17"/>
  <sheetViews>
    <sheetView showGridLines="0" workbookViewId="0">
      <pane xSplit="2" topLeftCell="C1" activePane="topRight" state="frozen"/>
      <selection pane="topRight" activeCell="E11" sqref="E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117</v>
      </c>
      <c r="D7" s="10">
        <v>63</v>
      </c>
      <c r="E7" s="10">
        <v>54</v>
      </c>
      <c r="F7" s="10"/>
      <c r="G7" s="10">
        <v>3</v>
      </c>
      <c r="H7" s="10">
        <v>37</v>
      </c>
      <c r="I7" s="10">
        <v>58</v>
      </c>
      <c r="J7" s="10">
        <v>15</v>
      </c>
      <c r="K7" s="10">
        <v>4</v>
      </c>
      <c r="L7" s="10" t="s">
        <v>87</v>
      </c>
      <c r="M7" s="10"/>
      <c r="N7" s="10">
        <v>63</v>
      </c>
      <c r="O7" s="10">
        <v>22</v>
      </c>
      <c r="P7" s="10">
        <v>14</v>
      </c>
      <c r="Q7" s="10">
        <v>18</v>
      </c>
      <c r="R7" s="10"/>
      <c r="S7" s="10">
        <v>39</v>
      </c>
      <c r="T7" s="10">
        <v>16</v>
      </c>
      <c r="U7" s="10">
        <v>10</v>
      </c>
      <c r="V7" s="10">
        <v>9</v>
      </c>
      <c r="W7" s="10">
        <v>8</v>
      </c>
      <c r="X7" s="10">
        <v>9</v>
      </c>
      <c r="Y7" s="10">
        <v>9</v>
      </c>
      <c r="Z7" s="10">
        <v>3</v>
      </c>
      <c r="AA7" s="10">
        <v>14</v>
      </c>
      <c r="AB7" s="10"/>
      <c r="AC7" s="10">
        <v>5</v>
      </c>
      <c r="AD7" s="10">
        <v>13</v>
      </c>
      <c r="AE7" s="10">
        <v>46</v>
      </c>
      <c r="AF7" s="10">
        <v>29</v>
      </c>
      <c r="AG7" s="10">
        <v>14</v>
      </c>
      <c r="AH7" s="10"/>
      <c r="AI7" s="10">
        <v>46</v>
      </c>
      <c r="AJ7" s="10">
        <v>21</v>
      </c>
      <c r="AK7" s="10">
        <v>12</v>
      </c>
      <c r="AL7" s="10">
        <v>18</v>
      </c>
      <c r="AM7" s="10">
        <v>5</v>
      </c>
      <c r="AN7" s="10">
        <v>9</v>
      </c>
      <c r="AO7" s="10"/>
      <c r="AP7" s="10">
        <v>67</v>
      </c>
      <c r="AQ7" s="10">
        <v>50</v>
      </c>
      <c r="AR7" s="10"/>
      <c r="AS7" s="10">
        <v>116</v>
      </c>
      <c r="AT7" s="10" t="s">
        <v>87</v>
      </c>
      <c r="AU7" s="10">
        <v>1</v>
      </c>
      <c r="AV7" s="10"/>
      <c r="AW7" s="10">
        <v>68</v>
      </c>
      <c r="AX7" s="10">
        <v>46</v>
      </c>
      <c r="AY7" s="10"/>
      <c r="AZ7" s="10">
        <v>108</v>
      </c>
      <c r="BA7" s="10">
        <v>9</v>
      </c>
    </row>
    <row r="8" spans="2:53" ht="30" customHeight="1" x14ac:dyDescent="0.35">
      <c r="B8" s="11" t="s">
        <v>19</v>
      </c>
      <c r="C8" s="11">
        <v>115</v>
      </c>
      <c r="D8" s="11">
        <v>73</v>
      </c>
      <c r="E8" s="11">
        <v>42</v>
      </c>
      <c r="F8" s="11"/>
      <c r="G8" s="11">
        <v>3</v>
      </c>
      <c r="H8" s="11">
        <v>29</v>
      </c>
      <c r="I8" s="11">
        <v>64</v>
      </c>
      <c r="J8" s="11">
        <v>15</v>
      </c>
      <c r="K8" s="11">
        <v>4</v>
      </c>
      <c r="L8" s="11" t="s">
        <v>87</v>
      </c>
      <c r="M8" s="11"/>
      <c r="N8" s="11">
        <v>38</v>
      </c>
      <c r="O8" s="11">
        <v>25</v>
      </c>
      <c r="P8" s="11">
        <v>22</v>
      </c>
      <c r="Q8" s="11">
        <v>30</v>
      </c>
      <c r="R8" s="11"/>
      <c r="S8" s="11">
        <v>32</v>
      </c>
      <c r="T8" s="11">
        <v>18</v>
      </c>
      <c r="U8" s="11">
        <v>13</v>
      </c>
      <c r="V8" s="11">
        <v>12</v>
      </c>
      <c r="W8" s="11">
        <v>9</v>
      </c>
      <c r="X8" s="11">
        <v>6</v>
      </c>
      <c r="Y8" s="11">
        <v>9</v>
      </c>
      <c r="Z8" s="11">
        <v>3</v>
      </c>
      <c r="AA8" s="11">
        <v>13</v>
      </c>
      <c r="AB8" s="11"/>
      <c r="AC8" s="11">
        <v>7</v>
      </c>
      <c r="AD8" s="11">
        <v>17</v>
      </c>
      <c r="AE8" s="11">
        <v>45</v>
      </c>
      <c r="AF8" s="11">
        <v>22</v>
      </c>
      <c r="AG8" s="11">
        <v>8</v>
      </c>
      <c r="AH8" s="11"/>
      <c r="AI8" s="11">
        <v>37</v>
      </c>
      <c r="AJ8" s="11">
        <v>19</v>
      </c>
      <c r="AK8" s="11">
        <v>13</v>
      </c>
      <c r="AL8" s="11">
        <v>21</v>
      </c>
      <c r="AM8" s="11">
        <v>4</v>
      </c>
      <c r="AN8" s="11">
        <v>14</v>
      </c>
      <c r="AO8" s="11"/>
      <c r="AP8" s="11">
        <v>66</v>
      </c>
      <c r="AQ8" s="11">
        <v>48</v>
      </c>
      <c r="AR8" s="11"/>
      <c r="AS8" s="11">
        <v>114</v>
      </c>
      <c r="AT8" s="11" t="s">
        <v>87</v>
      </c>
      <c r="AU8" s="11">
        <v>1</v>
      </c>
      <c r="AV8" s="11"/>
      <c r="AW8" s="11">
        <v>77</v>
      </c>
      <c r="AX8" s="11">
        <v>34</v>
      </c>
      <c r="AY8" s="11"/>
      <c r="AZ8" s="11">
        <v>105</v>
      </c>
      <c r="BA8" s="11">
        <v>10</v>
      </c>
    </row>
    <row r="9" spans="2:53" ht="29" x14ac:dyDescent="0.35">
      <c r="B9" s="15" t="s">
        <v>231</v>
      </c>
      <c r="C9" s="14">
        <v>0.12986088288557601</v>
      </c>
      <c r="D9" s="14">
        <v>8.3851009135420901E-2</v>
      </c>
      <c r="E9" s="14">
        <v>0.210579154723608</v>
      </c>
      <c r="F9" s="14"/>
      <c r="G9" s="14">
        <v>1</v>
      </c>
      <c r="H9" s="14">
        <v>0.193967862571997</v>
      </c>
      <c r="I9" s="14">
        <v>8.2546107170791999E-2</v>
      </c>
      <c r="J9" s="14">
        <v>6.9447127698527802E-2</v>
      </c>
      <c r="K9" s="14">
        <v>0</v>
      </c>
      <c r="L9" s="14" t="s">
        <v>88</v>
      </c>
      <c r="M9" s="14"/>
      <c r="N9" s="14">
        <v>6.3066917972001299E-2</v>
      </c>
      <c r="O9" s="14">
        <v>0.16418902026051599</v>
      </c>
      <c r="P9" s="14">
        <v>0.168496738098601</v>
      </c>
      <c r="Q9" s="14">
        <v>0.15937324933376101</v>
      </c>
      <c r="R9" s="14"/>
      <c r="S9" s="14">
        <v>0.206885389599126</v>
      </c>
      <c r="T9" s="14">
        <v>0.27745357060327303</v>
      </c>
      <c r="U9" s="14">
        <v>0</v>
      </c>
      <c r="V9" s="14">
        <v>5.7267142937769501E-2</v>
      </c>
      <c r="W9" s="14">
        <v>0</v>
      </c>
      <c r="X9" s="14">
        <v>0.26698242814064099</v>
      </c>
      <c r="Y9" s="14">
        <v>0.117457664992445</v>
      </c>
      <c r="Z9" s="14">
        <v>0</v>
      </c>
      <c r="AA9" s="14">
        <v>0</v>
      </c>
      <c r="AB9" s="14"/>
      <c r="AC9" s="14">
        <v>0.20313486586861099</v>
      </c>
      <c r="AD9" s="14">
        <v>0.159696210854082</v>
      </c>
      <c r="AE9" s="14">
        <v>7.40251007966094E-2</v>
      </c>
      <c r="AF9" s="14">
        <v>0.19729369703757399</v>
      </c>
      <c r="AG9" s="14">
        <v>0.150091819075826</v>
      </c>
      <c r="AH9" s="14"/>
      <c r="AI9" s="14">
        <v>0.14121024562305701</v>
      </c>
      <c r="AJ9" s="14">
        <v>0.19851792337358401</v>
      </c>
      <c r="AK9" s="14">
        <v>5.5729248471309001E-2</v>
      </c>
      <c r="AL9" s="14">
        <v>8.8934467298346295E-2</v>
      </c>
      <c r="AM9" s="14">
        <v>0.255620939214592</v>
      </c>
      <c r="AN9" s="14">
        <v>0</v>
      </c>
      <c r="AO9" s="14"/>
      <c r="AP9" s="14">
        <v>9.45070321304122E-2</v>
      </c>
      <c r="AQ9" s="14">
        <v>0.178385641815336</v>
      </c>
      <c r="AR9" s="14"/>
      <c r="AS9" s="14">
        <v>0.130614484957875</v>
      </c>
      <c r="AT9" s="14" t="s">
        <v>88</v>
      </c>
      <c r="AU9" s="14">
        <v>0</v>
      </c>
      <c r="AV9" s="14"/>
      <c r="AW9" s="14">
        <v>0.11793259685417</v>
      </c>
      <c r="AX9" s="14">
        <v>0.17317394222740001</v>
      </c>
      <c r="AY9" s="14"/>
      <c r="AZ9" s="14">
        <v>0.113899800402004</v>
      </c>
      <c r="BA9" s="14">
        <v>0.30489223212740801</v>
      </c>
    </row>
    <row r="10" spans="2:53" ht="29" x14ac:dyDescent="0.35">
      <c r="B10" s="15" t="s">
        <v>232</v>
      </c>
      <c r="C10" s="14">
        <v>0.55187646513324895</v>
      </c>
      <c r="D10" s="14">
        <v>0.56285957606452197</v>
      </c>
      <c r="E10" s="14">
        <v>0.53260804160764197</v>
      </c>
      <c r="F10" s="14"/>
      <c r="G10" s="14">
        <v>0</v>
      </c>
      <c r="H10" s="14">
        <v>0.53376020143093195</v>
      </c>
      <c r="I10" s="14">
        <v>0.56178273706920101</v>
      </c>
      <c r="J10" s="14">
        <v>0.53318502777175902</v>
      </c>
      <c r="K10" s="14">
        <v>1</v>
      </c>
      <c r="L10" s="14" t="s">
        <v>88</v>
      </c>
      <c r="M10" s="14"/>
      <c r="N10" s="14">
        <v>0.74621469134723795</v>
      </c>
      <c r="O10" s="14">
        <v>0.43400250142740099</v>
      </c>
      <c r="P10" s="14">
        <v>0.39731296828137902</v>
      </c>
      <c r="Q10" s="14">
        <v>0.51108449169568204</v>
      </c>
      <c r="R10" s="14"/>
      <c r="S10" s="14">
        <v>0.56157845283349295</v>
      </c>
      <c r="T10" s="14">
        <v>0.581346509435134</v>
      </c>
      <c r="U10" s="14">
        <v>0.423453801432495</v>
      </c>
      <c r="V10" s="14">
        <v>0.80562904956913395</v>
      </c>
      <c r="W10" s="14">
        <v>0.19028613987247101</v>
      </c>
      <c r="X10" s="14">
        <v>0.40457770402482202</v>
      </c>
      <c r="Y10" s="14">
        <v>0.68700527214986395</v>
      </c>
      <c r="Z10" s="14">
        <v>1</v>
      </c>
      <c r="AA10" s="14">
        <v>0.48489007812821</v>
      </c>
      <c r="AB10" s="14"/>
      <c r="AC10" s="14">
        <v>0.79686513413138904</v>
      </c>
      <c r="AD10" s="14">
        <v>0.55614620481725396</v>
      </c>
      <c r="AE10" s="14">
        <v>0.62309619222477797</v>
      </c>
      <c r="AF10" s="14">
        <v>0.51814025548910803</v>
      </c>
      <c r="AG10" s="14">
        <v>0.78092539716446197</v>
      </c>
      <c r="AH10" s="14"/>
      <c r="AI10" s="14">
        <v>0.67062490869258695</v>
      </c>
      <c r="AJ10" s="14">
        <v>0.51082366205605301</v>
      </c>
      <c r="AK10" s="14">
        <v>0.53831353565992202</v>
      </c>
      <c r="AL10" s="14">
        <v>0.55574357675115105</v>
      </c>
      <c r="AM10" s="14">
        <v>0.74437906078540805</v>
      </c>
      <c r="AN10" s="14">
        <v>0.36887911607856999</v>
      </c>
      <c r="AO10" s="14"/>
      <c r="AP10" s="14">
        <v>0.52571638954894995</v>
      </c>
      <c r="AQ10" s="14">
        <v>0.58778235188101802</v>
      </c>
      <c r="AR10" s="14"/>
      <c r="AS10" s="14">
        <v>0.54927593742222902</v>
      </c>
      <c r="AT10" s="14" t="s">
        <v>88</v>
      </c>
      <c r="AU10" s="14">
        <v>1</v>
      </c>
      <c r="AV10" s="14"/>
      <c r="AW10" s="14">
        <v>0.58812871221067298</v>
      </c>
      <c r="AX10" s="14">
        <v>0.51729580388691698</v>
      </c>
      <c r="AY10" s="14"/>
      <c r="AZ10" s="14">
        <v>0.57050688753508605</v>
      </c>
      <c r="BA10" s="14">
        <v>0.34757278001068798</v>
      </c>
    </row>
    <row r="11" spans="2:53" ht="29" x14ac:dyDescent="0.35">
      <c r="B11" s="15" t="s">
        <v>233</v>
      </c>
      <c r="C11" s="14">
        <v>0.205232077814613</v>
      </c>
      <c r="D11" s="14">
        <v>0.20091333570719599</v>
      </c>
      <c r="E11" s="14">
        <v>0.21280874280000101</v>
      </c>
      <c r="F11" s="14"/>
      <c r="G11" s="14">
        <v>0</v>
      </c>
      <c r="H11" s="14">
        <v>0.15242732786124899</v>
      </c>
      <c r="I11" s="14">
        <v>0.22667769197069301</v>
      </c>
      <c r="J11" s="14">
        <v>0.31412707121289901</v>
      </c>
      <c r="K11" s="14">
        <v>0</v>
      </c>
      <c r="L11" s="14" t="s">
        <v>88</v>
      </c>
      <c r="M11" s="14"/>
      <c r="N11" s="14">
        <v>0.16440783252553101</v>
      </c>
      <c r="O11" s="14">
        <v>0.212222539555252</v>
      </c>
      <c r="P11" s="14">
        <v>0.28339357370909202</v>
      </c>
      <c r="Q11" s="14">
        <v>0.19530378909101601</v>
      </c>
      <c r="R11" s="14"/>
      <c r="S11" s="14">
        <v>0.13159568022380599</v>
      </c>
      <c r="T11" s="14">
        <v>6.0409086501334898E-2</v>
      </c>
      <c r="U11" s="14">
        <v>0.41432966987416198</v>
      </c>
      <c r="V11" s="14">
        <v>0.137103807493096</v>
      </c>
      <c r="W11" s="14">
        <v>0.40759003322284998</v>
      </c>
      <c r="X11" s="14">
        <v>0.32843986783453699</v>
      </c>
      <c r="Y11" s="14">
        <v>0.19553706285769001</v>
      </c>
      <c r="Z11" s="14">
        <v>0</v>
      </c>
      <c r="AA11" s="14">
        <v>0.30301450617772402</v>
      </c>
      <c r="AB11" s="14"/>
      <c r="AC11" s="14">
        <v>0</v>
      </c>
      <c r="AD11" s="14">
        <v>0.123050960338815</v>
      </c>
      <c r="AE11" s="14">
        <v>0.23816459595414199</v>
      </c>
      <c r="AF11" s="14">
        <v>0.13102314429395201</v>
      </c>
      <c r="AG11" s="14">
        <v>6.8982783759711994E-2</v>
      </c>
      <c r="AH11" s="14"/>
      <c r="AI11" s="14">
        <v>0.100147913272252</v>
      </c>
      <c r="AJ11" s="14">
        <v>0.193563001306297</v>
      </c>
      <c r="AK11" s="14">
        <v>0.40595721586876898</v>
      </c>
      <c r="AL11" s="14">
        <v>0.26138155426339499</v>
      </c>
      <c r="AM11" s="14">
        <v>0</v>
      </c>
      <c r="AN11" s="14">
        <v>0.31005988896339098</v>
      </c>
      <c r="AO11" s="14"/>
      <c r="AP11" s="14">
        <v>0.23712410968192901</v>
      </c>
      <c r="AQ11" s="14">
        <v>0.16145882185845201</v>
      </c>
      <c r="AR11" s="14"/>
      <c r="AS11" s="14">
        <v>0.20642307017279399</v>
      </c>
      <c r="AT11" s="14" t="s">
        <v>88</v>
      </c>
      <c r="AU11" s="14">
        <v>0</v>
      </c>
      <c r="AV11" s="14"/>
      <c r="AW11" s="14">
        <v>0.171168601334617</v>
      </c>
      <c r="AX11" s="14">
        <v>0.26646969397342601</v>
      </c>
      <c r="AY11" s="14"/>
      <c r="AZ11" s="14">
        <v>0.19607596215081799</v>
      </c>
      <c r="BA11" s="14">
        <v>0.305639257596931</v>
      </c>
    </row>
    <row r="12" spans="2:53" x14ac:dyDescent="0.35">
      <c r="B12" s="15" t="s">
        <v>116</v>
      </c>
      <c r="C12" s="23">
        <v>0.113030574166562</v>
      </c>
      <c r="D12" s="23">
        <v>0.15237607909286199</v>
      </c>
      <c r="E12" s="23">
        <v>4.4004060868749202E-2</v>
      </c>
      <c r="F12" s="23"/>
      <c r="G12" s="23">
        <v>0</v>
      </c>
      <c r="H12" s="23">
        <v>0.119844608135822</v>
      </c>
      <c r="I12" s="23">
        <v>0.12899346378931401</v>
      </c>
      <c r="J12" s="23">
        <v>8.3240773316814398E-2</v>
      </c>
      <c r="K12" s="23">
        <v>0</v>
      </c>
      <c r="L12" s="23" t="s">
        <v>88</v>
      </c>
      <c r="M12" s="23"/>
      <c r="N12" s="23">
        <v>2.6310558155230101E-2</v>
      </c>
      <c r="O12" s="23">
        <v>0.189585938756832</v>
      </c>
      <c r="P12" s="23">
        <v>0.150796719910927</v>
      </c>
      <c r="Q12" s="23">
        <v>0.13423846987954199</v>
      </c>
      <c r="R12" s="23"/>
      <c r="S12" s="23">
        <v>9.9940477343575501E-2</v>
      </c>
      <c r="T12" s="23">
        <v>8.0790833460258601E-2</v>
      </c>
      <c r="U12" s="23">
        <v>0.16221652869334199</v>
      </c>
      <c r="V12" s="23">
        <v>0</v>
      </c>
      <c r="W12" s="23">
        <v>0.40212382690467902</v>
      </c>
      <c r="X12" s="23">
        <v>0</v>
      </c>
      <c r="Y12" s="23">
        <v>0</v>
      </c>
      <c r="Z12" s="23">
        <v>0</v>
      </c>
      <c r="AA12" s="23">
        <v>0.21209541569406501</v>
      </c>
      <c r="AB12" s="23"/>
      <c r="AC12" s="23">
        <v>0</v>
      </c>
      <c r="AD12" s="23">
        <v>0.16110662398984901</v>
      </c>
      <c r="AE12" s="23">
        <v>6.47141110244705E-2</v>
      </c>
      <c r="AF12" s="23">
        <v>0.153542903179366</v>
      </c>
      <c r="AG12" s="23">
        <v>0</v>
      </c>
      <c r="AH12" s="23"/>
      <c r="AI12" s="23">
        <v>8.8016932412103802E-2</v>
      </c>
      <c r="AJ12" s="23">
        <v>9.7095413264066094E-2</v>
      </c>
      <c r="AK12" s="23">
        <v>0</v>
      </c>
      <c r="AL12" s="23">
        <v>9.3940401687107794E-2</v>
      </c>
      <c r="AM12" s="23">
        <v>0</v>
      </c>
      <c r="AN12" s="23">
        <v>0.32106099495803903</v>
      </c>
      <c r="AO12" s="23"/>
      <c r="AP12" s="23">
        <v>0.14265246863870901</v>
      </c>
      <c r="AQ12" s="23">
        <v>7.2373184445194194E-2</v>
      </c>
      <c r="AR12" s="23"/>
      <c r="AS12" s="23">
        <v>0.113686507447102</v>
      </c>
      <c r="AT12" s="23" t="s">
        <v>88</v>
      </c>
      <c r="AU12" s="23">
        <v>0</v>
      </c>
      <c r="AV12" s="23"/>
      <c r="AW12" s="23">
        <v>0.12277008960054001</v>
      </c>
      <c r="AX12" s="23">
        <v>4.3060559912257199E-2</v>
      </c>
      <c r="AY12" s="23"/>
      <c r="AZ12" s="23">
        <v>0.11951734991209099</v>
      </c>
      <c r="BA12" s="23">
        <v>4.18957302649723E-2</v>
      </c>
    </row>
    <row r="13" spans="2:53" x14ac:dyDescent="0.35">
      <c r="B13" s="16" t="s">
        <v>219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BA18"/>
  <sheetViews>
    <sheetView showGridLines="0" workbookViewId="0">
      <pane xSplit="2" topLeftCell="C1" activePane="topRight" state="frozen"/>
      <selection pane="topRight" activeCell="E13" sqref="E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117</v>
      </c>
      <c r="D7" s="10">
        <v>63</v>
      </c>
      <c r="E7" s="10">
        <v>54</v>
      </c>
      <c r="F7" s="10"/>
      <c r="G7" s="10">
        <v>3</v>
      </c>
      <c r="H7" s="10">
        <v>37</v>
      </c>
      <c r="I7" s="10">
        <v>58</v>
      </c>
      <c r="J7" s="10">
        <v>15</v>
      </c>
      <c r="K7" s="10">
        <v>4</v>
      </c>
      <c r="L7" s="10" t="s">
        <v>87</v>
      </c>
      <c r="M7" s="10"/>
      <c r="N7" s="10">
        <v>63</v>
      </c>
      <c r="O7" s="10">
        <v>22</v>
      </c>
      <c r="P7" s="10">
        <v>14</v>
      </c>
      <c r="Q7" s="10">
        <v>18</v>
      </c>
      <c r="R7" s="10"/>
      <c r="S7" s="10">
        <v>39</v>
      </c>
      <c r="T7" s="10">
        <v>16</v>
      </c>
      <c r="U7" s="10">
        <v>10</v>
      </c>
      <c r="V7" s="10">
        <v>9</v>
      </c>
      <c r="W7" s="10">
        <v>8</v>
      </c>
      <c r="X7" s="10">
        <v>9</v>
      </c>
      <c r="Y7" s="10">
        <v>9</v>
      </c>
      <c r="Z7" s="10">
        <v>3</v>
      </c>
      <c r="AA7" s="10">
        <v>14</v>
      </c>
      <c r="AB7" s="10"/>
      <c r="AC7" s="10">
        <v>5</v>
      </c>
      <c r="AD7" s="10">
        <v>13</v>
      </c>
      <c r="AE7" s="10">
        <v>46</v>
      </c>
      <c r="AF7" s="10">
        <v>29</v>
      </c>
      <c r="AG7" s="10">
        <v>14</v>
      </c>
      <c r="AH7" s="10"/>
      <c r="AI7" s="10">
        <v>46</v>
      </c>
      <c r="AJ7" s="10">
        <v>21</v>
      </c>
      <c r="AK7" s="10">
        <v>12</v>
      </c>
      <c r="AL7" s="10">
        <v>18</v>
      </c>
      <c r="AM7" s="10">
        <v>5</v>
      </c>
      <c r="AN7" s="10">
        <v>9</v>
      </c>
      <c r="AO7" s="10"/>
      <c r="AP7" s="10">
        <v>67</v>
      </c>
      <c r="AQ7" s="10">
        <v>50</v>
      </c>
      <c r="AR7" s="10"/>
      <c r="AS7" s="10">
        <v>116</v>
      </c>
      <c r="AT7" s="10" t="s">
        <v>87</v>
      </c>
      <c r="AU7" s="10">
        <v>1</v>
      </c>
      <c r="AV7" s="10"/>
      <c r="AW7" s="10">
        <v>68</v>
      </c>
      <c r="AX7" s="10">
        <v>46</v>
      </c>
      <c r="AY7" s="10"/>
      <c r="AZ7" s="10">
        <v>108</v>
      </c>
      <c r="BA7" s="10">
        <v>9</v>
      </c>
    </row>
    <row r="8" spans="2:53" ht="30" customHeight="1" x14ac:dyDescent="0.35">
      <c r="B8" s="11" t="s">
        <v>19</v>
      </c>
      <c r="C8" s="11">
        <v>115</v>
      </c>
      <c r="D8" s="11">
        <v>73</v>
      </c>
      <c r="E8" s="11">
        <v>42</v>
      </c>
      <c r="F8" s="11"/>
      <c r="G8" s="11">
        <v>3</v>
      </c>
      <c r="H8" s="11">
        <v>29</v>
      </c>
      <c r="I8" s="11">
        <v>64</v>
      </c>
      <c r="J8" s="11">
        <v>15</v>
      </c>
      <c r="K8" s="11">
        <v>4</v>
      </c>
      <c r="L8" s="11" t="s">
        <v>87</v>
      </c>
      <c r="M8" s="11"/>
      <c r="N8" s="11">
        <v>38</v>
      </c>
      <c r="O8" s="11">
        <v>25</v>
      </c>
      <c r="P8" s="11">
        <v>22</v>
      </c>
      <c r="Q8" s="11">
        <v>30</v>
      </c>
      <c r="R8" s="11"/>
      <c r="S8" s="11">
        <v>32</v>
      </c>
      <c r="T8" s="11">
        <v>18</v>
      </c>
      <c r="U8" s="11">
        <v>13</v>
      </c>
      <c r="V8" s="11">
        <v>12</v>
      </c>
      <c r="W8" s="11">
        <v>9</v>
      </c>
      <c r="X8" s="11">
        <v>6</v>
      </c>
      <c r="Y8" s="11">
        <v>9</v>
      </c>
      <c r="Z8" s="11">
        <v>3</v>
      </c>
      <c r="AA8" s="11">
        <v>13</v>
      </c>
      <c r="AB8" s="11"/>
      <c r="AC8" s="11">
        <v>7</v>
      </c>
      <c r="AD8" s="11">
        <v>17</v>
      </c>
      <c r="AE8" s="11">
        <v>45</v>
      </c>
      <c r="AF8" s="11">
        <v>22</v>
      </c>
      <c r="AG8" s="11">
        <v>8</v>
      </c>
      <c r="AH8" s="11"/>
      <c r="AI8" s="11">
        <v>37</v>
      </c>
      <c r="AJ8" s="11">
        <v>19</v>
      </c>
      <c r="AK8" s="11">
        <v>13</v>
      </c>
      <c r="AL8" s="11">
        <v>21</v>
      </c>
      <c r="AM8" s="11">
        <v>4</v>
      </c>
      <c r="AN8" s="11">
        <v>14</v>
      </c>
      <c r="AO8" s="11"/>
      <c r="AP8" s="11">
        <v>66</v>
      </c>
      <c r="AQ8" s="11">
        <v>48</v>
      </c>
      <c r="AR8" s="11"/>
      <c r="AS8" s="11">
        <v>114</v>
      </c>
      <c r="AT8" s="11" t="s">
        <v>87</v>
      </c>
      <c r="AU8" s="11">
        <v>1</v>
      </c>
      <c r="AV8" s="11"/>
      <c r="AW8" s="11">
        <v>77</v>
      </c>
      <c r="AX8" s="11">
        <v>34</v>
      </c>
      <c r="AY8" s="11"/>
      <c r="AZ8" s="11">
        <v>105</v>
      </c>
      <c r="BA8" s="11">
        <v>10</v>
      </c>
    </row>
    <row r="9" spans="2:53" x14ac:dyDescent="0.35">
      <c r="B9" s="15" t="s">
        <v>235</v>
      </c>
      <c r="C9" s="14">
        <v>0.298709406055363</v>
      </c>
      <c r="D9" s="14">
        <v>0.31341808659049197</v>
      </c>
      <c r="E9" s="14">
        <v>0.27290496068217202</v>
      </c>
      <c r="F9" s="14"/>
      <c r="G9" s="14">
        <v>0</v>
      </c>
      <c r="H9" s="14">
        <v>0.311179564563977</v>
      </c>
      <c r="I9" s="14">
        <v>0.28033138933450802</v>
      </c>
      <c r="J9" s="14">
        <v>0.33260939808832601</v>
      </c>
      <c r="K9" s="14">
        <v>0.59458602342188105</v>
      </c>
      <c r="L9" s="14" t="s">
        <v>88</v>
      </c>
      <c r="M9" s="14"/>
      <c r="N9" s="14">
        <v>0.39161758536671198</v>
      </c>
      <c r="O9" s="14">
        <v>0.27152538418431799</v>
      </c>
      <c r="P9" s="14">
        <v>0.30530838248953401</v>
      </c>
      <c r="Q9" s="14">
        <v>0.197366025991322</v>
      </c>
      <c r="R9" s="14"/>
      <c r="S9" s="14">
        <v>0.32092970106023599</v>
      </c>
      <c r="T9" s="14">
        <v>0.39203323632132703</v>
      </c>
      <c r="U9" s="14">
        <v>0.15912680962213599</v>
      </c>
      <c r="V9" s="14">
        <v>0.108432420638646</v>
      </c>
      <c r="W9" s="14">
        <v>0.179660424690117</v>
      </c>
      <c r="X9" s="14">
        <v>2.6386967920725399E-2</v>
      </c>
      <c r="Y9" s="14">
        <v>0.52595463337123505</v>
      </c>
      <c r="Z9" s="14">
        <v>0</v>
      </c>
      <c r="AA9" s="14">
        <v>0.57597522893124498</v>
      </c>
      <c r="AB9" s="14"/>
      <c r="AC9" s="14">
        <v>0.81490519881298595</v>
      </c>
      <c r="AD9" s="14">
        <v>0.16156691858208999</v>
      </c>
      <c r="AE9" s="14">
        <v>0.274099483427372</v>
      </c>
      <c r="AF9" s="14">
        <v>0.364398164040804</v>
      </c>
      <c r="AG9" s="14">
        <v>0.180171923218828</v>
      </c>
      <c r="AH9" s="14"/>
      <c r="AI9" s="14">
        <v>0.33795657001811102</v>
      </c>
      <c r="AJ9" s="14">
        <v>0.426213885559526</v>
      </c>
      <c r="AK9" s="14">
        <v>0.23362338451617301</v>
      </c>
      <c r="AL9" s="14">
        <v>0.108269912318099</v>
      </c>
      <c r="AM9" s="14">
        <v>0.19724319918307801</v>
      </c>
      <c r="AN9" s="14">
        <v>0.25956643281458602</v>
      </c>
      <c r="AO9" s="14"/>
      <c r="AP9" s="14">
        <v>0.27999460344032401</v>
      </c>
      <c r="AQ9" s="14">
        <v>0.32439631896343402</v>
      </c>
      <c r="AR9" s="14"/>
      <c r="AS9" s="14">
        <v>0.30044286129158598</v>
      </c>
      <c r="AT9" s="14" t="s">
        <v>88</v>
      </c>
      <c r="AU9" s="14">
        <v>0</v>
      </c>
      <c r="AV9" s="14"/>
      <c r="AW9" s="14">
        <v>0.24487982458597399</v>
      </c>
      <c r="AX9" s="14">
        <v>0.45873487570553401</v>
      </c>
      <c r="AY9" s="14"/>
      <c r="AZ9" s="14">
        <v>0.29032241974591899</v>
      </c>
      <c r="BA9" s="14">
        <v>0.39068221124108699</v>
      </c>
    </row>
    <row r="10" spans="2:53" x14ac:dyDescent="0.35">
      <c r="B10" s="15" t="s">
        <v>236</v>
      </c>
      <c r="C10" s="14">
        <v>0.48983658808038399</v>
      </c>
      <c r="D10" s="14">
        <v>0.46437113179468298</v>
      </c>
      <c r="E10" s="14">
        <v>0.53451238167440196</v>
      </c>
      <c r="F10" s="14"/>
      <c r="G10" s="14">
        <v>0</v>
      </c>
      <c r="H10" s="14">
        <v>0.46544375316379299</v>
      </c>
      <c r="I10" s="14">
        <v>0.55558270600455995</v>
      </c>
      <c r="J10" s="14">
        <v>0.37348909971276301</v>
      </c>
      <c r="K10" s="14">
        <v>0.40541397657811901</v>
      </c>
      <c r="L10" s="14" t="s">
        <v>88</v>
      </c>
      <c r="M10" s="14"/>
      <c r="N10" s="14">
        <v>0.50293509633478295</v>
      </c>
      <c r="O10" s="14">
        <v>0.47584604637748301</v>
      </c>
      <c r="P10" s="14">
        <v>0.44984087219924201</v>
      </c>
      <c r="Q10" s="14">
        <v>0.51335530959549402</v>
      </c>
      <c r="R10" s="14"/>
      <c r="S10" s="14">
        <v>0.45786512183315398</v>
      </c>
      <c r="T10" s="14">
        <v>0.32646813793566998</v>
      </c>
      <c r="U10" s="14">
        <v>0.52524615738134595</v>
      </c>
      <c r="V10" s="14">
        <v>0.83430043642358398</v>
      </c>
      <c r="W10" s="14">
        <v>0.50857896353916299</v>
      </c>
      <c r="X10" s="14">
        <v>0.83193453223167602</v>
      </c>
      <c r="Y10" s="14">
        <v>0.35658770163631898</v>
      </c>
      <c r="Z10" s="14">
        <v>1</v>
      </c>
      <c r="AA10" s="14">
        <v>0.21192935537468999</v>
      </c>
      <c r="AB10" s="14"/>
      <c r="AC10" s="14">
        <v>0.18509480118701399</v>
      </c>
      <c r="AD10" s="14">
        <v>0.49109600507318302</v>
      </c>
      <c r="AE10" s="14">
        <v>0.60150552088435705</v>
      </c>
      <c r="AF10" s="14">
        <v>0.47023619389494797</v>
      </c>
      <c r="AG10" s="14">
        <v>0.649791702012946</v>
      </c>
      <c r="AH10" s="14"/>
      <c r="AI10" s="14">
        <v>0.52487387996257995</v>
      </c>
      <c r="AJ10" s="14">
        <v>0.45785945878130602</v>
      </c>
      <c r="AK10" s="14">
        <v>0.466489943418887</v>
      </c>
      <c r="AL10" s="14">
        <v>0.64132241040166404</v>
      </c>
      <c r="AM10" s="14">
        <v>0.54713586160233096</v>
      </c>
      <c r="AN10" s="14">
        <v>0.30864806185585397</v>
      </c>
      <c r="AO10" s="14"/>
      <c r="AP10" s="14">
        <v>0.46056194462564598</v>
      </c>
      <c r="AQ10" s="14">
        <v>0.53001736007700695</v>
      </c>
      <c r="AR10" s="14"/>
      <c r="AS10" s="14">
        <v>0.49267918286075801</v>
      </c>
      <c r="AT10" s="14" t="s">
        <v>88</v>
      </c>
      <c r="AU10" s="14">
        <v>0</v>
      </c>
      <c r="AV10" s="14"/>
      <c r="AW10" s="14">
        <v>0.56028426800921505</v>
      </c>
      <c r="AX10" s="14">
        <v>0.38903548113313902</v>
      </c>
      <c r="AY10" s="14"/>
      <c r="AZ10" s="14">
        <v>0.512542818786622</v>
      </c>
      <c r="BA10" s="14">
        <v>0.24083704805546399</v>
      </c>
    </row>
    <row r="11" spans="2:53" x14ac:dyDescent="0.35">
      <c r="B11" s="15" t="s">
        <v>237</v>
      </c>
      <c r="C11" s="14">
        <v>0.12884043208839699</v>
      </c>
      <c r="D11" s="14">
        <v>0.14178223723225</v>
      </c>
      <c r="E11" s="14">
        <v>0.106135737192928</v>
      </c>
      <c r="F11" s="14"/>
      <c r="G11" s="14">
        <v>0.77406958762123901</v>
      </c>
      <c r="H11" s="14">
        <v>0.12907291089629699</v>
      </c>
      <c r="I11" s="14">
        <v>0.104405054585922</v>
      </c>
      <c r="J11" s="14">
        <v>0.14121360118356899</v>
      </c>
      <c r="K11" s="14">
        <v>0</v>
      </c>
      <c r="L11" s="14" t="s">
        <v>88</v>
      </c>
      <c r="M11" s="14"/>
      <c r="N11" s="14">
        <v>8.8297804880311401E-2</v>
      </c>
      <c r="O11" s="14">
        <v>0.152517207245986</v>
      </c>
      <c r="P11" s="14">
        <v>9.4054025400296101E-2</v>
      </c>
      <c r="Q11" s="14">
        <v>0.186465152776257</v>
      </c>
      <c r="R11" s="14"/>
      <c r="S11" s="14">
        <v>0.18287079231879</v>
      </c>
      <c r="T11" s="14">
        <v>0.24456594315268701</v>
      </c>
      <c r="U11" s="14">
        <v>0.18362258252816799</v>
      </c>
      <c r="V11" s="14">
        <v>5.7267142937769501E-2</v>
      </c>
      <c r="W11" s="14">
        <v>7.6094354807734396E-2</v>
      </c>
      <c r="X11" s="14">
        <v>2.6386967920725399E-2</v>
      </c>
      <c r="Y11" s="14">
        <v>0</v>
      </c>
      <c r="Z11" s="14">
        <v>0</v>
      </c>
      <c r="AA11" s="14">
        <v>4.82158440297554E-2</v>
      </c>
      <c r="AB11" s="14"/>
      <c r="AC11" s="14">
        <v>0</v>
      </c>
      <c r="AD11" s="14">
        <v>0.119075584759539</v>
      </c>
      <c r="AE11" s="14">
        <v>0.109633877019257</v>
      </c>
      <c r="AF11" s="14">
        <v>3.0070101314478501E-2</v>
      </c>
      <c r="AG11" s="14">
        <v>0.170036374768226</v>
      </c>
      <c r="AH11" s="14"/>
      <c r="AI11" s="14">
        <v>2.1710955004704401E-2</v>
      </c>
      <c r="AJ11" s="14">
        <v>0.115926655659168</v>
      </c>
      <c r="AK11" s="14">
        <v>0.29988667206494002</v>
      </c>
      <c r="AL11" s="14">
        <v>0.218906143317838</v>
      </c>
      <c r="AM11" s="14">
        <v>0.255620939214592</v>
      </c>
      <c r="AN11" s="14">
        <v>0.104347433452338</v>
      </c>
      <c r="AO11" s="14"/>
      <c r="AP11" s="14">
        <v>0.14194810432503799</v>
      </c>
      <c r="AQ11" s="14">
        <v>0.11084955918976599</v>
      </c>
      <c r="AR11" s="14"/>
      <c r="AS11" s="14">
        <v>0.123784963181261</v>
      </c>
      <c r="AT11" s="14" t="s">
        <v>88</v>
      </c>
      <c r="AU11" s="14">
        <v>1</v>
      </c>
      <c r="AV11" s="14"/>
      <c r="AW11" s="14">
        <v>0.107163484833926</v>
      </c>
      <c r="AX11" s="14">
        <v>0.132626156667248</v>
      </c>
      <c r="AY11" s="14"/>
      <c r="AZ11" s="14">
        <v>0.10698766829059</v>
      </c>
      <c r="BA11" s="14">
        <v>0.36848074070344899</v>
      </c>
    </row>
    <row r="12" spans="2:53" x14ac:dyDescent="0.35">
      <c r="B12" s="15" t="s">
        <v>238</v>
      </c>
      <c r="C12" s="14">
        <v>1.46411379008306E-2</v>
      </c>
      <c r="D12" s="14">
        <v>0</v>
      </c>
      <c r="E12" s="14">
        <v>4.0327088605996E-2</v>
      </c>
      <c r="F12" s="14"/>
      <c r="G12" s="14">
        <v>0.22593041237876099</v>
      </c>
      <c r="H12" s="14">
        <v>0</v>
      </c>
      <c r="I12" s="14">
        <v>0</v>
      </c>
      <c r="J12" s="14">
        <v>6.9447127698527802E-2</v>
      </c>
      <c r="K12" s="14">
        <v>0</v>
      </c>
      <c r="L12" s="14" t="s">
        <v>88</v>
      </c>
      <c r="M12" s="14"/>
      <c r="N12" s="14">
        <v>1.71495134181943E-2</v>
      </c>
      <c r="O12" s="14">
        <v>0</v>
      </c>
      <c r="P12" s="14">
        <v>0</v>
      </c>
      <c r="Q12" s="14">
        <v>3.39263765920974E-2</v>
      </c>
      <c r="R12" s="14"/>
      <c r="S12" s="14">
        <v>0</v>
      </c>
      <c r="T12" s="14">
        <v>3.6932682590315097E-2</v>
      </c>
      <c r="U12" s="14">
        <v>0</v>
      </c>
      <c r="V12" s="14">
        <v>0</v>
      </c>
      <c r="W12" s="14">
        <v>0</v>
      </c>
      <c r="X12" s="14">
        <v>0</v>
      </c>
      <c r="Y12" s="14">
        <v>0.117457664992445</v>
      </c>
      <c r="Z12" s="14">
        <v>0</v>
      </c>
      <c r="AA12" s="14">
        <v>0</v>
      </c>
      <c r="AB12" s="14"/>
      <c r="AC12" s="14">
        <v>0</v>
      </c>
      <c r="AD12" s="14">
        <v>6.1816688632724201E-2</v>
      </c>
      <c r="AE12" s="14">
        <v>1.4761118669014301E-2</v>
      </c>
      <c r="AF12" s="14">
        <v>0</v>
      </c>
      <c r="AG12" s="14">
        <v>0</v>
      </c>
      <c r="AH12" s="14"/>
      <c r="AI12" s="14">
        <v>2.7441662602500999E-2</v>
      </c>
      <c r="AJ12" s="14">
        <v>0</v>
      </c>
      <c r="AK12" s="14">
        <v>0</v>
      </c>
      <c r="AL12" s="14">
        <v>3.1501533962398999E-2</v>
      </c>
      <c r="AM12" s="14">
        <v>0</v>
      </c>
      <c r="AN12" s="14">
        <v>0</v>
      </c>
      <c r="AO12" s="14"/>
      <c r="AP12" s="14">
        <v>0</v>
      </c>
      <c r="AQ12" s="14">
        <v>3.47367617697927E-2</v>
      </c>
      <c r="AR12" s="14"/>
      <c r="AS12" s="14">
        <v>1.4726102607813299E-2</v>
      </c>
      <c r="AT12" s="14" t="s">
        <v>88</v>
      </c>
      <c r="AU12" s="14">
        <v>0</v>
      </c>
      <c r="AV12" s="14"/>
      <c r="AW12" s="14">
        <v>1.32617524725459E-2</v>
      </c>
      <c r="AX12" s="14">
        <v>1.9603486494079E-2</v>
      </c>
      <c r="AY12" s="14"/>
      <c r="AZ12" s="14">
        <v>1.59762610699129E-2</v>
      </c>
      <c r="BA12" s="14">
        <v>0</v>
      </c>
    </row>
    <row r="13" spans="2:53" x14ac:dyDescent="0.35">
      <c r="B13" s="15" t="s">
        <v>116</v>
      </c>
      <c r="C13" s="23">
        <v>6.7972435875024897E-2</v>
      </c>
      <c r="D13" s="23">
        <v>8.0428544382575407E-2</v>
      </c>
      <c r="E13" s="23">
        <v>4.6119831844502003E-2</v>
      </c>
      <c r="F13" s="23"/>
      <c r="G13" s="23">
        <v>0</v>
      </c>
      <c r="H13" s="23">
        <v>9.4303771375932002E-2</v>
      </c>
      <c r="I13" s="23">
        <v>5.9680850075010901E-2</v>
      </c>
      <c r="J13" s="23">
        <v>8.3240773316814398E-2</v>
      </c>
      <c r="K13" s="23">
        <v>0</v>
      </c>
      <c r="L13" s="23" t="s">
        <v>88</v>
      </c>
      <c r="M13" s="23"/>
      <c r="N13" s="23">
        <v>0</v>
      </c>
      <c r="O13" s="23">
        <v>0.10011136219221201</v>
      </c>
      <c r="P13" s="23">
        <v>0.150796719910927</v>
      </c>
      <c r="Q13" s="23">
        <v>6.8887135044829795E-2</v>
      </c>
      <c r="R13" s="23"/>
      <c r="S13" s="23">
        <v>3.8334384787820003E-2</v>
      </c>
      <c r="T13" s="23">
        <v>0</v>
      </c>
      <c r="U13" s="23">
        <v>0.13200445046834999</v>
      </c>
      <c r="V13" s="23">
        <v>0</v>
      </c>
      <c r="W13" s="23">
        <v>0.23566625696298499</v>
      </c>
      <c r="X13" s="23">
        <v>0.115291531926873</v>
      </c>
      <c r="Y13" s="23">
        <v>0</v>
      </c>
      <c r="Z13" s="23">
        <v>0</v>
      </c>
      <c r="AA13" s="23">
        <v>0.16387957166431</v>
      </c>
      <c r="AB13" s="23"/>
      <c r="AC13" s="23">
        <v>0</v>
      </c>
      <c r="AD13" s="23">
        <v>0.166444802952465</v>
      </c>
      <c r="AE13" s="23">
        <v>0</v>
      </c>
      <c r="AF13" s="23">
        <v>0.13529554074976899</v>
      </c>
      <c r="AG13" s="23">
        <v>0</v>
      </c>
      <c r="AH13" s="23"/>
      <c r="AI13" s="23">
        <v>8.8016932412103802E-2</v>
      </c>
      <c r="AJ13" s="23">
        <v>0</v>
      </c>
      <c r="AK13" s="23">
        <v>0</v>
      </c>
      <c r="AL13" s="23">
        <v>0</v>
      </c>
      <c r="AM13" s="23">
        <v>0</v>
      </c>
      <c r="AN13" s="23">
        <v>0.32743807187722201</v>
      </c>
      <c r="AO13" s="23"/>
      <c r="AP13" s="23">
        <v>0.117495347608992</v>
      </c>
      <c r="AQ13" s="23">
        <v>0</v>
      </c>
      <c r="AR13" s="23"/>
      <c r="AS13" s="23">
        <v>6.8366890058582E-2</v>
      </c>
      <c r="AT13" s="23" t="s">
        <v>88</v>
      </c>
      <c r="AU13" s="23">
        <v>0</v>
      </c>
      <c r="AV13" s="23"/>
      <c r="AW13" s="23">
        <v>7.4410670098337905E-2</v>
      </c>
      <c r="AX13" s="23">
        <v>0</v>
      </c>
      <c r="AY13" s="23"/>
      <c r="AZ13" s="23">
        <v>7.4170832106956797E-2</v>
      </c>
      <c r="BA13" s="23">
        <v>0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BA19"/>
  <sheetViews>
    <sheetView showGridLines="0" workbookViewId="0">
      <pane xSplit="2" topLeftCell="C1" activePane="topRight" state="frozen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117</v>
      </c>
      <c r="D7" s="10">
        <v>63</v>
      </c>
      <c r="E7" s="10">
        <v>54</v>
      </c>
      <c r="F7" s="10"/>
      <c r="G7" s="10">
        <v>3</v>
      </c>
      <c r="H7" s="10">
        <v>37</v>
      </c>
      <c r="I7" s="10">
        <v>58</v>
      </c>
      <c r="J7" s="10">
        <v>15</v>
      </c>
      <c r="K7" s="10">
        <v>4</v>
      </c>
      <c r="L7" s="10" t="s">
        <v>87</v>
      </c>
      <c r="M7" s="10"/>
      <c r="N7" s="10">
        <v>63</v>
      </c>
      <c r="O7" s="10">
        <v>22</v>
      </c>
      <c r="P7" s="10">
        <v>14</v>
      </c>
      <c r="Q7" s="10">
        <v>18</v>
      </c>
      <c r="R7" s="10"/>
      <c r="S7" s="10">
        <v>39</v>
      </c>
      <c r="T7" s="10">
        <v>16</v>
      </c>
      <c r="U7" s="10">
        <v>10</v>
      </c>
      <c r="V7" s="10">
        <v>9</v>
      </c>
      <c r="W7" s="10">
        <v>8</v>
      </c>
      <c r="X7" s="10">
        <v>9</v>
      </c>
      <c r="Y7" s="10">
        <v>9</v>
      </c>
      <c r="Z7" s="10">
        <v>3</v>
      </c>
      <c r="AA7" s="10">
        <v>14</v>
      </c>
      <c r="AB7" s="10"/>
      <c r="AC7" s="10">
        <v>5</v>
      </c>
      <c r="AD7" s="10">
        <v>13</v>
      </c>
      <c r="AE7" s="10">
        <v>46</v>
      </c>
      <c r="AF7" s="10">
        <v>29</v>
      </c>
      <c r="AG7" s="10">
        <v>14</v>
      </c>
      <c r="AH7" s="10"/>
      <c r="AI7" s="10">
        <v>46</v>
      </c>
      <c r="AJ7" s="10">
        <v>21</v>
      </c>
      <c r="AK7" s="10">
        <v>12</v>
      </c>
      <c r="AL7" s="10">
        <v>18</v>
      </c>
      <c r="AM7" s="10">
        <v>5</v>
      </c>
      <c r="AN7" s="10">
        <v>9</v>
      </c>
      <c r="AO7" s="10"/>
      <c r="AP7" s="10">
        <v>67</v>
      </c>
      <c r="AQ7" s="10">
        <v>50</v>
      </c>
      <c r="AR7" s="10"/>
      <c r="AS7" s="10">
        <v>116</v>
      </c>
      <c r="AT7" s="10" t="s">
        <v>87</v>
      </c>
      <c r="AU7" s="10">
        <v>1</v>
      </c>
      <c r="AV7" s="10"/>
      <c r="AW7" s="10">
        <v>68</v>
      </c>
      <c r="AX7" s="10">
        <v>46</v>
      </c>
      <c r="AY7" s="10"/>
      <c r="AZ7" s="10">
        <v>108</v>
      </c>
      <c r="BA7" s="10">
        <v>9</v>
      </c>
    </row>
    <row r="8" spans="2:53" ht="30" customHeight="1" x14ac:dyDescent="0.35">
      <c r="B8" s="11" t="s">
        <v>19</v>
      </c>
      <c r="C8" s="11">
        <v>115</v>
      </c>
      <c r="D8" s="11">
        <v>73</v>
      </c>
      <c r="E8" s="11">
        <v>42</v>
      </c>
      <c r="F8" s="11"/>
      <c r="G8" s="11">
        <v>3</v>
      </c>
      <c r="H8" s="11">
        <v>29</v>
      </c>
      <c r="I8" s="11">
        <v>64</v>
      </c>
      <c r="J8" s="11">
        <v>15</v>
      </c>
      <c r="K8" s="11">
        <v>4</v>
      </c>
      <c r="L8" s="11" t="s">
        <v>87</v>
      </c>
      <c r="M8" s="11"/>
      <c r="N8" s="11">
        <v>38</v>
      </c>
      <c r="O8" s="11">
        <v>25</v>
      </c>
      <c r="P8" s="11">
        <v>22</v>
      </c>
      <c r="Q8" s="11">
        <v>30</v>
      </c>
      <c r="R8" s="11"/>
      <c r="S8" s="11">
        <v>32</v>
      </c>
      <c r="T8" s="11">
        <v>18</v>
      </c>
      <c r="U8" s="11">
        <v>13</v>
      </c>
      <c r="V8" s="11">
        <v>12</v>
      </c>
      <c r="W8" s="11">
        <v>9</v>
      </c>
      <c r="X8" s="11">
        <v>6</v>
      </c>
      <c r="Y8" s="11">
        <v>9</v>
      </c>
      <c r="Z8" s="11">
        <v>3</v>
      </c>
      <c r="AA8" s="11">
        <v>13</v>
      </c>
      <c r="AB8" s="11"/>
      <c r="AC8" s="11">
        <v>7</v>
      </c>
      <c r="AD8" s="11">
        <v>17</v>
      </c>
      <c r="AE8" s="11">
        <v>45</v>
      </c>
      <c r="AF8" s="11">
        <v>22</v>
      </c>
      <c r="AG8" s="11">
        <v>8</v>
      </c>
      <c r="AH8" s="11"/>
      <c r="AI8" s="11">
        <v>37</v>
      </c>
      <c r="AJ8" s="11">
        <v>19</v>
      </c>
      <c r="AK8" s="11">
        <v>13</v>
      </c>
      <c r="AL8" s="11">
        <v>21</v>
      </c>
      <c r="AM8" s="11">
        <v>4</v>
      </c>
      <c r="AN8" s="11">
        <v>14</v>
      </c>
      <c r="AO8" s="11"/>
      <c r="AP8" s="11">
        <v>66</v>
      </c>
      <c r="AQ8" s="11">
        <v>48</v>
      </c>
      <c r="AR8" s="11"/>
      <c r="AS8" s="11">
        <v>114</v>
      </c>
      <c r="AT8" s="11" t="s">
        <v>87</v>
      </c>
      <c r="AU8" s="11">
        <v>1</v>
      </c>
      <c r="AV8" s="11"/>
      <c r="AW8" s="11">
        <v>77</v>
      </c>
      <c r="AX8" s="11">
        <v>34</v>
      </c>
      <c r="AY8" s="11"/>
      <c r="AZ8" s="11">
        <v>105</v>
      </c>
      <c r="BA8" s="11">
        <v>10</v>
      </c>
    </row>
    <row r="9" spans="2:53" x14ac:dyDescent="0.35">
      <c r="B9" s="15" t="s">
        <v>220</v>
      </c>
      <c r="C9" s="14">
        <v>0.38606742949029799</v>
      </c>
      <c r="D9" s="14">
        <v>0.46666201225649001</v>
      </c>
      <c r="E9" s="14">
        <v>0.24467483459380901</v>
      </c>
      <c r="F9" s="14"/>
      <c r="G9" s="14">
        <v>0.36215801759417998</v>
      </c>
      <c r="H9" s="14">
        <v>0.28408839014634801</v>
      </c>
      <c r="I9" s="14">
        <v>0.43078089808147901</v>
      </c>
      <c r="J9" s="14">
        <v>0.373426691997292</v>
      </c>
      <c r="K9" s="14">
        <v>0.48649229131709698</v>
      </c>
      <c r="L9" s="14" t="s">
        <v>88</v>
      </c>
      <c r="M9" s="14"/>
      <c r="N9" s="14">
        <v>0.439973751851854</v>
      </c>
      <c r="O9" s="14">
        <v>0.329923601140587</v>
      </c>
      <c r="P9" s="14">
        <v>0.369330514832513</v>
      </c>
      <c r="Q9" s="14">
        <v>0.37499035822071403</v>
      </c>
      <c r="R9" s="14"/>
      <c r="S9" s="14">
        <v>0.33194399039599098</v>
      </c>
      <c r="T9" s="14">
        <v>0.47442426297541201</v>
      </c>
      <c r="U9" s="14">
        <v>0.342749406854577</v>
      </c>
      <c r="V9" s="14">
        <v>0.49434229360187898</v>
      </c>
      <c r="W9" s="14">
        <v>3.8097430257002303E-2</v>
      </c>
      <c r="X9" s="14">
        <v>0.18961369169334799</v>
      </c>
      <c r="Y9" s="14">
        <v>0.43368787756996702</v>
      </c>
      <c r="Z9" s="14">
        <v>0.535858879615147</v>
      </c>
      <c r="AA9" s="14">
        <v>0.60011498981893696</v>
      </c>
      <c r="AB9" s="14"/>
      <c r="AC9" s="14">
        <v>0.74806280985861295</v>
      </c>
      <c r="AD9" s="14">
        <v>0.48836322615598499</v>
      </c>
      <c r="AE9" s="14">
        <v>0.30776920009080799</v>
      </c>
      <c r="AF9" s="14">
        <v>0.34242680853732799</v>
      </c>
      <c r="AG9" s="14">
        <v>0.47144884162491202</v>
      </c>
      <c r="AH9" s="14"/>
      <c r="AI9" s="14">
        <v>0.23545173440977901</v>
      </c>
      <c r="AJ9" s="14">
        <v>0.51844332619275502</v>
      </c>
      <c r="AK9" s="14">
        <v>0.33679762564669402</v>
      </c>
      <c r="AL9" s="14">
        <v>0.41454552218986201</v>
      </c>
      <c r="AM9" s="14">
        <v>0.66613558201410805</v>
      </c>
      <c r="AN9" s="14">
        <v>0.52409811544081797</v>
      </c>
      <c r="AO9" s="14"/>
      <c r="AP9" s="14">
        <v>0.408994361832486</v>
      </c>
      <c r="AQ9" s="14">
        <v>0.354599178051206</v>
      </c>
      <c r="AR9" s="14"/>
      <c r="AS9" s="14">
        <v>0.38830783636607302</v>
      </c>
      <c r="AT9" s="14" t="s">
        <v>88</v>
      </c>
      <c r="AU9" s="14">
        <v>0</v>
      </c>
      <c r="AV9" s="14"/>
      <c r="AW9" s="14">
        <v>0.37934702029907302</v>
      </c>
      <c r="AX9" s="14">
        <v>0.44906133949626698</v>
      </c>
      <c r="AY9" s="14"/>
      <c r="AZ9" s="14">
        <v>0.38166701069293102</v>
      </c>
      <c r="BA9" s="14">
        <v>0.43432300614840202</v>
      </c>
    </row>
    <row r="10" spans="2:53" x14ac:dyDescent="0.35">
      <c r="B10" s="15" t="s">
        <v>221</v>
      </c>
      <c r="C10" s="14">
        <v>0.40702358442289899</v>
      </c>
      <c r="D10" s="14">
        <v>0.38724446117379102</v>
      </c>
      <c r="E10" s="14">
        <v>0.44172345462487</v>
      </c>
      <c r="F10" s="14"/>
      <c r="G10" s="14">
        <v>0.22593041237876099</v>
      </c>
      <c r="H10" s="14">
        <v>0.55571319583782897</v>
      </c>
      <c r="I10" s="14">
        <v>0.36926140460525902</v>
      </c>
      <c r="J10" s="14">
        <v>0.37004523701089997</v>
      </c>
      <c r="K10" s="14">
        <v>0.18413736918017901</v>
      </c>
      <c r="L10" s="14" t="s">
        <v>88</v>
      </c>
      <c r="M10" s="14"/>
      <c r="N10" s="14">
        <v>0.42450347113804598</v>
      </c>
      <c r="O10" s="14">
        <v>0.34731076394650501</v>
      </c>
      <c r="P10" s="14">
        <v>0.41808569988960198</v>
      </c>
      <c r="Q10" s="14">
        <v>0.42534124671238199</v>
      </c>
      <c r="R10" s="14"/>
      <c r="S10" s="14">
        <v>0.47740062985846199</v>
      </c>
      <c r="T10" s="14">
        <v>0.426788566706649</v>
      </c>
      <c r="U10" s="14">
        <v>3.02120784394008E-2</v>
      </c>
      <c r="V10" s="14">
        <v>0.33995816596089101</v>
      </c>
      <c r="W10" s="14">
        <v>0.65014195797227803</v>
      </c>
      <c r="X10" s="14">
        <v>0.66870780845905398</v>
      </c>
      <c r="Y10" s="14">
        <v>0.44885445743758801</v>
      </c>
      <c r="Z10" s="14">
        <v>0.464141120384853</v>
      </c>
      <c r="AA10" s="14">
        <v>0.32752940526361501</v>
      </c>
      <c r="AB10" s="14"/>
      <c r="AC10" s="14">
        <v>0.25193719014138699</v>
      </c>
      <c r="AD10" s="14">
        <v>0.21838041765602401</v>
      </c>
      <c r="AE10" s="14">
        <v>0.50606264709015003</v>
      </c>
      <c r="AF10" s="14">
        <v>0.35856433482521899</v>
      </c>
      <c r="AG10" s="14">
        <v>0.33381964345581</v>
      </c>
      <c r="AH10" s="14"/>
      <c r="AI10" s="14">
        <v>0.557549641077005</v>
      </c>
      <c r="AJ10" s="14">
        <v>0.47314611048287802</v>
      </c>
      <c r="AK10" s="14">
        <v>8.5184038928328598E-2</v>
      </c>
      <c r="AL10" s="14">
        <v>0.33700322533708399</v>
      </c>
      <c r="AM10" s="14">
        <v>0.333864417985892</v>
      </c>
      <c r="AN10" s="14">
        <v>0.298409820618042</v>
      </c>
      <c r="AO10" s="14"/>
      <c r="AP10" s="14">
        <v>0.35813824108368197</v>
      </c>
      <c r="AQ10" s="14">
        <v>0.47412092884407597</v>
      </c>
      <c r="AR10" s="14"/>
      <c r="AS10" s="14">
        <v>0.40938560299138399</v>
      </c>
      <c r="AT10" s="14" t="s">
        <v>88</v>
      </c>
      <c r="AU10" s="14">
        <v>0</v>
      </c>
      <c r="AV10" s="14"/>
      <c r="AW10" s="14">
        <v>0.390963594554537</v>
      </c>
      <c r="AX10" s="14">
        <v>0.39032686672204198</v>
      </c>
      <c r="AY10" s="14"/>
      <c r="AZ10" s="14">
        <v>0.40673987065735601</v>
      </c>
      <c r="BA10" s="14">
        <v>0.410134827236948</v>
      </c>
    </row>
    <row r="11" spans="2:53" x14ac:dyDescent="0.35">
      <c r="B11" s="15" t="s">
        <v>222</v>
      </c>
      <c r="C11" s="14">
        <v>7.7283713813083493E-2</v>
      </c>
      <c r="D11" s="14">
        <v>2.81943961956473E-2</v>
      </c>
      <c r="E11" s="14">
        <v>0.163404464878487</v>
      </c>
      <c r="F11" s="14"/>
      <c r="G11" s="14">
        <v>0</v>
      </c>
      <c r="H11" s="14">
        <v>0.15346616556601</v>
      </c>
      <c r="I11" s="14">
        <v>5.4814262746775998E-2</v>
      </c>
      <c r="J11" s="14">
        <v>5.87952514922854E-2</v>
      </c>
      <c r="K11" s="14">
        <v>0</v>
      </c>
      <c r="L11" s="14" t="s">
        <v>88</v>
      </c>
      <c r="M11" s="14"/>
      <c r="N11" s="14">
        <v>3.5667369692512399E-2</v>
      </c>
      <c r="O11" s="14">
        <v>0.25113424283657598</v>
      </c>
      <c r="P11" s="14">
        <v>0</v>
      </c>
      <c r="Q11" s="14">
        <v>4.4628200764040699E-2</v>
      </c>
      <c r="R11" s="14"/>
      <c r="S11" s="14">
        <v>7.53442944329311E-2</v>
      </c>
      <c r="T11" s="14">
        <v>9.8787170317938405E-2</v>
      </c>
      <c r="U11" s="14">
        <v>0.21270882896616999</v>
      </c>
      <c r="V11" s="14">
        <v>5.7267142937769501E-2</v>
      </c>
      <c r="W11" s="14">
        <v>0</v>
      </c>
      <c r="X11" s="14">
        <v>0.141678499847599</v>
      </c>
      <c r="Y11" s="14">
        <v>0</v>
      </c>
      <c r="Z11" s="14">
        <v>0</v>
      </c>
      <c r="AA11" s="14">
        <v>2.4139760887692301E-2</v>
      </c>
      <c r="AB11" s="14"/>
      <c r="AC11" s="14">
        <v>0</v>
      </c>
      <c r="AD11" s="14">
        <v>0.107262365650573</v>
      </c>
      <c r="AE11" s="14">
        <v>8.9437704251383005E-2</v>
      </c>
      <c r="AF11" s="14">
        <v>0.13364321457320499</v>
      </c>
      <c r="AG11" s="14">
        <v>1.99445556923998E-2</v>
      </c>
      <c r="AH11" s="14"/>
      <c r="AI11" s="14">
        <v>4.1415223213843701E-2</v>
      </c>
      <c r="AJ11" s="14">
        <v>8.4105633243677699E-3</v>
      </c>
      <c r="AK11" s="14">
        <v>0.125092783517466</v>
      </c>
      <c r="AL11" s="14">
        <v>0.19101831913710701</v>
      </c>
      <c r="AM11" s="14">
        <v>0</v>
      </c>
      <c r="AN11" s="14">
        <v>5.0493456148804898E-2</v>
      </c>
      <c r="AO11" s="14"/>
      <c r="AP11" s="14">
        <v>6.3107790000113406E-2</v>
      </c>
      <c r="AQ11" s="14">
        <v>9.6740810308592204E-2</v>
      </c>
      <c r="AR11" s="14"/>
      <c r="AS11" s="14">
        <v>7.7732202731303907E-2</v>
      </c>
      <c r="AT11" s="14" t="s">
        <v>88</v>
      </c>
      <c r="AU11" s="14">
        <v>0</v>
      </c>
      <c r="AV11" s="14"/>
      <c r="AW11" s="14">
        <v>8.0276892621784196E-2</v>
      </c>
      <c r="AX11" s="14">
        <v>7.9965674250893404E-2</v>
      </c>
      <c r="AY11" s="14"/>
      <c r="AZ11" s="14">
        <v>7.5945963799573094E-2</v>
      </c>
      <c r="BA11" s="14">
        <v>9.1953658038609498E-2</v>
      </c>
    </row>
    <row r="12" spans="2:53" x14ac:dyDescent="0.35">
      <c r="B12" s="15" t="s">
        <v>223</v>
      </c>
      <c r="C12" s="14">
        <v>3.9385181634885399E-2</v>
      </c>
      <c r="D12" s="14">
        <v>4.7869331682562397E-2</v>
      </c>
      <c r="E12" s="14">
        <v>2.4500856292420398E-2</v>
      </c>
      <c r="F12" s="14"/>
      <c r="G12" s="14">
        <v>0</v>
      </c>
      <c r="H12" s="14">
        <v>0</v>
      </c>
      <c r="I12" s="14">
        <v>5.4864616480054099E-2</v>
      </c>
      <c r="J12" s="14">
        <v>6.9447127698527802E-2</v>
      </c>
      <c r="K12" s="14">
        <v>0</v>
      </c>
      <c r="L12" s="14" t="s">
        <v>88</v>
      </c>
      <c r="M12" s="14"/>
      <c r="N12" s="14">
        <v>2.74900298585119E-2</v>
      </c>
      <c r="O12" s="14">
        <v>0</v>
      </c>
      <c r="P12" s="14">
        <v>0</v>
      </c>
      <c r="Q12" s="14">
        <v>0.115085938311085</v>
      </c>
      <c r="R12" s="14"/>
      <c r="S12" s="14">
        <v>3.3115122239595403E-2</v>
      </c>
      <c r="T12" s="14">
        <v>0</v>
      </c>
      <c r="U12" s="14">
        <v>0.18362258252816799</v>
      </c>
      <c r="V12" s="14">
        <v>0</v>
      </c>
      <c r="W12" s="14">
        <v>0</v>
      </c>
      <c r="X12" s="14">
        <v>0</v>
      </c>
      <c r="Y12" s="14">
        <v>0.117457664992445</v>
      </c>
      <c r="Z12" s="14">
        <v>0</v>
      </c>
      <c r="AA12" s="14">
        <v>0</v>
      </c>
      <c r="AB12" s="14"/>
      <c r="AC12" s="14">
        <v>0</v>
      </c>
      <c r="AD12" s="14">
        <v>6.1816688632724201E-2</v>
      </c>
      <c r="AE12" s="14">
        <v>2.3661522228714399E-2</v>
      </c>
      <c r="AF12" s="14">
        <v>0</v>
      </c>
      <c r="AG12" s="14">
        <v>0</v>
      </c>
      <c r="AH12" s="14"/>
      <c r="AI12" s="14">
        <v>5.58555138825646E-2</v>
      </c>
      <c r="AJ12" s="14">
        <v>0</v>
      </c>
      <c r="AK12" s="14">
        <v>0.19207792842346799</v>
      </c>
      <c r="AL12" s="14">
        <v>0</v>
      </c>
      <c r="AM12" s="14">
        <v>0</v>
      </c>
      <c r="AN12" s="14">
        <v>0</v>
      </c>
      <c r="AO12" s="14"/>
      <c r="AP12" s="14">
        <v>5.2704048395507699E-2</v>
      </c>
      <c r="AQ12" s="14">
        <v>2.1104434701472399E-2</v>
      </c>
      <c r="AR12" s="14"/>
      <c r="AS12" s="14">
        <v>3.9613739718262E-2</v>
      </c>
      <c r="AT12" s="14" t="s">
        <v>88</v>
      </c>
      <c r="AU12" s="14">
        <v>0</v>
      </c>
      <c r="AV12" s="14"/>
      <c r="AW12" s="14">
        <v>5.8718444958575401E-2</v>
      </c>
      <c r="AX12" s="14">
        <v>0</v>
      </c>
      <c r="AY12" s="14"/>
      <c r="AZ12" s="14">
        <v>4.2976710440598399E-2</v>
      </c>
      <c r="BA12" s="14">
        <v>0</v>
      </c>
    </row>
    <row r="13" spans="2:53" x14ac:dyDescent="0.35">
      <c r="B13" s="15" t="s">
        <v>116</v>
      </c>
      <c r="C13" s="18">
        <v>4.3828493029994899E-2</v>
      </c>
      <c r="D13" s="18">
        <v>5.2071491438869202E-2</v>
      </c>
      <c r="E13" s="18">
        <v>2.9367236519249801E-2</v>
      </c>
      <c r="F13" s="18"/>
      <c r="G13" s="18">
        <v>0</v>
      </c>
      <c r="H13" s="18">
        <v>0</v>
      </c>
      <c r="I13" s="18">
        <v>5.9680850075010901E-2</v>
      </c>
      <c r="J13" s="18">
        <v>8.3240773316814398E-2</v>
      </c>
      <c r="K13" s="18">
        <v>0</v>
      </c>
      <c r="L13" s="18" t="s">
        <v>88</v>
      </c>
      <c r="M13" s="18"/>
      <c r="N13" s="18">
        <v>0</v>
      </c>
      <c r="O13" s="18">
        <v>7.1631392076331998E-2</v>
      </c>
      <c r="P13" s="18">
        <v>0.150796719910927</v>
      </c>
      <c r="Q13" s="18">
        <v>0</v>
      </c>
      <c r="R13" s="18"/>
      <c r="S13" s="18">
        <v>3.8334384787820003E-2</v>
      </c>
      <c r="T13" s="18">
        <v>0</v>
      </c>
      <c r="U13" s="18">
        <v>0.13200445046834999</v>
      </c>
      <c r="V13" s="18">
        <v>0</v>
      </c>
      <c r="W13" s="18">
        <v>0.23566625696298499</v>
      </c>
      <c r="X13" s="18">
        <v>0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0.124177301904695</v>
      </c>
      <c r="AE13" s="18">
        <v>0</v>
      </c>
      <c r="AF13" s="18">
        <v>0.13529554074976899</v>
      </c>
      <c r="AG13" s="18">
        <v>0</v>
      </c>
      <c r="AH13" s="18"/>
      <c r="AI13" s="18">
        <v>8.8016932412103802E-2</v>
      </c>
      <c r="AJ13" s="18">
        <v>0</v>
      </c>
      <c r="AK13" s="18">
        <v>0</v>
      </c>
      <c r="AL13" s="18">
        <v>0</v>
      </c>
      <c r="AM13" s="18">
        <v>0</v>
      </c>
      <c r="AN13" s="18">
        <v>0.12699860779233499</v>
      </c>
      <c r="AO13" s="18"/>
      <c r="AP13" s="18">
        <v>7.5760769162454805E-2</v>
      </c>
      <c r="AQ13" s="18">
        <v>0</v>
      </c>
      <c r="AR13" s="18"/>
      <c r="AS13" s="18">
        <v>4.40828363121228E-2</v>
      </c>
      <c r="AT13" s="18" t="s">
        <v>88</v>
      </c>
      <c r="AU13" s="18">
        <v>0</v>
      </c>
      <c r="AV13" s="18"/>
      <c r="AW13" s="18">
        <v>6.5342873861969103E-2</v>
      </c>
      <c r="AX13" s="18">
        <v>0</v>
      </c>
      <c r="AY13" s="18"/>
      <c r="AZ13" s="18">
        <v>4.7825206735354203E-2</v>
      </c>
      <c r="BA13" s="18">
        <v>0</v>
      </c>
    </row>
    <row r="14" spans="2:53" x14ac:dyDescent="0.35">
      <c r="B14" s="26" t="s">
        <v>224</v>
      </c>
      <c r="C14" s="27">
        <v>0.79309101391319703</v>
      </c>
      <c r="D14" s="27">
        <v>0.85390647343028103</v>
      </c>
      <c r="E14" s="27">
        <v>0.68639828921867796</v>
      </c>
      <c r="F14" s="27"/>
      <c r="G14" s="27">
        <v>0.58808842997294097</v>
      </c>
      <c r="H14" s="27">
        <v>0.83980158598417598</v>
      </c>
      <c r="I14" s="27">
        <v>0.80004230268673804</v>
      </c>
      <c r="J14" s="27">
        <v>0.74347192900819103</v>
      </c>
      <c r="K14" s="27">
        <v>0.67062966049727502</v>
      </c>
      <c r="L14" s="27" t="s">
        <v>88</v>
      </c>
      <c r="M14" s="27"/>
      <c r="N14" s="27">
        <v>0.86447722298990004</v>
      </c>
      <c r="O14" s="27">
        <v>0.67723436508709201</v>
      </c>
      <c r="P14" s="27">
        <v>0.78741621472211598</v>
      </c>
      <c r="Q14" s="27">
        <v>0.80033160493309596</v>
      </c>
      <c r="R14" s="27"/>
      <c r="S14" s="27">
        <v>0.80934462025445297</v>
      </c>
      <c r="T14" s="27">
        <v>0.90121282968206196</v>
      </c>
      <c r="U14" s="27">
        <v>0.37296148529397799</v>
      </c>
      <c r="V14" s="27">
        <v>0.83430045956276999</v>
      </c>
      <c r="W14" s="27">
        <v>0.68823938822927999</v>
      </c>
      <c r="X14" s="27">
        <v>0.85832150015240105</v>
      </c>
      <c r="Y14" s="27">
        <v>0.88254233500755497</v>
      </c>
      <c r="Z14" s="27">
        <v>1</v>
      </c>
      <c r="AA14" s="27">
        <v>0.92764439508255203</v>
      </c>
      <c r="AB14" s="27"/>
      <c r="AC14" s="27">
        <v>1</v>
      </c>
      <c r="AD14" s="27">
        <v>0.70674364381200905</v>
      </c>
      <c r="AE14" s="27">
        <v>0.81383184718095802</v>
      </c>
      <c r="AF14" s="27">
        <v>0.70099114336254698</v>
      </c>
      <c r="AG14" s="27">
        <v>0.80526848508072102</v>
      </c>
      <c r="AH14" s="27"/>
      <c r="AI14" s="27">
        <v>0.79300137548678395</v>
      </c>
      <c r="AJ14" s="27">
        <v>0.99158943667563204</v>
      </c>
      <c r="AK14" s="27">
        <v>0.42198166457502201</v>
      </c>
      <c r="AL14" s="27">
        <v>0.751548747526946</v>
      </c>
      <c r="AM14" s="27">
        <v>1</v>
      </c>
      <c r="AN14" s="27">
        <v>0.82250793605885997</v>
      </c>
      <c r="AO14" s="27"/>
      <c r="AP14" s="27">
        <v>0.76713260291616803</v>
      </c>
      <c r="AQ14" s="27">
        <v>0.82872010689528197</v>
      </c>
      <c r="AR14" s="27"/>
      <c r="AS14" s="27">
        <v>0.79769343935745696</v>
      </c>
      <c r="AT14" s="27" t="s">
        <v>88</v>
      </c>
      <c r="AU14" s="27">
        <v>0</v>
      </c>
      <c r="AV14" s="27"/>
      <c r="AW14" s="27">
        <v>0.77031061485360997</v>
      </c>
      <c r="AX14" s="27">
        <v>0.83938820621830901</v>
      </c>
      <c r="AY14" s="27"/>
      <c r="AZ14" s="27">
        <v>0.78840688135028703</v>
      </c>
      <c r="BA14" s="27">
        <v>0.84445783338534997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269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363</v>
      </c>
      <c r="D7" s="10">
        <v>168</v>
      </c>
      <c r="E7" s="10">
        <v>195</v>
      </c>
      <c r="F7" s="10"/>
      <c r="G7" s="10">
        <v>7</v>
      </c>
      <c r="H7" s="10">
        <v>124</v>
      </c>
      <c r="I7" s="10">
        <v>179</v>
      </c>
      <c r="J7" s="10">
        <v>43</v>
      </c>
      <c r="K7" s="10">
        <v>10</v>
      </c>
      <c r="L7" s="10" t="s">
        <v>87</v>
      </c>
      <c r="M7" s="10"/>
      <c r="N7" s="10">
        <v>174</v>
      </c>
      <c r="O7" s="10">
        <v>85</v>
      </c>
      <c r="P7" s="10">
        <v>48</v>
      </c>
      <c r="Q7" s="10">
        <v>56</v>
      </c>
      <c r="R7" s="10"/>
      <c r="S7" s="10">
        <v>82</v>
      </c>
      <c r="T7" s="10">
        <v>57</v>
      </c>
      <c r="U7" s="10">
        <v>33</v>
      </c>
      <c r="V7" s="10">
        <v>40</v>
      </c>
      <c r="W7" s="10">
        <v>21</v>
      </c>
      <c r="X7" s="10">
        <v>31</v>
      </c>
      <c r="Y7" s="10">
        <v>33</v>
      </c>
      <c r="Z7" s="10">
        <v>20</v>
      </c>
      <c r="AA7" s="10">
        <v>46</v>
      </c>
      <c r="AB7" s="10"/>
      <c r="AC7" s="10">
        <v>31</v>
      </c>
      <c r="AD7" s="10">
        <v>61</v>
      </c>
      <c r="AE7" s="10">
        <v>132</v>
      </c>
      <c r="AF7" s="10">
        <v>78</v>
      </c>
      <c r="AG7" s="10">
        <v>30</v>
      </c>
      <c r="AH7" s="10"/>
      <c r="AI7" s="10">
        <v>146</v>
      </c>
      <c r="AJ7" s="10">
        <v>63</v>
      </c>
      <c r="AK7" s="10">
        <v>37</v>
      </c>
      <c r="AL7" s="10">
        <v>44</v>
      </c>
      <c r="AM7" s="10">
        <v>18</v>
      </c>
      <c r="AN7" s="10">
        <v>27</v>
      </c>
      <c r="AO7" s="10"/>
      <c r="AP7" s="10">
        <v>178</v>
      </c>
      <c r="AQ7" s="10">
        <v>185</v>
      </c>
      <c r="AR7" s="10"/>
      <c r="AS7" s="10">
        <v>363</v>
      </c>
      <c r="AT7" s="10" t="s">
        <v>87</v>
      </c>
      <c r="AU7" s="10" t="s">
        <v>87</v>
      </c>
      <c r="AV7" s="10"/>
      <c r="AW7" s="10">
        <v>251</v>
      </c>
      <c r="AX7" s="10">
        <v>101</v>
      </c>
      <c r="AY7" s="10"/>
      <c r="AZ7" s="10">
        <v>301</v>
      </c>
      <c r="BA7" s="10">
        <v>61</v>
      </c>
    </row>
    <row r="8" spans="2:53" ht="30" customHeight="1" x14ac:dyDescent="0.35">
      <c r="B8" s="11" t="s">
        <v>19</v>
      </c>
      <c r="C8" s="11">
        <v>355</v>
      </c>
      <c r="D8" s="11">
        <v>199</v>
      </c>
      <c r="E8" s="11">
        <v>156</v>
      </c>
      <c r="F8" s="11"/>
      <c r="G8" s="11">
        <v>6</v>
      </c>
      <c r="H8" s="11">
        <v>98</v>
      </c>
      <c r="I8" s="11">
        <v>191</v>
      </c>
      <c r="J8" s="11">
        <v>47</v>
      </c>
      <c r="K8" s="11">
        <v>13</v>
      </c>
      <c r="L8" s="11" t="s">
        <v>87</v>
      </c>
      <c r="M8" s="11"/>
      <c r="N8" s="11">
        <v>103</v>
      </c>
      <c r="O8" s="11">
        <v>95</v>
      </c>
      <c r="P8" s="11">
        <v>72</v>
      </c>
      <c r="Q8" s="11">
        <v>85</v>
      </c>
      <c r="R8" s="11"/>
      <c r="S8" s="11">
        <v>70</v>
      </c>
      <c r="T8" s="11">
        <v>61</v>
      </c>
      <c r="U8" s="11">
        <v>44</v>
      </c>
      <c r="V8" s="11">
        <v>47</v>
      </c>
      <c r="W8" s="11">
        <v>21</v>
      </c>
      <c r="X8" s="11">
        <v>23</v>
      </c>
      <c r="Y8" s="11">
        <v>30</v>
      </c>
      <c r="Z8" s="11">
        <v>19</v>
      </c>
      <c r="AA8" s="11">
        <v>39</v>
      </c>
      <c r="AB8" s="11"/>
      <c r="AC8" s="11">
        <v>41</v>
      </c>
      <c r="AD8" s="11">
        <v>77</v>
      </c>
      <c r="AE8" s="11">
        <v>124</v>
      </c>
      <c r="AF8" s="11">
        <v>59</v>
      </c>
      <c r="AG8" s="11">
        <v>16</v>
      </c>
      <c r="AH8" s="11"/>
      <c r="AI8" s="11">
        <v>128</v>
      </c>
      <c r="AJ8" s="11">
        <v>61</v>
      </c>
      <c r="AK8" s="11">
        <v>37</v>
      </c>
      <c r="AL8" s="11">
        <v>47</v>
      </c>
      <c r="AM8" s="11">
        <v>19</v>
      </c>
      <c r="AN8" s="11">
        <v>28</v>
      </c>
      <c r="AO8" s="11"/>
      <c r="AP8" s="11">
        <v>167</v>
      </c>
      <c r="AQ8" s="11">
        <v>188</v>
      </c>
      <c r="AR8" s="11"/>
      <c r="AS8" s="11">
        <v>355</v>
      </c>
      <c r="AT8" s="11" t="s">
        <v>87</v>
      </c>
      <c r="AU8" s="11" t="s">
        <v>87</v>
      </c>
      <c r="AV8" s="11"/>
      <c r="AW8" s="11">
        <v>267</v>
      </c>
      <c r="AX8" s="11">
        <v>74</v>
      </c>
      <c r="AY8" s="11"/>
      <c r="AZ8" s="11">
        <v>290</v>
      </c>
      <c r="BA8" s="11">
        <v>64</v>
      </c>
    </row>
    <row r="9" spans="2:53" x14ac:dyDescent="0.35">
      <c r="B9" s="15" t="s">
        <v>154</v>
      </c>
      <c r="C9" s="14">
        <v>0.59378191066117803</v>
      </c>
      <c r="D9" s="14">
        <v>0.54895361452526903</v>
      </c>
      <c r="E9" s="14">
        <v>0.65097617653665296</v>
      </c>
      <c r="F9" s="14"/>
      <c r="G9" s="14">
        <v>0.45144339706928199</v>
      </c>
      <c r="H9" s="14">
        <v>0.56995089905580898</v>
      </c>
      <c r="I9" s="14">
        <v>0.66329827902078198</v>
      </c>
      <c r="J9" s="14">
        <v>0.45243312299159599</v>
      </c>
      <c r="K9" s="14">
        <v>0.322788380584975</v>
      </c>
      <c r="L9" s="14" t="s">
        <v>88</v>
      </c>
      <c r="M9" s="14"/>
      <c r="N9" s="14">
        <v>0.60253230949244196</v>
      </c>
      <c r="O9" s="14">
        <v>0.60335459642564204</v>
      </c>
      <c r="P9" s="14">
        <v>0.66903809389106195</v>
      </c>
      <c r="Q9" s="14">
        <v>0.50906190812965502</v>
      </c>
      <c r="R9" s="14"/>
      <c r="S9" s="14">
        <v>0.66236780033583598</v>
      </c>
      <c r="T9" s="14">
        <v>0.54344617541126194</v>
      </c>
      <c r="U9" s="14">
        <v>0.51945513945892097</v>
      </c>
      <c r="V9" s="14">
        <v>0.61655697730449999</v>
      </c>
      <c r="W9" s="14">
        <v>0.61380056630636204</v>
      </c>
      <c r="X9" s="14">
        <v>0.72560842278834203</v>
      </c>
      <c r="Y9" s="14">
        <v>0.61687997514203097</v>
      </c>
      <c r="Z9" s="14">
        <v>0.52256645808004998</v>
      </c>
      <c r="AA9" s="14">
        <v>0.53705438631485702</v>
      </c>
      <c r="AB9" s="14"/>
      <c r="AC9" s="14">
        <v>0.55087006560673901</v>
      </c>
      <c r="AD9" s="14">
        <v>0.61563348404721396</v>
      </c>
      <c r="AE9" s="14">
        <v>0.63050030780761201</v>
      </c>
      <c r="AF9" s="14">
        <v>0.57595888368814196</v>
      </c>
      <c r="AG9" s="14">
        <v>0.58657378328620502</v>
      </c>
      <c r="AH9" s="14"/>
      <c r="AI9" s="14">
        <v>0.63469273692610495</v>
      </c>
      <c r="AJ9" s="14">
        <v>0.72434853586618797</v>
      </c>
      <c r="AK9" s="14">
        <v>0.482788889080561</v>
      </c>
      <c r="AL9" s="14">
        <v>0.53154456843396103</v>
      </c>
      <c r="AM9" s="14">
        <v>0.71232939342745305</v>
      </c>
      <c r="AN9" s="14">
        <v>0.41710714175199198</v>
      </c>
      <c r="AO9" s="14"/>
      <c r="AP9" s="14">
        <v>0.56295050752568598</v>
      </c>
      <c r="AQ9" s="14">
        <v>0.62110213142682202</v>
      </c>
      <c r="AR9" s="14"/>
      <c r="AS9" s="14">
        <v>0.59378191066117803</v>
      </c>
      <c r="AT9" s="14" t="s">
        <v>88</v>
      </c>
      <c r="AU9" s="14" t="s">
        <v>88</v>
      </c>
      <c r="AV9" s="14"/>
      <c r="AW9" s="14">
        <v>0.58603445345255001</v>
      </c>
      <c r="AX9" s="14">
        <v>0.70461174255820802</v>
      </c>
      <c r="AY9" s="14"/>
      <c r="AZ9" s="14">
        <v>0.58309700319067304</v>
      </c>
      <c r="BA9" s="14">
        <v>0.65486913932060498</v>
      </c>
    </row>
    <row r="10" spans="2:53" x14ac:dyDescent="0.35">
      <c r="B10" s="15" t="s">
        <v>155</v>
      </c>
      <c r="C10" s="14">
        <v>0.237372023263037</v>
      </c>
      <c r="D10" s="14">
        <v>0.25738693691708098</v>
      </c>
      <c r="E10" s="14">
        <v>0.211835958061419</v>
      </c>
      <c r="F10" s="14"/>
      <c r="G10" s="14">
        <v>0.54855660293071795</v>
      </c>
      <c r="H10" s="14">
        <v>0.22856869591672499</v>
      </c>
      <c r="I10" s="14">
        <v>0.20948109237420801</v>
      </c>
      <c r="J10" s="14">
        <v>0.23433780539228899</v>
      </c>
      <c r="K10" s="14">
        <v>0.58707685829160094</v>
      </c>
      <c r="L10" s="14" t="s">
        <v>88</v>
      </c>
      <c r="M10" s="14"/>
      <c r="N10" s="14">
        <v>0.31674737363443001</v>
      </c>
      <c r="O10" s="14">
        <v>0.25294275882929101</v>
      </c>
      <c r="P10" s="14">
        <v>0.158073323227056</v>
      </c>
      <c r="Q10" s="14">
        <v>0.190734685821113</v>
      </c>
      <c r="R10" s="14"/>
      <c r="S10" s="14">
        <v>0.18102200047757999</v>
      </c>
      <c r="T10" s="14">
        <v>0.24072855410763999</v>
      </c>
      <c r="U10" s="14">
        <v>0.15488567923128499</v>
      </c>
      <c r="V10" s="14">
        <v>0.285693689321186</v>
      </c>
      <c r="W10" s="14">
        <v>0.35425035992250198</v>
      </c>
      <c r="X10" s="14">
        <v>0.16233376900067401</v>
      </c>
      <c r="Y10" s="14">
        <v>0.34319662904745402</v>
      </c>
      <c r="Z10" s="14">
        <v>0.29513154822765802</v>
      </c>
      <c r="AA10" s="14">
        <v>0.23934427164818201</v>
      </c>
      <c r="AB10" s="14"/>
      <c r="AC10" s="14">
        <v>0.235249107018597</v>
      </c>
      <c r="AD10" s="14">
        <v>0.14887589309420701</v>
      </c>
      <c r="AE10" s="14">
        <v>0.22601970686288</v>
      </c>
      <c r="AF10" s="14">
        <v>0.29292991441489502</v>
      </c>
      <c r="AG10" s="14">
        <v>0.36896917048671701</v>
      </c>
      <c r="AH10" s="14"/>
      <c r="AI10" s="14">
        <v>0.21933510524101099</v>
      </c>
      <c r="AJ10" s="14">
        <v>0.22794404924551101</v>
      </c>
      <c r="AK10" s="14">
        <v>0.37273351446509301</v>
      </c>
      <c r="AL10" s="14">
        <v>0.28385267244103801</v>
      </c>
      <c r="AM10" s="14">
        <v>5.6545942394071097E-2</v>
      </c>
      <c r="AN10" s="14">
        <v>0.23738495869930201</v>
      </c>
      <c r="AO10" s="14"/>
      <c r="AP10" s="14">
        <v>0.23201437422122401</v>
      </c>
      <c r="AQ10" s="14">
        <v>0.24211952547576299</v>
      </c>
      <c r="AR10" s="14"/>
      <c r="AS10" s="14">
        <v>0.237372023263037</v>
      </c>
      <c r="AT10" s="14" t="s">
        <v>88</v>
      </c>
      <c r="AU10" s="14" t="s">
        <v>88</v>
      </c>
      <c r="AV10" s="14"/>
      <c r="AW10" s="14">
        <v>0.21458525052348301</v>
      </c>
      <c r="AX10" s="14">
        <v>0.27218575775959802</v>
      </c>
      <c r="AY10" s="14"/>
      <c r="AZ10" s="14">
        <v>0.26019700265909301</v>
      </c>
      <c r="BA10" s="14">
        <v>0.117528648177743</v>
      </c>
    </row>
    <row r="11" spans="2:53" x14ac:dyDescent="0.35">
      <c r="B11" s="15" t="s">
        <v>116</v>
      </c>
      <c r="C11" s="23">
        <v>0.16884606607578501</v>
      </c>
      <c r="D11" s="23">
        <v>0.19365944855764999</v>
      </c>
      <c r="E11" s="23">
        <v>0.13718786540192801</v>
      </c>
      <c r="F11" s="23"/>
      <c r="G11" s="23">
        <v>0</v>
      </c>
      <c r="H11" s="23">
        <v>0.201480405027466</v>
      </c>
      <c r="I11" s="23">
        <v>0.12722062860500999</v>
      </c>
      <c r="J11" s="23">
        <v>0.31322907161611602</v>
      </c>
      <c r="K11" s="23">
        <v>9.0134761123424098E-2</v>
      </c>
      <c r="L11" s="23" t="s">
        <v>88</v>
      </c>
      <c r="M11" s="23"/>
      <c r="N11" s="23">
        <v>8.0720316873128195E-2</v>
      </c>
      <c r="O11" s="23">
        <v>0.143702644745067</v>
      </c>
      <c r="P11" s="23">
        <v>0.172888582881882</v>
      </c>
      <c r="Q11" s="23">
        <v>0.30020340604923201</v>
      </c>
      <c r="R11" s="23"/>
      <c r="S11" s="23">
        <v>0.156610199186584</v>
      </c>
      <c r="T11" s="23">
        <v>0.21582527048109901</v>
      </c>
      <c r="U11" s="23">
        <v>0.32565918130979399</v>
      </c>
      <c r="V11" s="23">
        <v>9.7749333374313394E-2</v>
      </c>
      <c r="W11" s="23">
        <v>3.1949073771135802E-2</v>
      </c>
      <c r="X11" s="23">
        <v>0.112057808210984</v>
      </c>
      <c r="Y11" s="23">
        <v>3.9923395810514802E-2</v>
      </c>
      <c r="Z11" s="23">
        <v>0.182301993692293</v>
      </c>
      <c r="AA11" s="23">
        <v>0.22360134203696</v>
      </c>
      <c r="AB11" s="23"/>
      <c r="AC11" s="23">
        <v>0.21388082737466499</v>
      </c>
      <c r="AD11" s="23">
        <v>0.23549062285858</v>
      </c>
      <c r="AE11" s="23">
        <v>0.14347998532950801</v>
      </c>
      <c r="AF11" s="23">
        <v>0.13111120189696299</v>
      </c>
      <c r="AG11" s="23">
        <v>4.4457046227077301E-2</v>
      </c>
      <c r="AH11" s="23"/>
      <c r="AI11" s="23">
        <v>0.145972157832884</v>
      </c>
      <c r="AJ11" s="23">
        <v>4.7707414888301103E-2</v>
      </c>
      <c r="AK11" s="23">
        <v>0.14447759645434599</v>
      </c>
      <c r="AL11" s="23">
        <v>0.18460275912500099</v>
      </c>
      <c r="AM11" s="23">
        <v>0.23112466417847599</v>
      </c>
      <c r="AN11" s="23">
        <v>0.34550789954870598</v>
      </c>
      <c r="AO11" s="23"/>
      <c r="AP11" s="23">
        <v>0.20503511825309001</v>
      </c>
      <c r="AQ11" s="23">
        <v>0.13677834309741499</v>
      </c>
      <c r="AR11" s="23"/>
      <c r="AS11" s="23">
        <v>0.16884606607578501</v>
      </c>
      <c r="AT11" s="23" t="s">
        <v>88</v>
      </c>
      <c r="AU11" s="23" t="s">
        <v>88</v>
      </c>
      <c r="AV11" s="23"/>
      <c r="AW11" s="23">
        <v>0.19938029602396601</v>
      </c>
      <c r="AX11" s="23">
        <v>2.32024996821934E-2</v>
      </c>
      <c r="AY11" s="23"/>
      <c r="AZ11" s="23">
        <v>0.15670599415023401</v>
      </c>
      <c r="BA11" s="23">
        <v>0.227602212501653</v>
      </c>
    </row>
    <row r="12" spans="2:53" x14ac:dyDescent="0.35">
      <c r="B12" s="16" t="s">
        <v>213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222</v>
      </c>
      <c r="D7" s="10">
        <v>96</v>
      </c>
      <c r="E7" s="10">
        <v>126</v>
      </c>
      <c r="F7" s="10"/>
      <c r="G7" s="10">
        <v>3</v>
      </c>
      <c r="H7" s="10">
        <v>74</v>
      </c>
      <c r="I7" s="10">
        <v>120</v>
      </c>
      <c r="J7" s="10">
        <v>21</v>
      </c>
      <c r="K7" s="10">
        <v>4</v>
      </c>
      <c r="L7" s="10" t="s">
        <v>87</v>
      </c>
      <c r="M7" s="10"/>
      <c r="N7" s="10">
        <v>106</v>
      </c>
      <c r="O7" s="10">
        <v>54</v>
      </c>
      <c r="P7" s="10">
        <v>33</v>
      </c>
      <c r="Q7" s="10">
        <v>29</v>
      </c>
      <c r="R7" s="10"/>
      <c r="S7" s="10">
        <v>53</v>
      </c>
      <c r="T7" s="10">
        <v>30</v>
      </c>
      <c r="U7" s="10">
        <v>21</v>
      </c>
      <c r="V7" s="10">
        <v>24</v>
      </c>
      <c r="W7" s="10">
        <v>12</v>
      </c>
      <c r="X7" s="10">
        <v>24</v>
      </c>
      <c r="Y7" s="10">
        <v>20</v>
      </c>
      <c r="Z7" s="10">
        <v>11</v>
      </c>
      <c r="AA7" s="10">
        <v>27</v>
      </c>
      <c r="AB7" s="10"/>
      <c r="AC7" s="10">
        <v>17</v>
      </c>
      <c r="AD7" s="10">
        <v>40</v>
      </c>
      <c r="AE7" s="10">
        <v>82</v>
      </c>
      <c r="AF7" s="10">
        <v>47</v>
      </c>
      <c r="AG7" s="10">
        <v>18</v>
      </c>
      <c r="AH7" s="10"/>
      <c r="AI7" s="10">
        <v>92</v>
      </c>
      <c r="AJ7" s="10">
        <v>42</v>
      </c>
      <c r="AK7" s="10">
        <v>19</v>
      </c>
      <c r="AL7" s="10">
        <v>25</v>
      </c>
      <c r="AM7" s="10">
        <v>15</v>
      </c>
      <c r="AN7" s="10">
        <v>14</v>
      </c>
      <c r="AO7" s="10"/>
      <c r="AP7" s="10">
        <v>107</v>
      </c>
      <c r="AQ7" s="10">
        <v>115</v>
      </c>
      <c r="AR7" s="10"/>
      <c r="AS7" s="10">
        <v>222</v>
      </c>
      <c r="AT7" s="10" t="s">
        <v>87</v>
      </c>
      <c r="AU7" s="10" t="s">
        <v>87</v>
      </c>
      <c r="AV7" s="10"/>
      <c r="AW7" s="10">
        <v>151</v>
      </c>
      <c r="AX7" s="10">
        <v>68</v>
      </c>
      <c r="AY7" s="10"/>
      <c r="AZ7" s="10">
        <v>182</v>
      </c>
      <c r="BA7" s="10">
        <v>40</v>
      </c>
    </row>
    <row r="8" spans="2:53" ht="30" customHeight="1" x14ac:dyDescent="0.35">
      <c r="B8" s="11" t="s">
        <v>19</v>
      </c>
      <c r="C8" s="11">
        <v>211</v>
      </c>
      <c r="D8" s="11">
        <v>109</v>
      </c>
      <c r="E8" s="11">
        <v>102</v>
      </c>
      <c r="F8" s="11"/>
      <c r="G8" s="11">
        <v>3</v>
      </c>
      <c r="H8" s="11">
        <v>56</v>
      </c>
      <c r="I8" s="11">
        <v>127</v>
      </c>
      <c r="J8" s="11">
        <v>21</v>
      </c>
      <c r="K8" s="11">
        <v>4</v>
      </c>
      <c r="L8" s="11" t="s">
        <v>87</v>
      </c>
      <c r="M8" s="11"/>
      <c r="N8" s="11">
        <v>62</v>
      </c>
      <c r="O8" s="11">
        <v>57</v>
      </c>
      <c r="P8" s="11">
        <v>48</v>
      </c>
      <c r="Q8" s="11">
        <v>43</v>
      </c>
      <c r="R8" s="11"/>
      <c r="S8" s="11">
        <v>46</v>
      </c>
      <c r="T8" s="11">
        <v>33</v>
      </c>
      <c r="U8" s="11">
        <v>23</v>
      </c>
      <c r="V8" s="11">
        <v>29</v>
      </c>
      <c r="W8" s="11">
        <v>13</v>
      </c>
      <c r="X8" s="11">
        <v>17</v>
      </c>
      <c r="Y8" s="11">
        <v>19</v>
      </c>
      <c r="Z8" s="11">
        <v>10</v>
      </c>
      <c r="AA8" s="11">
        <v>21</v>
      </c>
      <c r="AB8" s="11"/>
      <c r="AC8" s="11">
        <v>23</v>
      </c>
      <c r="AD8" s="11">
        <v>47</v>
      </c>
      <c r="AE8" s="11">
        <v>78</v>
      </c>
      <c r="AF8" s="11">
        <v>34</v>
      </c>
      <c r="AG8" s="11">
        <v>10</v>
      </c>
      <c r="AH8" s="11"/>
      <c r="AI8" s="11">
        <v>81</v>
      </c>
      <c r="AJ8" s="11">
        <v>44</v>
      </c>
      <c r="AK8" s="11">
        <v>18</v>
      </c>
      <c r="AL8" s="11">
        <v>25</v>
      </c>
      <c r="AM8" s="11">
        <v>14</v>
      </c>
      <c r="AN8" s="11">
        <v>12</v>
      </c>
      <c r="AO8" s="11"/>
      <c r="AP8" s="11">
        <v>94</v>
      </c>
      <c r="AQ8" s="11">
        <v>117</v>
      </c>
      <c r="AR8" s="11"/>
      <c r="AS8" s="11">
        <v>211</v>
      </c>
      <c r="AT8" s="11" t="s">
        <v>87</v>
      </c>
      <c r="AU8" s="11" t="s">
        <v>87</v>
      </c>
      <c r="AV8" s="11"/>
      <c r="AW8" s="11">
        <v>156</v>
      </c>
      <c r="AX8" s="11">
        <v>52</v>
      </c>
      <c r="AY8" s="11"/>
      <c r="AZ8" s="11">
        <v>169</v>
      </c>
      <c r="BA8" s="11">
        <v>42</v>
      </c>
    </row>
    <row r="9" spans="2:53" x14ac:dyDescent="0.35">
      <c r="B9" s="15" t="s">
        <v>214</v>
      </c>
      <c r="C9" s="14">
        <v>0.184162775346709</v>
      </c>
      <c r="D9" s="14">
        <v>0.191661387523611</v>
      </c>
      <c r="E9" s="14">
        <v>0.176095038865899</v>
      </c>
      <c r="F9" s="14"/>
      <c r="G9" s="14">
        <v>0.37716264988800002</v>
      </c>
      <c r="H9" s="14">
        <v>0.26123595448586601</v>
      </c>
      <c r="I9" s="14">
        <v>0.1422076306999</v>
      </c>
      <c r="J9" s="14">
        <v>0.24199882170963299</v>
      </c>
      <c r="K9" s="14">
        <v>0</v>
      </c>
      <c r="L9" s="14" t="s">
        <v>88</v>
      </c>
      <c r="M9" s="14"/>
      <c r="N9" s="14">
        <v>0.17354525230138201</v>
      </c>
      <c r="O9" s="14">
        <v>0.123333658356126</v>
      </c>
      <c r="P9" s="14">
        <v>0.12715185335951401</v>
      </c>
      <c r="Q9" s="14">
        <v>0.342833776952021</v>
      </c>
      <c r="R9" s="14"/>
      <c r="S9" s="14">
        <v>0.27358785930111301</v>
      </c>
      <c r="T9" s="14">
        <v>0.117055179465544</v>
      </c>
      <c r="U9" s="14">
        <v>0.13452234188883899</v>
      </c>
      <c r="V9" s="14">
        <v>0.15940302826407099</v>
      </c>
      <c r="W9" s="14">
        <v>0.17494531099661501</v>
      </c>
      <c r="X9" s="14">
        <v>0.19202271256619199</v>
      </c>
      <c r="Y9" s="14">
        <v>0.23603098397647401</v>
      </c>
      <c r="Z9" s="14">
        <v>0</v>
      </c>
      <c r="AA9" s="14">
        <v>0.22579298948784701</v>
      </c>
      <c r="AB9" s="14"/>
      <c r="AC9" s="14">
        <v>0.184643299225343</v>
      </c>
      <c r="AD9" s="14">
        <v>0.121410448304824</v>
      </c>
      <c r="AE9" s="14">
        <v>0.22327158641605799</v>
      </c>
      <c r="AF9" s="14">
        <v>0.21190302163621599</v>
      </c>
      <c r="AG9" s="14">
        <v>0.18950680678943799</v>
      </c>
      <c r="AH9" s="14"/>
      <c r="AI9" s="14">
        <v>0.26007050349023397</v>
      </c>
      <c r="AJ9" s="14">
        <v>0.233456180013106</v>
      </c>
      <c r="AK9" s="14">
        <v>3.65885188595024E-2</v>
      </c>
      <c r="AL9" s="14">
        <v>7.7246289507574797E-2</v>
      </c>
      <c r="AM9" s="14">
        <v>7.7795171547724307E-2</v>
      </c>
      <c r="AN9" s="14">
        <v>9.2557695532714396E-2</v>
      </c>
      <c r="AO9" s="14"/>
      <c r="AP9" s="14">
        <v>0.18317495304131301</v>
      </c>
      <c r="AQ9" s="14">
        <v>0.18495614747324499</v>
      </c>
      <c r="AR9" s="14"/>
      <c r="AS9" s="14">
        <v>0.184162775346709</v>
      </c>
      <c r="AT9" s="14" t="s">
        <v>88</v>
      </c>
      <c r="AU9" s="14" t="s">
        <v>88</v>
      </c>
      <c r="AV9" s="14"/>
      <c r="AW9" s="14">
        <v>0.137637386060633</v>
      </c>
      <c r="AX9" s="14">
        <v>0.33329921971906801</v>
      </c>
      <c r="AY9" s="14"/>
      <c r="AZ9" s="14">
        <v>0.191126040196755</v>
      </c>
      <c r="BA9" s="14">
        <v>0.155970931303967</v>
      </c>
    </row>
    <row r="10" spans="2:53" x14ac:dyDescent="0.35">
      <c r="B10" s="15" t="s">
        <v>215</v>
      </c>
      <c r="C10" s="14">
        <v>0.47521439887843397</v>
      </c>
      <c r="D10" s="14">
        <v>0.46962431587037801</v>
      </c>
      <c r="E10" s="14">
        <v>0.48122875400854198</v>
      </c>
      <c r="F10" s="14"/>
      <c r="G10" s="14">
        <v>0.43660713958931302</v>
      </c>
      <c r="H10" s="14">
        <v>0.46792528808432199</v>
      </c>
      <c r="I10" s="14">
        <v>0.47488705095122302</v>
      </c>
      <c r="J10" s="14">
        <v>0.46284107991513301</v>
      </c>
      <c r="K10" s="14">
        <v>0.67691524361666799</v>
      </c>
      <c r="L10" s="14" t="s">
        <v>88</v>
      </c>
      <c r="M10" s="14"/>
      <c r="N10" s="14">
        <v>0.58282782030376901</v>
      </c>
      <c r="O10" s="14">
        <v>0.45285591349773902</v>
      </c>
      <c r="P10" s="14">
        <v>0.43820285916597002</v>
      </c>
      <c r="Q10" s="14">
        <v>0.391406042147597</v>
      </c>
      <c r="R10" s="14"/>
      <c r="S10" s="14">
        <v>0.37416414516135699</v>
      </c>
      <c r="T10" s="14">
        <v>0.64743263769932802</v>
      </c>
      <c r="U10" s="14">
        <v>0.35773418752462299</v>
      </c>
      <c r="V10" s="14">
        <v>0.47265653802107999</v>
      </c>
      <c r="W10" s="14">
        <v>0.52330185755655401</v>
      </c>
      <c r="X10" s="14">
        <v>0.46861925287777501</v>
      </c>
      <c r="Y10" s="14">
        <v>0.50458435603436202</v>
      </c>
      <c r="Z10" s="14">
        <v>0.48783958105096897</v>
      </c>
      <c r="AA10" s="14">
        <v>0.50040677744819395</v>
      </c>
      <c r="AB10" s="14"/>
      <c r="AC10" s="14">
        <v>0.46964171022010798</v>
      </c>
      <c r="AD10" s="14">
        <v>0.40590755968360498</v>
      </c>
      <c r="AE10" s="14">
        <v>0.47782842730099301</v>
      </c>
      <c r="AF10" s="14">
        <v>0.48305336577651597</v>
      </c>
      <c r="AG10" s="14">
        <v>0.71814783784222003</v>
      </c>
      <c r="AH10" s="14"/>
      <c r="AI10" s="14">
        <v>0.486631883501352</v>
      </c>
      <c r="AJ10" s="14">
        <v>0.52728257205402596</v>
      </c>
      <c r="AK10" s="14">
        <v>0.28122125369203199</v>
      </c>
      <c r="AL10" s="14">
        <v>0.444357256314312</v>
      </c>
      <c r="AM10" s="14">
        <v>0.60173743779668598</v>
      </c>
      <c r="AN10" s="14">
        <v>0.55879661998086305</v>
      </c>
      <c r="AO10" s="14"/>
      <c r="AP10" s="14">
        <v>0.477741625979482</v>
      </c>
      <c r="AQ10" s="14">
        <v>0.47318464967308899</v>
      </c>
      <c r="AR10" s="14"/>
      <c r="AS10" s="14">
        <v>0.47521439887843397</v>
      </c>
      <c r="AT10" s="14" t="s">
        <v>88</v>
      </c>
      <c r="AU10" s="14" t="s">
        <v>88</v>
      </c>
      <c r="AV10" s="14"/>
      <c r="AW10" s="14">
        <v>0.46814631772140097</v>
      </c>
      <c r="AX10" s="14">
        <v>0.46972637164826397</v>
      </c>
      <c r="AY10" s="14"/>
      <c r="AZ10" s="14">
        <v>0.46641463270904998</v>
      </c>
      <c r="BA10" s="14">
        <v>0.51084159973927801</v>
      </c>
    </row>
    <row r="11" spans="2:53" x14ac:dyDescent="0.35">
      <c r="B11" s="15" t="s">
        <v>216</v>
      </c>
      <c r="C11" s="14">
        <v>0.14959892872778199</v>
      </c>
      <c r="D11" s="14">
        <v>0.18467316637537801</v>
      </c>
      <c r="E11" s="14">
        <v>0.111862651676714</v>
      </c>
      <c r="F11" s="14"/>
      <c r="G11" s="14">
        <v>0</v>
      </c>
      <c r="H11" s="14">
        <v>0.11715281262920001</v>
      </c>
      <c r="I11" s="14">
        <v>0.16170991528678699</v>
      </c>
      <c r="J11" s="14">
        <v>0.21050848652426801</v>
      </c>
      <c r="K11" s="14">
        <v>0</v>
      </c>
      <c r="L11" s="14" t="s">
        <v>88</v>
      </c>
      <c r="M11" s="14"/>
      <c r="N11" s="14">
        <v>9.8667529065337503E-2</v>
      </c>
      <c r="O11" s="14">
        <v>0.25638037003071101</v>
      </c>
      <c r="P11" s="14">
        <v>0.157493779361386</v>
      </c>
      <c r="Q11" s="14">
        <v>7.2997025174785096E-2</v>
      </c>
      <c r="R11" s="14"/>
      <c r="S11" s="14">
        <v>0.18688511817109199</v>
      </c>
      <c r="T11" s="14">
        <v>0.165592200378471</v>
      </c>
      <c r="U11" s="14">
        <v>0.28123990617399802</v>
      </c>
      <c r="V11" s="14">
        <v>9.9391977107994203E-2</v>
      </c>
      <c r="W11" s="14">
        <v>0.14054878005032001</v>
      </c>
      <c r="X11" s="14">
        <v>3.1284794205947299E-2</v>
      </c>
      <c r="Y11" s="14">
        <v>0.21981746617511999</v>
      </c>
      <c r="Z11" s="14">
        <v>0.16174650843861901</v>
      </c>
      <c r="AA11" s="14">
        <v>0</v>
      </c>
      <c r="AB11" s="14"/>
      <c r="AC11" s="14">
        <v>0.23027731763142001</v>
      </c>
      <c r="AD11" s="14">
        <v>0.147979734371918</v>
      </c>
      <c r="AE11" s="14">
        <v>0.118769276527186</v>
      </c>
      <c r="AF11" s="14">
        <v>0.212067305424155</v>
      </c>
      <c r="AG11" s="14">
        <v>5.49841580931449E-2</v>
      </c>
      <c r="AH11" s="14"/>
      <c r="AI11" s="14">
        <v>0.101316262305835</v>
      </c>
      <c r="AJ11" s="14">
        <v>0.209116371867064</v>
      </c>
      <c r="AK11" s="14">
        <v>0.335033304829428</v>
      </c>
      <c r="AL11" s="14">
        <v>0.12997636688762501</v>
      </c>
      <c r="AM11" s="14">
        <v>0.109886347768714</v>
      </c>
      <c r="AN11" s="14">
        <v>0.19248691145611399</v>
      </c>
      <c r="AO11" s="14"/>
      <c r="AP11" s="14">
        <v>0.16698810940154399</v>
      </c>
      <c r="AQ11" s="14">
        <v>0.13563276176180999</v>
      </c>
      <c r="AR11" s="14"/>
      <c r="AS11" s="14">
        <v>0.14959892872778199</v>
      </c>
      <c r="AT11" s="14" t="s">
        <v>88</v>
      </c>
      <c r="AU11" s="14" t="s">
        <v>88</v>
      </c>
      <c r="AV11" s="14"/>
      <c r="AW11" s="14">
        <v>0.163183838341352</v>
      </c>
      <c r="AX11" s="14">
        <v>0.11640767238739599</v>
      </c>
      <c r="AY11" s="14"/>
      <c r="AZ11" s="14">
        <v>0.16678309963061499</v>
      </c>
      <c r="BA11" s="14">
        <v>8.0026181384522596E-2</v>
      </c>
    </row>
    <row r="12" spans="2:53" x14ac:dyDescent="0.35">
      <c r="B12" s="15" t="s">
        <v>217</v>
      </c>
      <c r="C12" s="14">
        <v>6.1595956872204198E-2</v>
      </c>
      <c r="D12" s="14">
        <v>8.8039697693857805E-2</v>
      </c>
      <c r="E12" s="14">
        <v>3.3145207922541997E-2</v>
      </c>
      <c r="F12" s="14"/>
      <c r="G12" s="14">
        <v>0</v>
      </c>
      <c r="H12" s="14">
        <v>4.4303014924023998E-2</v>
      </c>
      <c r="I12" s="14">
        <v>7.3748906860158503E-2</v>
      </c>
      <c r="J12" s="14">
        <v>5.4347188286721602E-2</v>
      </c>
      <c r="K12" s="14">
        <v>0</v>
      </c>
      <c r="L12" s="14" t="s">
        <v>88</v>
      </c>
      <c r="M12" s="14"/>
      <c r="N12" s="14">
        <v>3.97778222780069E-2</v>
      </c>
      <c r="O12" s="14">
        <v>2.1706709817812999E-2</v>
      </c>
      <c r="P12" s="14">
        <v>4.6416321278598398E-2</v>
      </c>
      <c r="Q12" s="14">
        <v>0.16234027070155399</v>
      </c>
      <c r="R12" s="14"/>
      <c r="S12" s="14">
        <v>0.12823011718316099</v>
      </c>
      <c r="T12" s="14">
        <v>0</v>
      </c>
      <c r="U12" s="14">
        <v>5.6978282299925E-2</v>
      </c>
      <c r="V12" s="14">
        <v>3.9680203163450903E-2</v>
      </c>
      <c r="W12" s="14">
        <v>0</v>
      </c>
      <c r="X12" s="14">
        <v>0</v>
      </c>
      <c r="Y12" s="14">
        <v>0</v>
      </c>
      <c r="Z12" s="14">
        <v>0.22812974219212301</v>
      </c>
      <c r="AA12" s="14">
        <v>0.10871513363807001</v>
      </c>
      <c r="AB12" s="14"/>
      <c r="AC12" s="14">
        <v>5.1324126324536201E-2</v>
      </c>
      <c r="AD12" s="14">
        <v>0.15616123494273099</v>
      </c>
      <c r="AE12" s="14">
        <v>3.1432670881672203E-2</v>
      </c>
      <c r="AF12" s="14">
        <v>0</v>
      </c>
      <c r="AG12" s="14">
        <v>0</v>
      </c>
      <c r="AH12" s="14"/>
      <c r="AI12" s="14">
        <v>5.3642863199931598E-2</v>
      </c>
      <c r="AJ12" s="14">
        <v>0</v>
      </c>
      <c r="AK12" s="14">
        <v>7.3322046590377304E-2</v>
      </c>
      <c r="AL12" s="14">
        <v>0.24498634691379401</v>
      </c>
      <c r="AM12" s="14">
        <v>0</v>
      </c>
      <c r="AN12" s="14">
        <v>0</v>
      </c>
      <c r="AO12" s="14"/>
      <c r="AP12" s="14">
        <v>5.51416559215663E-2</v>
      </c>
      <c r="AQ12" s="14">
        <v>6.6779745942913499E-2</v>
      </c>
      <c r="AR12" s="14"/>
      <c r="AS12" s="14">
        <v>6.1595956872204198E-2</v>
      </c>
      <c r="AT12" s="14" t="s">
        <v>88</v>
      </c>
      <c r="AU12" s="14" t="s">
        <v>88</v>
      </c>
      <c r="AV12" s="14"/>
      <c r="AW12" s="14">
        <v>7.5718610114167098E-2</v>
      </c>
      <c r="AX12" s="14">
        <v>2.2308565873408501E-2</v>
      </c>
      <c r="AY12" s="14"/>
      <c r="AZ12" s="14">
        <v>6.3735165694225299E-2</v>
      </c>
      <c r="BA12" s="14">
        <v>5.2935042375339102E-2</v>
      </c>
    </row>
    <row r="13" spans="2:53" x14ac:dyDescent="0.35">
      <c r="B13" s="15" t="s">
        <v>116</v>
      </c>
      <c r="C13" s="23">
        <v>4.7222172261087499E-2</v>
      </c>
      <c r="D13" s="23">
        <v>7.8192346290195305E-3</v>
      </c>
      <c r="E13" s="23">
        <v>8.9615685872111397E-2</v>
      </c>
      <c r="F13" s="23"/>
      <c r="G13" s="23">
        <v>0</v>
      </c>
      <c r="H13" s="23">
        <v>2.72845263673142E-2</v>
      </c>
      <c r="I13" s="23">
        <v>6.13851085945957E-2</v>
      </c>
      <c r="J13" s="23">
        <v>3.0304423564244301E-2</v>
      </c>
      <c r="K13" s="23">
        <v>0</v>
      </c>
      <c r="L13" s="23" t="s">
        <v>88</v>
      </c>
      <c r="M13" s="23"/>
      <c r="N13" s="23">
        <v>4.2353509720866302E-2</v>
      </c>
      <c r="O13" s="23">
        <v>3.09844445246522E-2</v>
      </c>
      <c r="P13" s="23">
        <v>0.115462979678913</v>
      </c>
      <c r="Q13" s="23">
        <v>0</v>
      </c>
      <c r="R13" s="23"/>
      <c r="S13" s="23">
        <v>1.40468871265781E-2</v>
      </c>
      <c r="T13" s="23">
        <v>0</v>
      </c>
      <c r="U13" s="23">
        <v>0.11254699981268999</v>
      </c>
      <c r="V13" s="23">
        <v>0.13780256709201</v>
      </c>
      <c r="W13" s="23">
        <v>0</v>
      </c>
      <c r="X13" s="23">
        <v>0.124296016613874</v>
      </c>
      <c r="Y13" s="23">
        <v>0</v>
      </c>
      <c r="Z13" s="23">
        <v>0</v>
      </c>
      <c r="AA13" s="23">
        <v>2.8961277245630499E-2</v>
      </c>
      <c r="AB13" s="23"/>
      <c r="AC13" s="23">
        <v>0</v>
      </c>
      <c r="AD13" s="23">
        <v>3.54871636074479E-2</v>
      </c>
      <c r="AE13" s="23">
        <v>7.1649183574795702E-2</v>
      </c>
      <c r="AF13" s="23">
        <v>6.0365226042873303E-2</v>
      </c>
      <c r="AG13" s="23">
        <v>0</v>
      </c>
      <c r="AH13" s="23"/>
      <c r="AI13" s="23">
        <v>0</v>
      </c>
      <c r="AJ13" s="23">
        <v>1.46701820562472E-2</v>
      </c>
      <c r="AK13" s="23">
        <v>5.9951897938923998E-2</v>
      </c>
      <c r="AL13" s="23">
        <v>2.77525211001871E-2</v>
      </c>
      <c r="AM13" s="23">
        <v>0.21058104288687601</v>
      </c>
      <c r="AN13" s="23">
        <v>9.6588636186012697E-2</v>
      </c>
      <c r="AO13" s="23"/>
      <c r="AP13" s="23">
        <v>4.3258034932526897E-2</v>
      </c>
      <c r="AQ13" s="23">
        <v>5.0405979758714699E-2</v>
      </c>
      <c r="AR13" s="23"/>
      <c r="AS13" s="23">
        <v>4.7222172261087499E-2</v>
      </c>
      <c r="AT13" s="23" t="s">
        <v>88</v>
      </c>
      <c r="AU13" s="23" t="s">
        <v>88</v>
      </c>
      <c r="AV13" s="23"/>
      <c r="AW13" s="23">
        <v>6.3742648805778498E-2</v>
      </c>
      <c r="AX13" s="23">
        <v>0</v>
      </c>
      <c r="AY13" s="23"/>
      <c r="AZ13" s="23">
        <v>2.6064647283327601E-2</v>
      </c>
      <c r="BA13" s="23">
        <v>0.13288165202357899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BA19"/>
  <sheetViews>
    <sheetView showGridLines="0" workbookViewId="0">
      <pane xSplit="2" topLeftCell="C1" activePane="topRight" state="frozen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222</v>
      </c>
      <c r="D7" s="10">
        <v>96</v>
      </c>
      <c r="E7" s="10">
        <v>126</v>
      </c>
      <c r="F7" s="10"/>
      <c r="G7" s="10">
        <v>3</v>
      </c>
      <c r="H7" s="10">
        <v>74</v>
      </c>
      <c r="I7" s="10">
        <v>120</v>
      </c>
      <c r="J7" s="10">
        <v>21</v>
      </c>
      <c r="K7" s="10">
        <v>4</v>
      </c>
      <c r="L7" s="10" t="s">
        <v>87</v>
      </c>
      <c r="M7" s="10"/>
      <c r="N7" s="10">
        <v>106</v>
      </c>
      <c r="O7" s="10">
        <v>54</v>
      </c>
      <c r="P7" s="10">
        <v>33</v>
      </c>
      <c r="Q7" s="10">
        <v>29</v>
      </c>
      <c r="R7" s="10"/>
      <c r="S7" s="10">
        <v>53</v>
      </c>
      <c r="T7" s="10">
        <v>30</v>
      </c>
      <c r="U7" s="10">
        <v>21</v>
      </c>
      <c r="V7" s="10">
        <v>24</v>
      </c>
      <c r="W7" s="10">
        <v>12</v>
      </c>
      <c r="X7" s="10">
        <v>24</v>
      </c>
      <c r="Y7" s="10">
        <v>20</v>
      </c>
      <c r="Z7" s="10">
        <v>11</v>
      </c>
      <c r="AA7" s="10">
        <v>27</v>
      </c>
      <c r="AB7" s="10"/>
      <c r="AC7" s="10">
        <v>17</v>
      </c>
      <c r="AD7" s="10">
        <v>40</v>
      </c>
      <c r="AE7" s="10">
        <v>82</v>
      </c>
      <c r="AF7" s="10">
        <v>47</v>
      </c>
      <c r="AG7" s="10">
        <v>18</v>
      </c>
      <c r="AH7" s="10"/>
      <c r="AI7" s="10">
        <v>92</v>
      </c>
      <c r="AJ7" s="10">
        <v>42</v>
      </c>
      <c r="AK7" s="10">
        <v>19</v>
      </c>
      <c r="AL7" s="10">
        <v>25</v>
      </c>
      <c r="AM7" s="10">
        <v>15</v>
      </c>
      <c r="AN7" s="10">
        <v>14</v>
      </c>
      <c r="AO7" s="10"/>
      <c r="AP7" s="10">
        <v>107</v>
      </c>
      <c r="AQ7" s="10">
        <v>115</v>
      </c>
      <c r="AR7" s="10"/>
      <c r="AS7" s="10">
        <v>222</v>
      </c>
      <c r="AT7" s="10" t="s">
        <v>87</v>
      </c>
      <c r="AU7" s="10" t="s">
        <v>87</v>
      </c>
      <c r="AV7" s="10"/>
      <c r="AW7" s="10">
        <v>151</v>
      </c>
      <c r="AX7" s="10">
        <v>68</v>
      </c>
      <c r="AY7" s="10"/>
      <c r="AZ7" s="10">
        <v>182</v>
      </c>
      <c r="BA7" s="10">
        <v>40</v>
      </c>
    </row>
    <row r="8" spans="2:53" ht="30" customHeight="1" x14ac:dyDescent="0.35">
      <c r="B8" s="11" t="s">
        <v>19</v>
      </c>
      <c r="C8" s="11">
        <v>211</v>
      </c>
      <c r="D8" s="11">
        <v>109</v>
      </c>
      <c r="E8" s="11">
        <v>102</v>
      </c>
      <c r="F8" s="11"/>
      <c r="G8" s="11">
        <v>3</v>
      </c>
      <c r="H8" s="11">
        <v>56</v>
      </c>
      <c r="I8" s="11">
        <v>127</v>
      </c>
      <c r="J8" s="11">
        <v>21</v>
      </c>
      <c r="K8" s="11">
        <v>4</v>
      </c>
      <c r="L8" s="11" t="s">
        <v>87</v>
      </c>
      <c r="M8" s="11"/>
      <c r="N8" s="11">
        <v>62</v>
      </c>
      <c r="O8" s="11">
        <v>57</v>
      </c>
      <c r="P8" s="11">
        <v>48</v>
      </c>
      <c r="Q8" s="11">
        <v>43</v>
      </c>
      <c r="R8" s="11"/>
      <c r="S8" s="11">
        <v>46</v>
      </c>
      <c r="T8" s="11">
        <v>33</v>
      </c>
      <c r="U8" s="11">
        <v>23</v>
      </c>
      <c r="V8" s="11">
        <v>29</v>
      </c>
      <c r="W8" s="11">
        <v>13</v>
      </c>
      <c r="X8" s="11">
        <v>17</v>
      </c>
      <c r="Y8" s="11">
        <v>19</v>
      </c>
      <c r="Z8" s="11">
        <v>10</v>
      </c>
      <c r="AA8" s="11">
        <v>21</v>
      </c>
      <c r="AB8" s="11"/>
      <c r="AC8" s="11">
        <v>23</v>
      </c>
      <c r="AD8" s="11">
        <v>47</v>
      </c>
      <c r="AE8" s="11">
        <v>78</v>
      </c>
      <c r="AF8" s="11">
        <v>34</v>
      </c>
      <c r="AG8" s="11">
        <v>10</v>
      </c>
      <c r="AH8" s="11"/>
      <c r="AI8" s="11">
        <v>81</v>
      </c>
      <c r="AJ8" s="11">
        <v>44</v>
      </c>
      <c r="AK8" s="11">
        <v>18</v>
      </c>
      <c r="AL8" s="11">
        <v>25</v>
      </c>
      <c r="AM8" s="11">
        <v>14</v>
      </c>
      <c r="AN8" s="11">
        <v>12</v>
      </c>
      <c r="AO8" s="11"/>
      <c r="AP8" s="11">
        <v>94</v>
      </c>
      <c r="AQ8" s="11">
        <v>117</v>
      </c>
      <c r="AR8" s="11"/>
      <c r="AS8" s="11">
        <v>211</v>
      </c>
      <c r="AT8" s="11" t="s">
        <v>87</v>
      </c>
      <c r="AU8" s="11" t="s">
        <v>87</v>
      </c>
      <c r="AV8" s="11"/>
      <c r="AW8" s="11">
        <v>156</v>
      </c>
      <c r="AX8" s="11">
        <v>52</v>
      </c>
      <c r="AY8" s="11"/>
      <c r="AZ8" s="11">
        <v>169</v>
      </c>
      <c r="BA8" s="11">
        <v>42</v>
      </c>
    </row>
    <row r="9" spans="2:53" x14ac:dyDescent="0.35">
      <c r="B9" s="15" t="s">
        <v>220</v>
      </c>
      <c r="C9" s="14">
        <v>0.29548917085796</v>
      </c>
      <c r="D9" s="14">
        <v>0.34020614185418602</v>
      </c>
      <c r="E9" s="14">
        <v>0.24737830317916401</v>
      </c>
      <c r="F9" s="14"/>
      <c r="G9" s="14">
        <v>0.18623021052268701</v>
      </c>
      <c r="H9" s="14">
        <v>0.26484142935824601</v>
      </c>
      <c r="I9" s="14">
        <v>0.32659282465843897</v>
      </c>
      <c r="J9" s="14">
        <v>0.21993777737086301</v>
      </c>
      <c r="K9" s="14">
        <v>0.21705384553578599</v>
      </c>
      <c r="L9" s="14" t="s">
        <v>88</v>
      </c>
      <c r="M9" s="14"/>
      <c r="N9" s="14">
        <v>0.30731713837733299</v>
      </c>
      <c r="O9" s="14">
        <v>0.16986286505763201</v>
      </c>
      <c r="P9" s="14">
        <v>0.30219818162001499</v>
      </c>
      <c r="Q9" s="14">
        <v>0.436849020486134</v>
      </c>
      <c r="R9" s="14"/>
      <c r="S9" s="14">
        <v>0.301423474313957</v>
      </c>
      <c r="T9" s="14">
        <v>0.28892213964207802</v>
      </c>
      <c r="U9" s="14">
        <v>0.127790520067907</v>
      </c>
      <c r="V9" s="14">
        <v>0.243086364057823</v>
      </c>
      <c r="W9" s="14">
        <v>0.53652890734426495</v>
      </c>
      <c r="X9" s="14">
        <v>0.39581254916686598</v>
      </c>
      <c r="Y9" s="14">
        <v>0.27559817779051798</v>
      </c>
      <c r="Z9" s="14">
        <v>0.14733553971039301</v>
      </c>
      <c r="AA9" s="14">
        <v>0.41287344490282402</v>
      </c>
      <c r="AB9" s="14"/>
      <c r="AC9" s="14">
        <v>0.184643299225343</v>
      </c>
      <c r="AD9" s="14">
        <v>0.302371905152652</v>
      </c>
      <c r="AE9" s="14">
        <v>0.29425549218837999</v>
      </c>
      <c r="AF9" s="14">
        <v>0.44609675287908501</v>
      </c>
      <c r="AG9" s="14">
        <v>0.17406876810722599</v>
      </c>
      <c r="AH9" s="14"/>
      <c r="AI9" s="14">
        <v>0.37586288054226202</v>
      </c>
      <c r="AJ9" s="14">
        <v>0.27003376031966297</v>
      </c>
      <c r="AK9" s="14">
        <v>0.17128871405932899</v>
      </c>
      <c r="AL9" s="14">
        <v>0.24161086829200801</v>
      </c>
      <c r="AM9" s="14">
        <v>6.4906609737644394E-2</v>
      </c>
      <c r="AN9" s="14">
        <v>0.27471269093726502</v>
      </c>
      <c r="AO9" s="14"/>
      <c r="AP9" s="14">
        <v>0.31331311543885498</v>
      </c>
      <c r="AQ9" s="14">
        <v>0.281173822097187</v>
      </c>
      <c r="AR9" s="14"/>
      <c r="AS9" s="14">
        <v>0.29548917085796</v>
      </c>
      <c r="AT9" s="14" t="s">
        <v>88</v>
      </c>
      <c r="AU9" s="14" t="s">
        <v>88</v>
      </c>
      <c r="AV9" s="14"/>
      <c r="AW9" s="14">
        <v>0.26290452140166698</v>
      </c>
      <c r="AX9" s="14">
        <v>0.40841677055415698</v>
      </c>
      <c r="AY9" s="14"/>
      <c r="AZ9" s="14">
        <v>0.33288899763511098</v>
      </c>
      <c r="BA9" s="14">
        <v>0.14407024504760901</v>
      </c>
    </row>
    <row r="10" spans="2:53" x14ac:dyDescent="0.35">
      <c r="B10" s="15" t="s">
        <v>221</v>
      </c>
      <c r="C10" s="14">
        <v>0.429824299561201</v>
      </c>
      <c r="D10" s="14">
        <v>0.38575066442421302</v>
      </c>
      <c r="E10" s="14">
        <v>0.47724300393583502</v>
      </c>
      <c r="F10" s="14"/>
      <c r="G10" s="14">
        <v>0.81376978947731304</v>
      </c>
      <c r="H10" s="14">
        <v>0.47401200170422803</v>
      </c>
      <c r="I10" s="14">
        <v>0.38060611254865301</v>
      </c>
      <c r="J10" s="14">
        <v>0.550817904371527</v>
      </c>
      <c r="K10" s="14">
        <v>0.459861398080882</v>
      </c>
      <c r="L10" s="14" t="s">
        <v>88</v>
      </c>
      <c r="M10" s="14"/>
      <c r="N10" s="14">
        <v>0.50016288984808999</v>
      </c>
      <c r="O10" s="14">
        <v>0.47939508482287502</v>
      </c>
      <c r="P10" s="14">
        <v>0.35874684046729</v>
      </c>
      <c r="Q10" s="14">
        <v>0.34231874208170798</v>
      </c>
      <c r="R10" s="14"/>
      <c r="S10" s="14">
        <v>0.44931445773654299</v>
      </c>
      <c r="T10" s="14">
        <v>0.39183797752230798</v>
      </c>
      <c r="U10" s="14">
        <v>0.409901778128203</v>
      </c>
      <c r="V10" s="14">
        <v>0.43246374942306798</v>
      </c>
      <c r="W10" s="14">
        <v>0.463471092655735</v>
      </c>
      <c r="X10" s="14">
        <v>0.35184310571463101</v>
      </c>
      <c r="Y10" s="14">
        <v>0.50880356139522198</v>
      </c>
      <c r="Z10" s="14">
        <v>0.53333444603903102</v>
      </c>
      <c r="AA10" s="14">
        <v>0.38735290498182301</v>
      </c>
      <c r="AB10" s="14"/>
      <c r="AC10" s="14">
        <v>0.47884761411935201</v>
      </c>
      <c r="AD10" s="14">
        <v>0.40548220991029998</v>
      </c>
      <c r="AE10" s="14">
        <v>0.41417873292194701</v>
      </c>
      <c r="AF10" s="14">
        <v>0.39488276187385202</v>
      </c>
      <c r="AG10" s="14">
        <v>0.75476335803208405</v>
      </c>
      <c r="AH10" s="14"/>
      <c r="AI10" s="14">
        <v>0.427272363125903</v>
      </c>
      <c r="AJ10" s="14">
        <v>0.36217860423470399</v>
      </c>
      <c r="AK10" s="14">
        <v>0.36448538258826702</v>
      </c>
      <c r="AL10" s="14">
        <v>0.56246527244366795</v>
      </c>
      <c r="AM10" s="14">
        <v>0.72451234737547998</v>
      </c>
      <c r="AN10" s="14">
        <v>0.38124739590586498</v>
      </c>
      <c r="AO10" s="14"/>
      <c r="AP10" s="14">
        <v>0.47173317454330899</v>
      </c>
      <c r="AQ10" s="14">
        <v>0.39616507453288702</v>
      </c>
      <c r="AR10" s="14"/>
      <c r="AS10" s="14">
        <v>0.429824299561201</v>
      </c>
      <c r="AT10" s="14" t="s">
        <v>88</v>
      </c>
      <c r="AU10" s="14" t="s">
        <v>88</v>
      </c>
      <c r="AV10" s="14"/>
      <c r="AW10" s="14">
        <v>0.44853454158913098</v>
      </c>
      <c r="AX10" s="14">
        <v>0.36028852014811202</v>
      </c>
      <c r="AY10" s="14"/>
      <c r="AZ10" s="14">
        <v>0.423227554882665</v>
      </c>
      <c r="BA10" s="14">
        <v>0.45653223056368297</v>
      </c>
    </row>
    <row r="11" spans="2:53" x14ac:dyDescent="0.35">
      <c r="B11" s="15" t="s">
        <v>222</v>
      </c>
      <c r="C11" s="14">
        <v>0.192809941373324</v>
      </c>
      <c r="D11" s="14">
        <v>0.216312338854871</v>
      </c>
      <c r="E11" s="14">
        <v>0.16752377573691299</v>
      </c>
      <c r="F11" s="14"/>
      <c r="G11" s="14">
        <v>0</v>
      </c>
      <c r="H11" s="14">
        <v>0.16429649854403999</v>
      </c>
      <c r="I11" s="14">
        <v>0.21474842715699399</v>
      </c>
      <c r="J11" s="14">
        <v>0.19893989469336601</v>
      </c>
      <c r="K11" s="14">
        <v>0</v>
      </c>
      <c r="L11" s="14" t="s">
        <v>88</v>
      </c>
      <c r="M11" s="14"/>
      <c r="N11" s="14">
        <v>0.13892126718654399</v>
      </c>
      <c r="O11" s="14">
        <v>0.27325945047870598</v>
      </c>
      <c r="P11" s="14">
        <v>0.16522405902484799</v>
      </c>
      <c r="Q11" s="14">
        <v>0.19451493523323299</v>
      </c>
      <c r="R11" s="14"/>
      <c r="S11" s="14">
        <v>0.16862572340762999</v>
      </c>
      <c r="T11" s="14">
        <v>0.24931990037895799</v>
      </c>
      <c r="U11" s="14">
        <v>0.33937081055090201</v>
      </c>
      <c r="V11" s="14">
        <v>0.232581514992592</v>
      </c>
      <c r="W11" s="14">
        <v>0</v>
      </c>
      <c r="X11" s="14">
        <v>0.15224737629004001</v>
      </c>
      <c r="Y11" s="14">
        <v>0.154120355796762</v>
      </c>
      <c r="Z11" s="14">
        <v>0.197045808261646</v>
      </c>
      <c r="AA11" s="14">
        <v>0.121572382426356</v>
      </c>
      <c r="AB11" s="14"/>
      <c r="AC11" s="14">
        <v>0.27239554005671301</v>
      </c>
      <c r="AD11" s="14">
        <v>0.245147589120321</v>
      </c>
      <c r="AE11" s="14">
        <v>0.17938775392733</v>
      </c>
      <c r="AF11" s="14">
        <v>0.104752382934544</v>
      </c>
      <c r="AG11" s="14">
        <v>3.3806676585493099E-2</v>
      </c>
      <c r="AH11" s="14"/>
      <c r="AI11" s="14">
        <v>0.122692043994162</v>
      </c>
      <c r="AJ11" s="14">
        <v>0.34949084949072501</v>
      </c>
      <c r="AK11" s="14">
        <v>0.25034292526266799</v>
      </c>
      <c r="AL11" s="14">
        <v>0.14942120982725901</v>
      </c>
      <c r="AM11" s="14">
        <v>0</v>
      </c>
      <c r="AN11" s="14">
        <v>0.20218430053955999</v>
      </c>
      <c r="AO11" s="14"/>
      <c r="AP11" s="14">
        <v>0.17281225618659099</v>
      </c>
      <c r="AQ11" s="14">
        <v>0.208871135715404</v>
      </c>
      <c r="AR11" s="14"/>
      <c r="AS11" s="14">
        <v>0.192809941373324</v>
      </c>
      <c r="AT11" s="14" t="s">
        <v>88</v>
      </c>
      <c r="AU11" s="14" t="s">
        <v>88</v>
      </c>
      <c r="AV11" s="14"/>
      <c r="AW11" s="14">
        <v>0.19743407988193201</v>
      </c>
      <c r="AX11" s="14">
        <v>0.17303653892586801</v>
      </c>
      <c r="AY11" s="14"/>
      <c r="AZ11" s="14">
        <v>0.170691767137432</v>
      </c>
      <c r="BA11" s="14">
        <v>0.28235875676331801</v>
      </c>
    </row>
    <row r="12" spans="2:53" x14ac:dyDescent="0.35">
      <c r="B12" s="15" t="s">
        <v>223</v>
      </c>
      <c r="C12" s="14">
        <v>5.8909938472613598E-3</v>
      </c>
      <c r="D12" s="14">
        <v>1.13664178775587E-2</v>
      </c>
      <c r="E12" s="14">
        <v>0</v>
      </c>
      <c r="F12" s="14"/>
      <c r="G12" s="14">
        <v>0</v>
      </c>
      <c r="H12" s="14">
        <v>0</v>
      </c>
      <c r="I12" s="14">
        <v>9.7892119819497601E-3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2.1706709817812999E-2</v>
      </c>
      <c r="P12" s="14">
        <v>0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0.12228420598893</v>
      </c>
      <c r="AA12" s="14">
        <v>0</v>
      </c>
      <c r="AB12" s="14"/>
      <c r="AC12" s="14">
        <v>0</v>
      </c>
      <c r="AD12" s="14">
        <v>2.6163249989381299E-2</v>
      </c>
      <c r="AE12" s="14">
        <v>0</v>
      </c>
      <c r="AF12" s="14">
        <v>0</v>
      </c>
      <c r="AG12" s="14">
        <v>0</v>
      </c>
      <c r="AH12" s="14"/>
      <c r="AI12" s="14">
        <v>1.5245795319222301E-2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1.3225830714645399E-2</v>
      </c>
      <c r="AQ12" s="14">
        <v>0</v>
      </c>
      <c r="AR12" s="14"/>
      <c r="AS12" s="14">
        <v>5.8909938472613598E-3</v>
      </c>
      <c r="AT12" s="14" t="s">
        <v>88</v>
      </c>
      <c r="AU12" s="14" t="s">
        <v>88</v>
      </c>
      <c r="AV12" s="14"/>
      <c r="AW12" s="14">
        <v>7.9519330421064099E-3</v>
      </c>
      <c r="AX12" s="14">
        <v>0</v>
      </c>
      <c r="AY12" s="14"/>
      <c r="AZ12" s="14">
        <v>7.34604412088956E-3</v>
      </c>
      <c r="BA12" s="14">
        <v>0</v>
      </c>
    </row>
    <row r="13" spans="2:53" x14ac:dyDescent="0.35">
      <c r="B13" s="15" t="s">
        <v>116</v>
      </c>
      <c r="C13" s="18">
        <v>3.1564459443119301E-2</v>
      </c>
      <c r="D13" s="18">
        <v>1.8331792832033601E-2</v>
      </c>
      <c r="E13" s="18">
        <v>4.5801449520495002E-2</v>
      </c>
      <c r="F13" s="18"/>
      <c r="G13" s="18">
        <v>0</v>
      </c>
      <c r="H13" s="18">
        <v>2.72845263673142E-2</v>
      </c>
      <c r="I13" s="18">
        <v>3.5366295147890303E-2</v>
      </c>
      <c r="J13" s="18">
        <v>3.0304423564244301E-2</v>
      </c>
      <c r="K13" s="18">
        <v>0</v>
      </c>
      <c r="L13" s="18" t="s">
        <v>88</v>
      </c>
      <c r="M13" s="18"/>
      <c r="N13" s="18">
        <v>1.04002821091802E-2</v>
      </c>
      <c r="O13" s="18">
        <v>0</v>
      </c>
      <c r="P13" s="18">
        <v>0.10126446703570301</v>
      </c>
      <c r="Q13" s="18">
        <v>2.6317302198924399E-2</v>
      </c>
      <c r="R13" s="18"/>
      <c r="S13" s="18">
        <v>5.7550471485169799E-2</v>
      </c>
      <c r="T13" s="18">
        <v>0</v>
      </c>
      <c r="U13" s="18">
        <v>6.5958608953062797E-2</v>
      </c>
      <c r="V13" s="18">
        <v>4.5934185763258903E-2</v>
      </c>
      <c r="W13" s="18">
        <v>0</v>
      </c>
      <c r="X13" s="18">
        <v>0</v>
      </c>
      <c r="Y13" s="18">
        <v>6.1477905017497801E-2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4.52239281896539E-2</v>
      </c>
      <c r="AF13" s="18">
        <v>3.9706580602844502E-2</v>
      </c>
      <c r="AG13" s="18">
        <v>0</v>
      </c>
      <c r="AH13" s="18"/>
      <c r="AI13" s="18">
        <v>2.45884644012049E-2</v>
      </c>
      <c r="AJ13" s="18">
        <v>1.46701820562472E-2</v>
      </c>
      <c r="AK13" s="18">
        <v>0</v>
      </c>
      <c r="AL13" s="18">
        <v>0</v>
      </c>
      <c r="AM13" s="18">
        <v>0.21058104288687601</v>
      </c>
      <c r="AN13" s="18">
        <v>9.73136959119075E-2</v>
      </c>
      <c r="AO13" s="18"/>
      <c r="AP13" s="18">
        <v>0</v>
      </c>
      <c r="AQ13" s="18">
        <v>5.6915539464871101E-2</v>
      </c>
      <c r="AR13" s="18"/>
      <c r="AS13" s="18">
        <v>3.1564459443119301E-2</v>
      </c>
      <c r="AT13" s="18" t="s">
        <v>88</v>
      </c>
      <c r="AU13" s="18" t="s">
        <v>88</v>
      </c>
      <c r="AV13" s="18"/>
      <c r="AW13" s="18">
        <v>4.2607151613076898E-2</v>
      </c>
      <c r="AX13" s="18">
        <v>0</v>
      </c>
      <c r="AY13" s="18"/>
      <c r="AZ13" s="18">
        <v>1.5673236957737102E-2</v>
      </c>
      <c r="BA13" s="18">
        <v>9.5902507126802705E-2</v>
      </c>
    </row>
    <row r="14" spans="2:53" x14ac:dyDescent="0.35">
      <c r="B14" s="26" t="s">
        <v>224</v>
      </c>
      <c r="C14" s="27">
        <v>0.72531347041916105</v>
      </c>
      <c r="D14" s="27">
        <v>0.72595680627839898</v>
      </c>
      <c r="E14" s="27">
        <v>0.72462130711499895</v>
      </c>
      <c r="F14" s="27"/>
      <c r="G14" s="27">
        <v>1</v>
      </c>
      <c r="H14" s="27">
        <v>0.73885343106247503</v>
      </c>
      <c r="I14" s="27">
        <v>0.70719893720709204</v>
      </c>
      <c r="J14" s="27">
        <v>0.77075568174238995</v>
      </c>
      <c r="K14" s="27">
        <v>0.67691524361666799</v>
      </c>
      <c r="L14" s="27" t="s">
        <v>88</v>
      </c>
      <c r="M14" s="27"/>
      <c r="N14" s="27">
        <v>0.80748002822542297</v>
      </c>
      <c r="O14" s="27">
        <v>0.649257949880507</v>
      </c>
      <c r="P14" s="27">
        <v>0.66094502208730499</v>
      </c>
      <c r="Q14" s="27">
        <v>0.77916776256784204</v>
      </c>
      <c r="R14" s="27"/>
      <c r="S14" s="27">
        <v>0.75073793205050099</v>
      </c>
      <c r="T14" s="27">
        <v>0.680760117164386</v>
      </c>
      <c r="U14" s="27">
        <v>0.53769229819611097</v>
      </c>
      <c r="V14" s="27">
        <v>0.675550113480891</v>
      </c>
      <c r="W14" s="27">
        <v>1</v>
      </c>
      <c r="X14" s="27">
        <v>0.74765565488149599</v>
      </c>
      <c r="Y14" s="27">
        <v>0.78440173918573997</v>
      </c>
      <c r="Z14" s="27">
        <v>0.68066998574942394</v>
      </c>
      <c r="AA14" s="27">
        <v>0.80022634988464703</v>
      </c>
      <c r="AB14" s="27"/>
      <c r="AC14" s="27">
        <v>0.66349091334469501</v>
      </c>
      <c r="AD14" s="27">
        <v>0.70785411506295204</v>
      </c>
      <c r="AE14" s="27">
        <v>0.70843422511032705</v>
      </c>
      <c r="AF14" s="27">
        <v>0.84097951475293697</v>
      </c>
      <c r="AG14" s="27">
        <v>0.92883212613930999</v>
      </c>
      <c r="AH14" s="27"/>
      <c r="AI14" s="27">
        <v>0.80313524366816402</v>
      </c>
      <c r="AJ14" s="27">
        <v>0.63221236455436702</v>
      </c>
      <c r="AK14" s="27">
        <v>0.53577409664759601</v>
      </c>
      <c r="AL14" s="27">
        <v>0.80407614073567601</v>
      </c>
      <c r="AM14" s="27">
        <v>0.78941895711312404</v>
      </c>
      <c r="AN14" s="27">
        <v>0.65596008684313001</v>
      </c>
      <c r="AO14" s="27"/>
      <c r="AP14" s="27">
        <v>0.78504628998216397</v>
      </c>
      <c r="AQ14" s="27">
        <v>0.67733889663007396</v>
      </c>
      <c r="AR14" s="27"/>
      <c r="AS14" s="27">
        <v>0.72531347041916105</v>
      </c>
      <c r="AT14" s="27" t="s">
        <v>88</v>
      </c>
      <c r="AU14" s="27" t="s">
        <v>88</v>
      </c>
      <c r="AV14" s="27"/>
      <c r="AW14" s="27">
        <v>0.71143906299079795</v>
      </c>
      <c r="AX14" s="27">
        <v>0.76870529070226901</v>
      </c>
      <c r="AY14" s="27"/>
      <c r="AZ14" s="27">
        <v>0.75611655251777699</v>
      </c>
      <c r="BA14" s="27">
        <v>0.60060247561129199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222</v>
      </c>
      <c r="D7" s="10">
        <v>96</v>
      </c>
      <c r="E7" s="10">
        <v>126</v>
      </c>
      <c r="F7" s="10"/>
      <c r="G7" s="10">
        <v>3</v>
      </c>
      <c r="H7" s="10">
        <v>74</v>
      </c>
      <c r="I7" s="10">
        <v>120</v>
      </c>
      <c r="J7" s="10">
        <v>21</v>
      </c>
      <c r="K7" s="10">
        <v>4</v>
      </c>
      <c r="L7" s="10" t="s">
        <v>87</v>
      </c>
      <c r="M7" s="10"/>
      <c r="N7" s="10">
        <v>106</v>
      </c>
      <c r="O7" s="10">
        <v>54</v>
      </c>
      <c r="P7" s="10">
        <v>33</v>
      </c>
      <c r="Q7" s="10">
        <v>29</v>
      </c>
      <c r="R7" s="10"/>
      <c r="S7" s="10">
        <v>53</v>
      </c>
      <c r="T7" s="10">
        <v>30</v>
      </c>
      <c r="U7" s="10">
        <v>21</v>
      </c>
      <c r="V7" s="10">
        <v>24</v>
      </c>
      <c r="W7" s="10">
        <v>12</v>
      </c>
      <c r="X7" s="10">
        <v>24</v>
      </c>
      <c r="Y7" s="10">
        <v>20</v>
      </c>
      <c r="Z7" s="10">
        <v>11</v>
      </c>
      <c r="AA7" s="10">
        <v>27</v>
      </c>
      <c r="AB7" s="10"/>
      <c r="AC7" s="10">
        <v>17</v>
      </c>
      <c r="AD7" s="10">
        <v>40</v>
      </c>
      <c r="AE7" s="10">
        <v>82</v>
      </c>
      <c r="AF7" s="10">
        <v>47</v>
      </c>
      <c r="AG7" s="10">
        <v>18</v>
      </c>
      <c r="AH7" s="10"/>
      <c r="AI7" s="10">
        <v>92</v>
      </c>
      <c r="AJ7" s="10">
        <v>42</v>
      </c>
      <c r="AK7" s="10">
        <v>19</v>
      </c>
      <c r="AL7" s="10">
        <v>25</v>
      </c>
      <c r="AM7" s="10">
        <v>15</v>
      </c>
      <c r="AN7" s="10">
        <v>14</v>
      </c>
      <c r="AO7" s="10"/>
      <c r="AP7" s="10">
        <v>107</v>
      </c>
      <c r="AQ7" s="10">
        <v>115</v>
      </c>
      <c r="AR7" s="10"/>
      <c r="AS7" s="10">
        <v>222</v>
      </c>
      <c r="AT7" s="10" t="s">
        <v>87</v>
      </c>
      <c r="AU7" s="10" t="s">
        <v>87</v>
      </c>
      <c r="AV7" s="10"/>
      <c r="AW7" s="10">
        <v>151</v>
      </c>
      <c r="AX7" s="10">
        <v>68</v>
      </c>
      <c r="AY7" s="10"/>
      <c r="AZ7" s="10">
        <v>182</v>
      </c>
      <c r="BA7" s="10">
        <v>40</v>
      </c>
    </row>
    <row r="8" spans="2:53" ht="30" customHeight="1" x14ac:dyDescent="0.35">
      <c r="B8" s="11" t="s">
        <v>19</v>
      </c>
      <c r="C8" s="11">
        <v>211</v>
      </c>
      <c r="D8" s="11">
        <v>109</v>
      </c>
      <c r="E8" s="11">
        <v>102</v>
      </c>
      <c r="F8" s="11"/>
      <c r="G8" s="11">
        <v>3</v>
      </c>
      <c r="H8" s="11">
        <v>56</v>
      </c>
      <c r="I8" s="11">
        <v>127</v>
      </c>
      <c r="J8" s="11">
        <v>21</v>
      </c>
      <c r="K8" s="11">
        <v>4</v>
      </c>
      <c r="L8" s="11" t="s">
        <v>87</v>
      </c>
      <c r="M8" s="11"/>
      <c r="N8" s="11">
        <v>62</v>
      </c>
      <c r="O8" s="11">
        <v>57</v>
      </c>
      <c r="P8" s="11">
        <v>48</v>
      </c>
      <c r="Q8" s="11">
        <v>43</v>
      </c>
      <c r="R8" s="11"/>
      <c r="S8" s="11">
        <v>46</v>
      </c>
      <c r="T8" s="11">
        <v>33</v>
      </c>
      <c r="U8" s="11">
        <v>23</v>
      </c>
      <c r="V8" s="11">
        <v>29</v>
      </c>
      <c r="W8" s="11">
        <v>13</v>
      </c>
      <c r="X8" s="11">
        <v>17</v>
      </c>
      <c r="Y8" s="11">
        <v>19</v>
      </c>
      <c r="Z8" s="11">
        <v>10</v>
      </c>
      <c r="AA8" s="11">
        <v>21</v>
      </c>
      <c r="AB8" s="11"/>
      <c r="AC8" s="11">
        <v>23</v>
      </c>
      <c r="AD8" s="11">
        <v>47</v>
      </c>
      <c r="AE8" s="11">
        <v>78</v>
      </c>
      <c r="AF8" s="11">
        <v>34</v>
      </c>
      <c r="AG8" s="11">
        <v>10</v>
      </c>
      <c r="AH8" s="11"/>
      <c r="AI8" s="11">
        <v>81</v>
      </c>
      <c r="AJ8" s="11">
        <v>44</v>
      </c>
      <c r="AK8" s="11">
        <v>18</v>
      </c>
      <c r="AL8" s="11">
        <v>25</v>
      </c>
      <c r="AM8" s="11">
        <v>14</v>
      </c>
      <c r="AN8" s="11">
        <v>12</v>
      </c>
      <c r="AO8" s="11"/>
      <c r="AP8" s="11">
        <v>94</v>
      </c>
      <c r="AQ8" s="11">
        <v>117</v>
      </c>
      <c r="AR8" s="11"/>
      <c r="AS8" s="11">
        <v>211</v>
      </c>
      <c r="AT8" s="11" t="s">
        <v>87</v>
      </c>
      <c r="AU8" s="11" t="s">
        <v>87</v>
      </c>
      <c r="AV8" s="11"/>
      <c r="AW8" s="11">
        <v>156</v>
      </c>
      <c r="AX8" s="11">
        <v>52</v>
      </c>
      <c r="AY8" s="11"/>
      <c r="AZ8" s="11">
        <v>169</v>
      </c>
      <c r="BA8" s="11">
        <v>42</v>
      </c>
    </row>
    <row r="9" spans="2:53" x14ac:dyDescent="0.35">
      <c r="B9" s="15" t="s">
        <v>226</v>
      </c>
      <c r="C9" s="14">
        <v>0.332817701580506</v>
      </c>
      <c r="D9" s="14">
        <v>0.35307199906627401</v>
      </c>
      <c r="E9" s="14">
        <v>0.31102615791027499</v>
      </c>
      <c r="F9" s="14"/>
      <c r="G9" s="14">
        <v>0.56339286041068704</v>
      </c>
      <c r="H9" s="14">
        <v>0.34893362566820602</v>
      </c>
      <c r="I9" s="14">
        <v>0.334865514102414</v>
      </c>
      <c r="J9" s="14">
        <v>0.270307778296481</v>
      </c>
      <c r="K9" s="14">
        <v>0.21705384553578599</v>
      </c>
      <c r="L9" s="14" t="s">
        <v>88</v>
      </c>
      <c r="M9" s="14"/>
      <c r="N9" s="14">
        <v>0.281244037116055</v>
      </c>
      <c r="O9" s="14">
        <v>0.25060295054626702</v>
      </c>
      <c r="P9" s="14">
        <v>0.340637172896253</v>
      </c>
      <c r="Q9" s="14">
        <v>0.50659151737806696</v>
      </c>
      <c r="R9" s="14"/>
      <c r="S9" s="14">
        <v>0.42095634054133502</v>
      </c>
      <c r="T9" s="14">
        <v>0.22387723349567001</v>
      </c>
      <c r="U9" s="14">
        <v>0.174332904658756</v>
      </c>
      <c r="V9" s="14">
        <v>0.41751282305404003</v>
      </c>
      <c r="W9" s="14">
        <v>0.47325526105667798</v>
      </c>
      <c r="X9" s="14">
        <v>0.44571773554880301</v>
      </c>
      <c r="Y9" s="14">
        <v>0.27559817881131699</v>
      </c>
      <c r="Z9" s="14">
        <v>0.30127607910017101</v>
      </c>
      <c r="AA9" s="14">
        <v>0.25947808804547701</v>
      </c>
      <c r="AB9" s="14"/>
      <c r="AC9" s="14">
        <v>0.23155058081515301</v>
      </c>
      <c r="AD9" s="14">
        <v>0.31581126017859001</v>
      </c>
      <c r="AE9" s="14">
        <v>0.35584427363619198</v>
      </c>
      <c r="AF9" s="14">
        <v>0.30539014850430302</v>
      </c>
      <c r="AG9" s="14">
        <v>0.62068079630380102</v>
      </c>
      <c r="AH9" s="14"/>
      <c r="AI9" s="14">
        <v>0.362365769157656</v>
      </c>
      <c r="AJ9" s="14">
        <v>0.31502798053837</v>
      </c>
      <c r="AK9" s="14">
        <v>0.30724534561126698</v>
      </c>
      <c r="AL9" s="14">
        <v>0.212432298452566</v>
      </c>
      <c r="AM9" s="14">
        <v>0.384395932433092</v>
      </c>
      <c r="AN9" s="14">
        <v>0.35482861744623201</v>
      </c>
      <c r="AO9" s="14"/>
      <c r="AP9" s="14">
        <v>0.35340177887617003</v>
      </c>
      <c r="AQ9" s="14">
        <v>0.31628554484781601</v>
      </c>
      <c r="AR9" s="14"/>
      <c r="AS9" s="14">
        <v>0.332817701580506</v>
      </c>
      <c r="AT9" s="14" t="s">
        <v>88</v>
      </c>
      <c r="AU9" s="14" t="s">
        <v>88</v>
      </c>
      <c r="AV9" s="14"/>
      <c r="AW9" s="14">
        <v>0.31039333901720201</v>
      </c>
      <c r="AX9" s="14">
        <v>0.41712502098743298</v>
      </c>
      <c r="AY9" s="14"/>
      <c r="AZ9" s="14">
        <v>0.36570158055642699</v>
      </c>
      <c r="BA9" s="14">
        <v>0.19968228197868401</v>
      </c>
    </row>
    <row r="10" spans="2:53" x14ac:dyDescent="0.35">
      <c r="B10" s="15" t="s">
        <v>227</v>
      </c>
      <c r="C10" s="14">
        <v>0.355356562165415</v>
      </c>
      <c r="D10" s="14">
        <v>0.32762729990514999</v>
      </c>
      <c r="E10" s="14">
        <v>0.385190400140416</v>
      </c>
      <c r="F10" s="14"/>
      <c r="G10" s="14">
        <v>0</v>
      </c>
      <c r="H10" s="14">
        <v>0.39033163083148398</v>
      </c>
      <c r="I10" s="14">
        <v>0.31859069561551401</v>
      </c>
      <c r="J10" s="14">
        <v>0.509359415162704</v>
      </c>
      <c r="K10" s="14">
        <v>0.459861398080882</v>
      </c>
      <c r="L10" s="14" t="s">
        <v>88</v>
      </c>
      <c r="M10" s="14"/>
      <c r="N10" s="14">
        <v>0.51411674064343704</v>
      </c>
      <c r="O10" s="14">
        <v>0.33879854325192599</v>
      </c>
      <c r="P10" s="14">
        <v>0.27392575277765902</v>
      </c>
      <c r="Q10" s="14">
        <v>0.23977390424783901</v>
      </c>
      <c r="R10" s="14"/>
      <c r="S10" s="14">
        <v>0.287820750088773</v>
      </c>
      <c r="T10" s="14">
        <v>0.49390042494258102</v>
      </c>
      <c r="U10" s="14">
        <v>0.210770818332431</v>
      </c>
      <c r="V10" s="14">
        <v>0.27477322965187401</v>
      </c>
      <c r="W10" s="14">
        <v>0.251677824844182</v>
      </c>
      <c r="X10" s="14">
        <v>0.294094866037305</v>
      </c>
      <c r="Y10" s="14">
        <v>0.52427568536791702</v>
      </c>
      <c r="Z10" s="14">
        <v>0.32349296507813702</v>
      </c>
      <c r="AA10" s="14">
        <v>0.53188345071888499</v>
      </c>
      <c r="AB10" s="14"/>
      <c r="AC10" s="14">
        <v>0.431940332529542</v>
      </c>
      <c r="AD10" s="14">
        <v>0.24466886162726101</v>
      </c>
      <c r="AE10" s="14">
        <v>0.35113650180169398</v>
      </c>
      <c r="AF10" s="14">
        <v>0.46305284527611101</v>
      </c>
      <c r="AG10" s="14">
        <v>0.27559731937512499</v>
      </c>
      <c r="AH10" s="14"/>
      <c r="AI10" s="14">
        <v>0.382779462363391</v>
      </c>
      <c r="AJ10" s="14">
        <v>0.31876866735168602</v>
      </c>
      <c r="AK10" s="14">
        <v>0.37767143202964498</v>
      </c>
      <c r="AL10" s="14">
        <v>0.37332987731160899</v>
      </c>
      <c r="AM10" s="14">
        <v>0.385791341803701</v>
      </c>
      <c r="AN10" s="14">
        <v>0.41697770780855797</v>
      </c>
      <c r="AO10" s="14"/>
      <c r="AP10" s="14">
        <v>0.41354027132505</v>
      </c>
      <c r="AQ10" s="14">
        <v>0.30862616053993203</v>
      </c>
      <c r="AR10" s="14"/>
      <c r="AS10" s="14">
        <v>0.355356562165415</v>
      </c>
      <c r="AT10" s="14" t="s">
        <v>88</v>
      </c>
      <c r="AU10" s="14" t="s">
        <v>88</v>
      </c>
      <c r="AV10" s="14"/>
      <c r="AW10" s="14">
        <v>0.36390152035156897</v>
      </c>
      <c r="AX10" s="14">
        <v>0.329540805923971</v>
      </c>
      <c r="AY10" s="14"/>
      <c r="AZ10" s="14">
        <v>0.345212784375244</v>
      </c>
      <c r="BA10" s="14">
        <v>0.39642519988394498</v>
      </c>
    </row>
    <row r="11" spans="2:53" x14ac:dyDescent="0.35">
      <c r="B11" s="15" t="s">
        <v>228</v>
      </c>
      <c r="C11" s="14">
        <v>0.21863442222533999</v>
      </c>
      <c r="D11" s="14">
        <v>0.26170219490412799</v>
      </c>
      <c r="E11" s="14">
        <v>0.17229792253835199</v>
      </c>
      <c r="F11" s="14"/>
      <c r="G11" s="14">
        <v>0.43660713958931302</v>
      </c>
      <c r="H11" s="14">
        <v>0.195541188182111</v>
      </c>
      <c r="I11" s="14">
        <v>0.24543348654066799</v>
      </c>
      <c r="J11" s="14">
        <v>0.13264851144144299</v>
      </c>
      <c r="K11" s="14">
        <v>0</v>
      </c>
      <c r="L11" s="14" t="s">
        <v>88</v>
      </c>
      <c r="M11" s="14"/>
      <c r="N11" s="14">
        <v>0.135579212337154</v>
      </c>
      <c r="O11" s="14">
        <v>0.33008426448350803</v>
      </c>
      <c r="P11" s="14">
        <v>0.21303710201953699</v>
      </c>
      <c r="Q11" s="14">
        <v>0.196894391151127</v>
      </c>
      <c r="R11" s="14"/>
      <c r="S11" s="14">
        <v>0.20597377186422999</v>
      </c>
      <c r="T11" s="14">
        <v>0.238830873461153</v>
      </c>
      <c r="U11" s="14">
        <v>0.49195938575582399</v>
      </c>
      <c r="V11" s="14">
        <v>0.21664826094269099</v>
      </c>
      <c r="W11" s="14">
        <v>0.11386286270262901</v>
      </c>
      <c r="X11" s="14">
        <v>6.7079207177502306E-2</v>
      </c>
      <c r="Y11" s="14">
        <v>9.0025226415499301E-2</v>
      </c>
      <c r="Z11" s="14">
        <v>0.37523095582169202</v>
      </c>
      <c r="AA11" s="14">
        <v>0.13930200466692499</v>
      </c>
      <c r="AB11" s="14"/>
      <c r="AC11" s="14">
        <v>0.27239554005671301</v>
      </c>
      <c r="AD11" s="14">
        <v>0.35302118675045302</v>
      </c>
      <c r="AE11" s="14">
        <v>0.208425233401934</v>
      </c>
      <c r="AF11" s="14">
        <v>0.122028886011771</v>
      </c>
      <c r="AG11" s="14">
        <v>8.7029286719085899E-2</v>
      </c>
      <c r="AH11" s="14"/>
      <c r="AI11" s="14">
        <v>0.191714168114448</v>
      </c>
      <c r="AJ11" s="14">
        <v>0.30585298794634003</v>
      </c>
      <c r="AK11" s="14">
        <v>0.24176117576871101</v>
      </c>
      <c r="AL11" s="14">
        <v>0.26215401669286498</v>
      </c>
      <c r="AM11" s="14">
        <v>1.9231682876331799E-2</v>
      </c>
      <c r="AN11" s="14">
        <v>8.6338062127900503E-2</v>
      </c>
      <c r="AO11" s="14"/>
      <c r="AP11" s="14">
        <v>0.16978219837988101</v>
      </c>
      <c r="AQ11" s="14">
        <v>0.257870216463429</v>
      </c>
      <c r="AR11" s="14"/>
      <c r="AS11" s="14">
        <v>0.21863442222533999</v>
      </c>
      <c r="AT11" s="14" t="s">
        <v>88</v>
      </c>
      <c r="AU11" s="14" t="s">
        <v>88</v>
      </c>
      <c r="AV11" s="14"/>
      <c r="AW11" s="14">
        <v>0.218914679633643</v>
      </c>
      <c r="AX11" s="14">
        <v>0.19624894958771</v>
      </c>
      <c r="AY11" s="14"/>
      <c r="AZ11" s="14">
        <v>0.210217074126545</v>
      </c>
      <c r="BA11" s="14">
        <v>0.25271334496703401</v>
      </c>
    </row>
    <row r="12" spans="2:53" x14ac:dyDescent="0.35">
      <c r="B12" s="15" t="s">
        <v>229</v>
      </c>
      <c r="C12" s="14">
        <v>1.86163699197581E-2</v>
      </c>
      <c r="D12" s="14">
        <v>2.9634879637152399E-3</v>
      </c>
      <c r="E12" s="14">
        <v>3.5457263115376003E-2</v>
      </c>
      <c r="F12" s="14"/>
      <c r="G12" s="14">
        <v>0</v>
      </c>
      <c r="H12" s="14">
        <v>5.8092598671595601E-3</v>
      </c>
      <c r="I12" s="14">
        <v>1.8730562108017101E-2</v>
      </c>
      <c r="J12" s="14">
        <v>5.7379871535128898E-2</v>
      </c>
      <c r="K12" s="14">
        <v>0</v>
      </c>
      <c r="L12" s="14" t="s">
        <v>88</v>
      </c>
      <c r="M12" s="14"/>
      <c r="N12" s="14">
        <v>1.3606596222989299E-2</v>
      </c>
      <c r="O12" s="14">
        <v>1.5117850458816201E-2</v>
      </c>
      <c r="P12" s="14">
        <v>4.6061861546766503E-2</v>
      </c>
      <c r="Q12" s="14">
        <v>0</v>
      </c>
      <c r="R12" s="14"/>
      <c r="S12" s="14">
        <v>5.2416014828600303E-2</v>
      </c>
      <c r="T12" s="14">
        <v>0</v>
      </c>
      <c r="U12" s="14">
        <v>0</v>
      </c>
      <c r="V12" s="14">
        <v>0</v>
      </c>
      <c r="W12" s="14">
        <v>0</v>
      </c>
      <c r="X12" s="14">
        <v>9.0520948088061298E-2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2.2419670835775202E-2</v>
      </c>
      <c r="AF12" s="14">
        <v>3.5155061476347303E-2</v>
      </c>
      <c r="AG12" s="14">
        <v>0</v>
      </c>
      <c r="AH12" s="14"/>
      <c r="AI12" s="14">
        <v>3.9749313646988303E-3</v>
      </c>
      <c r="AJ12" s="14">
        <v>4.2053578208695999E-2</v>
      </c>
      <c r="AK12" s="14">
        <v>0</v>
      </c>
      <c r="AL12" s="14">
        <v>4.8650067166265201E-2</v>
      </c>
      <c r="AM12" s="14">
        <v>0</v>
      </c>
      <c r="AN12" s="14">
        <v>4.4541916705402002E-2</v>
      </c>
      <c r="AO12" s="14"/>
      <c r="AP12" s="14">
        <v>1.95431682989562E-2</v>
      </c>
      <c r="AQ12" s="14">
        <v>1.7872009322757398E-2</v>
      </c>
      <c r="AR12" s="14"/>
      <c r="AS12" s="14">
        <v>1.86163699197581E-2</v>
      </c>
      <c r="AT12" s="14" t="s">
        <v>88</v>
      </c>
      <c r="AU12" s="14" t="s">
        <v>88</v>
      </c>
      <c r="AV12" s="14"/>
      <c r="AW12" s="14">
        <v>2.30559751096138E-2</v>
      </c>
      <c r="AX12" s="14">
        <v>6.2279307469426297E-3</v>
      </c>
      <c r="AY12" s="14"/>
      <c r="AZ12" s="14">
        <v>1.73645277675075E-2</v>
      </c>
      <c r="BA12" s="14">
        <v>2.3684644569995E-2</v>
      </c>
    </row>
    <row r="13" spans="2:53" x14ac:dyDescent="0.35">
      <c r="B13" s="15" t="s">
        <v>116</v>
      </c>
      <c r="C13" s="23">
        <v>2.94295846825567E-2</v>
      </c>
      <c r="D13" s="23">
        <v>7.8192346290195305E-3</v>
      </c>
      <c r="E13" s="23">
        <v>5.26801016284816E-2</v>
      </c>
      <c r="F13" s="23"/>
      <c r="G13" s="23">
        <v>0</v>
      </c>
      <c r="H13" s="23">
        <v>2.72845263673142E-2</v>
      </c>
      <c r="I13" s="23">
        <v>3.1818720302641199E-2</v>
      </c>
      <c r="J13" s="23">
        <v>3.0304423564244301E-2</v>
      </c>
      <c r="K13" s="23">
        <v>0</v>
      </c>
      <c r="L13" s="23" t="s">
        <v>88</v>
      </c>
      <c r="M13" s="23"/>
      <c r="N13" s="23">
        <v>2.41391001732345E-2</v>
      </c>
      <c r="O13" s="23">
        <v>1.22096415967245E-2</v>
      </c>
      <c r="P13" s="23">
        <v>5.9584903074288702E-2</v>
      </c>
      <c r="Q13" s="23">
        <v>2.6317302198924399E-2</v>
      </c>
      <c r="R13" s="23"/>
      <c r="S13" s="23">
        <v>1.40468871265781E-2</v>
      </c>
      <c r="T13" s="23">
        <v>0</v>
      </c>
      <c r="U13" s="23">
        <v>6.5958608953062797E-2</v>
      </c>
      <c r="V13" s="23">
        <v>4.5934185763258903E-2</v>
      </c>
      <c r="W13" s="23">
        <v>0</v>
      </c>
      <c r="X13" s="23">
        <v>9.3011222407926405E-2</v>
      </c>
      <c r="Y13" s="23">
        <v>6.1477905017497801E-2</v>
      </c>
      <c r="Z13" s="23">
        <v>0</v>
      </c>
      <c r="AA13" s="23">
        <v>0</v>
      </c>
      <c r="AB13" s="23"/>
      <c r="AC13" s="23">
        <v>0</v>
      </c>
      <c r="AD13" s="23">
        <v>0</v>
      </c>
      <c r="AE13" s="23">
        <v>3.0482475134959101E-2</v>
      </c>
      <c r="AF13" s="23">
        <v>6.0365226042873303E-2</v>
      </c>
      <c r="AG13" s="23">
        <v>0</v>
      </c>
      <c r="AH13" s="23"/>
      <c r="AI13" s="23">
        <v>0</v>
      </c>
      <c r="AJ13" s="23">
        <v>1.46701820562472E-2</v>
      </c>
      <c r="AK13" s="23">
        <v>0</v>
      </c>
      <c r="AL13" s="23">
        <v>2.77525211001871E-2</v>
      </c>
      <c r="AM13" s="23">
        <v>0.21058104288687601</v>
      </c>
      <c r="AN13" s="23">
        <v>9.73136959119075E-2</v>
      </c>
      <c r="AO13" s="23"/>
      <c r="AP13" s="23">
        <v>9.0983698325648107E-3</v>
      </c>
      <c r="AQ13" s="23">
        <v>4.57586542657182E-2</v>
      </c>
      <c r="AR13" s="23"/>
      <c r="AS13" s="23">
        <v>2.94295846825567E-2</v>
      </c>
      <c r="AT13" s="23" t="s">
        <v>88</v>
      </c>
      <c r="AU13" s="23" t="s">
        <v>88</v>
      </c>
      <c r="AV13" s="23"/>
      <c r="AW13" s="23">
        <v>3.9725399978389898E-2</v>
      </c>
      <c r="AX13" s="23">
        <v>0</v>
      </c>
      <c r="AY13" s="23"/>
      <c r="AZ13" s="23">
        <v>1.3011057266112199E-2</v>
      </c>
      <c r="BA13" s="23">
        <v>9.5902507126802705E-2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BA17"/>
  <sheetViews>
    <sheetView showGridLines="0" workbookViewId="0">
      <pane xSplit="2" topLeftCell="C1" activePane="topRight" state="frozen"/>
      <selection pane="topRight" activeCell="B8" sqref="B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222</v>
      </c>
      <c r="D7" s="10">
        <v>96</v>
      </c>
      <c r="E7" s="10">
        <v>126</v>
      </c>
      <c r="F7" s="10"/>
      <c r="G7" s="10">
        <v>3</v>
      </c>
      <c r="H7" s="10">
        <v>74</v>
      </c>
      <c r="I7" s="10">
        <v>120</v>
      </c>
      <c r="J7" s="10">
        <v>21</v>
      </c>
      <c r="K7" s="10">
        <v>4</v>
      </c>
      <c r="L7" s="10" t="s">
        <v>87</v>
      </c>
      <c r="M7" s="10"/>
      <c r="N7" s="10">
        <v>106</v>
      </c>
      <c r="O7" s="10">
        <v>54</v>
      </c>
      <c r="P7" s="10">
        <v>33</v>
      </c>
      <c r="Q7" s="10">
        <v>29</v>
      </c>
      <c r="R7" s="10"/>
      <c r="S7" s="10">
        <v>53</v>
      </c>
      <c r="T7" s="10">
        <v>30</v>
      </c>
      <c r="U7" s="10">
        <v>21</v>
      </c>
      <c r="V7" s="10">
        <v>24</v>
      </c>
      <c r="W7" s="10">
        <v>12</v>
      </c>
      <c r="X7" s="10">
        <v>24</v>
      </c>
      <c r="Y7" s="10">
        <v>20</v>
      </c>
      <c r="Z7" s="10">
        <v>11</v>
      </c>
      <c r="AA7" s="10">
        <v>27</v>
      </c>
      <c r="AB7" s="10"/>
      <c r="AC7" s="10">
        <v>17</v>
      </c>
      <c r="AD7" s="10">
        <v>40</v>
      </c>
      <c r="AE7" s="10">
        <v>82</v>
      </c>
      <c r="AF7" s="10">
        <v>47</v>
      </c>
      <c r="AG7" s="10">
        <v>18</v>
      </c>
      <c r="AH7" s="10"/>
      <c r="AI7" s="10">
        <v>92</v>
      </c>
      <c r="AJ7" s="10">
        <v>42</v>
      </c>
      <c r="AK7" s="10">
        <v>19</v>
      </c>
      <c r="AL7" s="10">
        <v>25</v>
      </c>
      <c r="AM7" s="10">
        <v>15</v>
      </c>
      <c r="AN7" s="10">
        <v>14</v>
      </c>
      <c r="AO7" s="10"/>
      <c r="AP7" s="10">
        <v>107</v>
      </c>
      <c r="AQ7" s="10">
        <v>115</v>
      </c>
      <c r="AR7" s="10"/>
      <c r="AS7" s="10">
        <v>222</v>
      </c>
      <c r="AT7" s="10" t="s">
        <v>87</v>
      </c>
      <c r="AU7" s="10" t="s">
        <v>87</v>
      </c>
      <c r="AV7" s="10"/>
      <c r="AW7" s="10">
        <v>151</v>
      </c>
      <c r="AX7" s="10">
        <v>68</v>
      </c>
      <c r="AY7" s="10"/>
      <c r="AZ7" s="10">
        <v>182</v>
      </c>
      <c r="BA7" s="10">
        <v>40</v>
      </c>
    </row>
    <row r="8" spans="2:53" ht="30" customHeight="1" x14ac:dyDescent="0.35">
      <c r="B8" s="11" t="s">
        <v>19</v>
      </c>
      <c r="C8" s="11">
        <v>211</v>
      </c>
      <c r="D8" s="11">
        <v>109</v>
      </c>
      <c r="E8" s="11">
        <v>102</v>
      </c>
      <c r="F8" s="11"/>
      <c r="G8" s="11">
        <v>3</v>
      </c>
      <c r="H8" s="11">
        <v>56</v>
      </c>
      <c r="I8" s="11">
        <v>127</v>
      </c>
      <c r="J8" s="11">
        <v>21</v>
      </c>
      <c r="K8" s="11">
        <v>4</v>
      </c>
      <c r="L8" s="11" t="s">
        <v>87</v>
      </c>
      <c r="M8" s="11"/>
      <c r="N8" s="11">
        <v>62</v>
      </c>
      <c r="O8" s="11">
        <v>57</v>
      </c>
      <c r="P8" s="11">
        <v>48</v>
      </c>
      <c r="Q8" s="11">
        <v>43</v>
      </c>
      <c r="R8" s="11"/>
      <c r="S8" s="11">
        <v>46</v>
      </c>
      <c r="T8" s="11">
        <v>33</v>
      </c>
      <c r="U8" s="11">
        <v>23</v>
      </c>
      <c r="V8" s="11">
        <v>29</v>
      </c>
      <c r="W8" s="11">
        <v>13</v>
      </c>
      <c r="X8" s="11">
        <v>17</v>
      </c>
      <c r="Y8" s="11">
        <v>19</v>
      </c>
      <c r="Z8" s="11">
        <v>10</v>
      </c>
      <c r="AA8" s="11">
        <v>21</v>
      </c>
      <c r="AB8" s="11"/>
      <c r="AC8" s="11">
        <v>23</v>
      </c>
      <c r="AD8" s="11">
        <v>47</v>
      </c>
      <c r="AE8" s="11">
        <v>78</v>
      </c>
      <c r="AF8" s="11">
        <v>34</v>
      </c>
      <c r="AG8" s="11">
        <v>10</v>
      </c>
      <c r="AH8" s="11"/>
      <c r="AI8" s="11">
        <v>81</v>
      </c>
      <c r="AJ8" s="11">
        <v>44</v>
      </c>
      <c r="AK8" s="11">
        <v>18</v>
      </c>
      <c r="AL8" s="11">
        <v>25</v>
      </c>
      <c r="AM8" s="11">
        <v>14</v>
      </c>
      <c r="AN8" s="11">
        <v>12</v>
      </c>
      <c r="AO8" s="11"/>
      <c r="AP8" s="11">
        <v>94</v>
      </c>
      <c r="AQ8" s="11">
        <v>117</v>
      </c>
      <c r="AR8" s="11"/>
      <c r="AS8" s="11">
        <v>211</v>
      </c>
      <c r="AT8" s="11" t="s">
        <v>87</v>
      </c>
      <c r="AU8" s="11" t="s">
        <v>87</v>
      </c>
      <c r="AV8" s="11"/>
      <c r="AW8" s="11">
        <v>156</v>
      </c>
      <c r="AX8" s="11">
        <v>52</v>
      </c>
      <c r="AY8" s="11"/>
      <c r="AZ8" s="11">
        <v>169</v>
      </c>
      <c r="BA8" s="11">
        <v>42</v>
      </c>
    </row>
    <row r="9" spans="2:53" ht="29" x14ac:dyDescent="0.35">
      <c r="B9" s="15" t="s">
        <v>231</v>
      </c>
      <c r="C9" s="14">
        <v>0.11573534040940101</v>
      </c>
      <c r="D9" s="14">
        <v>0.12739577684787201</v>
      </c>
      <c r="E9" s="14">
        <v>0.10318990850580401</v>
      </c>
      <c r="F9" s="14"/>
      <c r="G9" s="14">
        <v>0.37716264988800002</v>
      </c>
      <c r="H9" s="14">
        <v>0.119643516302897</v>
      </c>
      <c r="I9" s="14">
        <v>0.11596410604973099</v>
      </c>
      <c r="J9" s="14">
        <v>3.0304423564244301E-2</v>
      </c>
      <c r="K9" s="14">
        <v>0.32308475638333201</v>
      </c>
      <c r="L9" s="14" t="s">
        <v>88</v>
      </c>
      <c r="M9" s="14"/>
      <c r="N9" s="14">
        <v>0.13870170886841501</v>
      </c>
      <c r="O9" s="14">
        <v>8.9833606482246503E-2</v>
      </c>
      <c r="P9" s="14">
        <v>0.12901875184950601</v>
      </c>
      <c r="Q9" s="14">
        <v>0.10225381407276</v>
      </c>
      <c r="R9" s="14"/>
      <c r="S9" s="14">
        <v>0.149088642786534</v>
      </c>
      <c r="T9" s="14">
        <v>0.108281012707407</v>
      </c>
      <c r="U9" s="14">
        <v>0.39393294451327399</v>
      </c>
      <c r="V9" s="14">
        <v>0</v>
      </c>
      <c r="W9" s="14">
        <v>7.8111218052948198E-2</v>
      </c>
      <c r="X9" s="14">
        <v>0.109372116669017</v>
      </c>
      <c r="Y9" s="14">
        <v>0</v>
      </c>
      <c r="Z9" s="14">
        <v>5.5900941571115803E-2</v>
      </c>
      <c r="AA9" s="14">
        <v>6.9336456568712498E-2</v>
      </c>
      <c r="AB9" s="14"/>
      <c r="AC9" s="14">
        <v>7.8030980062482699E-2</v>
      </c>
      <c r="AD9" s="14">
        <v>7.6048459999620302E-2</v>
      </c>
      <c r="AE9" s="14">
        <v>0.15580348851546999</v>
      </c>
      <c r="AF9" s="14">
        <v>0.19424868084762401</v>
      </c>
      <c r="AG9" s="14">
        <v>3.3806675766566902E-2</v>
      </c>
      <c r="AH9" s="14"/>
      <c r="AI9" s="14">
        <v>7.8875891627125896E-2</v>
      </c>
      <c r="AJ9" s="14">
        <v>0.20397873318304599</v>
      </c>
      <c r="AK9" s="14">
        <v>0.172409478792175</v>
      </c>
      <c r="AL9" s="14">
        <v>9.7698312415872998E-2</v>
      </c>
      <c r="AM9" s="14">
        <v>0.25246568985391998</v>
      </c>
      <c r="AN9" s="14">
        <v>0</v>
      </c>
      <c r="AO9" s="14"/>
      <c r="AP9" s="14">
        <v>4.5414797288420801E-2</v>
      </c>
      <c r="AQ9" s="14">
        <v>0.17221347269123299</v>
      </c>
      <c r="AR9" s="14"/>
      <c r="AS9" s="14">
        <v>0.11573534040940101</v>
      </c>
      <c r="AT9" s="14" t="s">
        <v>88</v>
      </c>
      <c r="AU9" s="14" t="s">
        <v>88</v>
      </c>
      <c r="AV9" s="14"/>
      <c r="AW9" s="14">
        <v>7.9717085601563903E-2</v>
      </c>
      <c r="AX9" s="14">
        <v>0.22982489399945799</v>
      </c>
      <c r="AY9" s="14"/>
      <c r="AZ9" s="14">
        <v>0.122972166915516</v>
      </c>
      <c r="BA9" s="14">
        <v>8.6435940111074097E-2</v>
      </c>
    </row>
    <row r="10" spans="2:53" ht="29" x14ac:dyDescent="0.35">
      <c r="B10" s="15" t="s">
        <v>232</v>
      </c>
      <c r="C10" s="14">
        <v>0.72084279246079797</v>
      </c>
      <c r="D10" s="14">
        <v>0.70628613977566201</v>
      </c>
      <c r="E10" s="14">
        <v>0.73650425556034105</v>
      </c>
      <c r="F10" s="14"/>
      <c r="G10" s="14">
        <v>0.62283735011200003</v>
      </c>
      <c r="H10" s="14">
        <v>0.685246156379414</v>
      </c>
      <c r="I10" s="14">
        <v>0.73803232559990894</v>
      </c>
      <c r="J10" s="14">
        <v>0.73287655234757798</v>
      </c>
      <c r="K10" s="14">
        <v>0.67691524361666799</v>
      </c>
      <c r="L10" s="14" t="s">
        <v>88</v>
      </c>
      <c r="M10" s="14"/>
      <c r="N10" s="14">
        <v>0.70718413343800102</v>
      </c>
      <c r="O10" s="14">
        <v>0.842384662533472</v>
      </c>
      <c r="P10" s="14">
        <v>0.60358764853542002</v>
      </c>
      <c r="Q10" s="14">
        <v>0.71001240867932103</v>
      </c>
      <c r="R10" s="14"/>
      <c r="S10" s="14">
        <v>0.62917826445678904</v>
      </c>
      <c r="T10" s="14">
        <v>0.87188302687077601</v>
      </c>
      <c r="U10" s="14">
        <v>0.496813014570744</v>
      </c>
      <c r="V10" s="14">
        <v>0.79165514297455497</v>
      </c>
      <c r="W10" s="14">
        <v>0.80802591924442202</v>
      </c>
      <c r="X10" s="14">
        <v>0.76633186671710896</v>
      </c>
      <c r="Y10" s="14">
        <v>0.65343989556642801</v>
      </c>
      <c r="Z10" s="14">
        <v>0.83825352222569105</v>
      </c>
      <c r="AA10" s="14">
        <v>0.74363019150778598</v>
      </c>
      <c r="AB10" s="14"/>
      <c r="AC10" s="14">
        <v>0.72447678049092001</v>
      </c>
      <c r="AD10" s="14">
        <v>0.80974522251075598</v>
      </c>
      <c r="AE10" s="14">
        <v>0.73182885394916997</v>
      </c>
      <c r="AF10" s="14">
        <v>0.54215489579931997</v>
      </c>
      <c r="AG10" s="14">
        <v>0.86341649403982501</v>
      </c>
      <c r="AH10" s="14"/>
      <c r="AI10" s="14">
        <v>0.756545750037241</v>
      </c>
      <c r="AJ10" s="14">
        <v>0.58769998726148098</v>
      </c>
      <c r="AK10" s="14">
        <v>0.73619668762506496</v>
      </c>
      <c r="AL10" s="14">
        <v>0.74882954845320104</v>
      </c>
      <c r="AM10" s="14">
        <v>0.64879401031094097</v>
      </c>
      <c r="AN10" s="14">
        <v>0.64490758227497502</v>
      </c>
      <c r="AO10" s="14"/>
      <c r="AP10" s="14">
        <v>0.8442151893516</v>
      </c>
      <c r="AQ10" s="14">
        <v>0.62175592193509899</v>
      </c>
      <c r="AR10" s="14"/>
      <c r="AS10" s="14">
        <v>0.72084279246079797</v>
      </c>
      <c r="AT10" s="14" t="s">
        <v>88</v>
      </c>
      <c r="AU10" s="14" t="s">
        <v>88</v>
      </c>
      <c r="AV10" s="14"/>
      <c r="AW10" s="14">
        <v>0.75217947921185302</v>
      </c>
      <c r="AX10" s="14">
        <v>0.61249556291779494</v>
      </c>
      <c r="AY10" s="14"/>
      <c r="AZ10" s="14">
        <v>0.69940051090175803</v>
      </c>
      <c r="BA10" s="14">
        <v>0.80765515284788902</v>
      </c>
    </row>
    <row r="11" spans="2:53" ht="29" x14ac:dyDescent="0.35">
      <c r="B11" s="15" t="s">
        <v>233</v>
      </c>
      <c r="C11" s="14">
        <v>0.12186863663144799</v>
      </c>
      <c r="D11" s="14">
        <v>0.14320477902150999</v>
      </c>
      <c r="E11" s="14">
        <v>9.8913138966125094E-2</v>
      </c>
      <c r="F11" s="14"/>
      <c r="G11" s="14">
        <v>0</v>
      </c>
      <c r="H11" s="14">
        <v>0.191558683715919</v>
      </c>
      <c r="I11" s="14">
        <v>9.67836021447918E-2</v>
      </c>
      <c r="J11" s="14">
        <v>0.12821327736921301</v>
      </c>
      <c r="K11" s="14">
        <v>0</v>
      </c>
      <c r="L11" s="14" t="s">
        <v>88</v>
      </c>
      <c r="M11" s="14"/>
      <c r="N11" s="14">
        <v>0.108577206500675</v>
      </c>
      <c r="O11" s="14">
        <v>5.5572089387557103E-2</v>
      </c>
      <c r="P11" s="14">
        <v>0.21708569539724401</v>
      </c>
      <c r="Q11" s="14">
        <v>0.122878709514711</v>
      </c>
      <c r="R11" s="14"/>
      <c r="S11" s="14">
        <v>0.203386568123883</v>
      </c>
      <c r="T11" s="14">
        <v>1.9835960421817199E-2</v>
      </c>
      <c r="U11" s="14">
        <v>0.109254040915982</v>
      </c>
      <c r="V11" s="14">
        <v>0.162410671262187</v>
      </c>
      <c r="W11" s="14">
        <v>0.11386286270262901</v>
      </c>
      <c r="X11" s="14">
        <v>0</v>
      </c>
      <c r="Y11" s="14">
        <v>0.19505697300057401</v>
      </c>
      <c r="Z11" s="14">
        <v>0</v>
      </c>
      <c r="AA11" s="14">
        <v>0.15807207467787099</v>
      </c>
      <c r="AB11" s="14"/>
      <c r="AC11" s="14">
        <v>7.5535331827203206E-2</v>
      </c>
      <c r="AD11" s="14">
        <v>0.10134855587941601</v>
      </c>
      <c r="AE11" s="14">
        <v>9.2158782605096801E-2</v>
      </c>
      <c r="AF11" s="14">
        <v>0.20323119731018299</v>
      </c>
      <c r="AG11" s="14">
        <v>0.102776830193608</v>
      </c>
      <c r="AH11" s="14"/>
      <c r="AI11" s="14">
        <v>0.16214817964304001</v>
      </c>
      <c r="AJ11" s="14">
        <v>0.155745916313726</v>
      </c>
      <c r="AK11" s="14">
        <v>9.1393833582760806E-2</v>
      </c>
      <c r="AL11" s="14">
        <v>8.3012948379774798E-2</v>
      </c>
      <c r="AM11" s="14">
        <v>0</v>
      </c>
      <c r="AN11" s="14">
        <v>0.16119008562710499</v>
      </c>
      <c r="AO11" s="14"/>
      <c r="AP11" s="14">
        <v>8.4261234069194099E-2</v>
      </c>
      <c r="AQ11" s="14">
        <v>0.15207312258135</v>
      </c>
      <c r="AR11" s="14"/>
      <c r="AS11" s="14">
        <v>0.12186863663144799</v>
      </c>
      <c r="AT11" s="14" t="s">
        <v>88</v>
      </c>
      <c r="AU11" s="14" t="s">
        <v>88</v>
      </c>
      <c r="AV11" s="14"/>
      <c r="AW11" s="14">
        <v>0.113280520921978</v>
      </c>
      <c r="AX11" s="14">
        <v>0.153871934042104</v>
      </c>
      <c r="AY11" s="14"/>
      <c r="AZ11" s="14">
        <v>0.14050256027060701</v>
      </c>
      <c r="BA11" s="14">
        <v>4.6426343331915802E-2</v>
      </c>
    </row>
    <row r="12" spans="2:53" x14ac:dyDescent="0.35">
      <c r="B12" s="15" t="s">
        <v>116</v>
      </c>
      <c r="C12" s="23">
        <v>4.1553230498352897E-2</v>
      </c>
      <c r="D12" s="23">
        <v>2.3113304354956701E-2</v>
      </c>
      <c r="E12" s="23">
        <v>6.1392696967729199E-2</v>
      </c>
      <c r="F12" s="23"/>
      <c r="G12" s="23">
        <v>0</v>
      </c>
      <c r="H12" s="23">
        <v>3.5516436017694799E-3</v>
      </c>
      <c r="I12" s="23">
        <v>4.9219966205567803E-2</v>
      </c>
      <c r="J12" s="23">
        <v>0.108605746718965</v>
      </c>
      <c r="K12" s="23">
        <v>0</v>
      </c>
      <c r="L12" s="23" t="s">
        <v>88</v>
      </c>
      <c r="M12" s="23"/>
      <c r="N12" s="23">
        <v>4.5536951192909E-2</v>
      </c>
      <c r="O12" s="23">
        <v>1.22096415967245E-2</v>
      </c>
      <c r="P12" s="23">
        <v>5.0307904217830102E-2</v>
      </c>
      <c r="Q12" s="23">
        <v>6.4855067733208094E-2</v>
      </c>
      <c r="R12" s="23"/>
      <c r="S12" s="23">
        <v>1.8346524632793501E-2</v>
      </c>
      <c r="T12" s="23">
        <v>0</v>
      </c>
      <c r="U12" s="23">
        <v>0</v>
      </c>
      <c r="V12" s="23">
        <v>4.5934185763258903E-2</v>
      </c>
      <c r="W12" s="23">
        <v>0</v>
      </c>
      <c r="X12" s="23">
        <v>0.124296016613874</v>
      </c>
      <c r="Y12" s="23">
        <v>0.15150313143299701</v>
      </c>
      <c r="Z12" s="23">
        <v>0.10584553620319299</v>
      </c>
      <c r="AA12" s="23">
        <v>2.8961277245630499E-2</v>
      </c>
      <c r="AB12" s="23"/>
      <c r="AC12" s="23">
        <v>0.121956907619395</v>
      </c>
      <c r="AD12" s="23">
        <v>1.28577616102073E-2</v>
      </c>
      <c r="AE12" s="23">
        <v>2.0208874930262601E-2</v>
      </c>
      <c r="AF12" s="23">
        <v>6.0365226042873303E-2</v>
      </c>
      <c r="AG12" s="23">
        <v>0</v>
      </c>
      <c r="AH12" s="23"/>
      <c r="AI12" s="23">
        <v>2.4301786925927599E-3</v>
      </c>
      <c r="AJ12" s="23">
        <v>5.2575363241746602E-2</v>
      </c>
      <c r="AK12" s="23">
        <v>0</v>
      </c>
      <c r="AL12" s="23">
        <v>7.0459190751150994E-2</v>
      </c>
      <c r="AM12" s="23">
        <v>9.8740299835138504E-2</v>
      </c>
      <c r="AN12" s="23">
        <v>0.19390233209791999</v>
      </c>
      <c r="AO12" s="23"/>
      <c r="AP12" s="23">
        <v>2.6108779290785498E-2</v>
      </c>
      <c r="AQ12" s="23">
        <v>5.39574827923179E-2</v>
      </c>
      <c r="AR12" s="23"/>
      <c r="AS12" s="23">
        <v>4.1553230498352897E-2</v>
      </c>
      <c r="AT12" s="23" t="s">
        <v>88</v>
      </c>
      <c r="AU12" s="23" t="s">
        <v>88</v>
      </c>
      <c r="AV12" s="23"/>
      <c r="AW12" s="23">
        <v>5.4822914264604901E-2</v>
      </c>
      <c r="AX12" s="23">
        <v>3.8076090406431598E-3</v>
      </c>
      <c r="AY12" s="23"/>
      <c r="AZ12" s="23">
        <v>3.7124761912118102E-2</v>
      </c>
      <c r="BA12" s="23">
        <v>5.9482563709120903E-2</v>
      </c>
    </row>
    <row r="13" spans="2:53" x14ac:dyDescent="0.35">
      <c r="B13" s="16" t="s">
        <v>219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BA18"/>
  <sheetViews>
    <sheetView showGridLines="0" workbookViewId="0">
      <pane xSplit="2" topLeftCell="C1" activePane="topRight" state="frozen"/>
      <selection pane="topRight" activeCell="E19" sqref="E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222</v>
      </c>
      <c r="D7" s="10">
        <v>96</v>
      </c>
      <c r="E7" s="10">
        <v>126</v>
      </c>
      <c r="F7" s="10"/>
      <c r="G7" s="10">
        <v>3</v>
      </c>
      <c r="H7" s="10">
        <v>74</v>
      </c>
      <c r="I7" s="10">
        <v>120</v>
      </c>
      <c r="J7" s="10">
        <v>21</v>
      </c>
      <c r="K7" s="10">
        <v>4</v>
      </c>
      <c r="L7" s="10" t="s">
        <v>87</v>
      </c>
      <c r="M7" s="10"/>
      <c r="N7" s="10">
        <v>106</v>
      </c>
      <c r="O7" s="10">
        <v>54</v>
      </c>
      <c r="P7" s="10">
        <v>33</v>
      </c>
      <c r="Q7" s="10">
        <v>29</v>
      </c>
      <c r="R7" s="10"/>
      <c r="S7" s="10">
        <v>53</v>
      </c>
      <c r="T7" s="10">
        <v>30</v>
      </c>
      <c r="U7" s="10">
        <v>21</v>
      </c>
      <c r="V7" s="10">
        <v>24</v>
      </c>
      <c r="W7" s="10">
        <v>12</v>
      </c>
      <c r="X7" s="10">
        <v>24</v>
      </c>
      <c r="Y7" s="10">
        <v>20</v>
      </c>
      <c r="Z7" s="10">
        <v>11</v>
      </c>
      <c r="AA7" s="10">
        <v>27</v>
      </c>
      <c r="AB7" s="10"/>
      <c r="AC7" s="10">
        <v>17</v>
      </c>
      <c r="AD7" s="10">
        <v>40</v>
      </c>
      <c r="AE7" s="10">
        <v>82</v>
      </c>
      <c r="AF7" s="10">
        <v>47</v>
      </c>
      <c r="AG7" s="10">
        <v>18</v>
      </c>
      <c r="AH7" s="10"/>
      <c r="AI7" s="10">
        <v>92</v>
      </c>
      <c r="AJ7" s="10">
        <v>42</v>
      </c>
      <c r="AK7" s="10">
        <v>19</v>
      </c>
      <c r="AL7" s="10">
        <v>25</v>
      </c>
      <c r="AM7" s="10">
        <v>15</v>
      </c>
      <c r="AN7" s="10">
        <v>14</v>
      </c>
      <c r="AO7" s="10"/>
      <c r="AP7" s="10">
        <v>107</v>
      </c>
      <c r="AQ7" s="10">
        <v>115</v>
      </c>
      <c r="AR7" s="10"/>
      <c r="AS7" s="10">
        <v>222</v>
      </c>
      <c r="AT7" s="10" t="s">
        <v>87</v>
      </c>
      <c r="AU7" s="10" t="s">
        <v>87</v>
      </c>
      <c r="AV7" s="10"/>
      <c r="AW7" s="10">
        <v>151</v>
      </c>
      <c r="AX7" s="10">
        <v>68</v>
      </c>
      <c r="AY7" s="10"/>
      <c r="AZ7" s="10">
        <v>182</v>
      </c>
      <c r="BA7" s="10">
        <v>40</v>
      </c>
    </row>
    <row r="8" spans="2:53" ht="30" customHeight="1" x14ac:dyDescent="0.35">
      <c r="B8" s="11" t="s">
        <v>19</v>
      </c>
      <c r="C8" s="11">
        <v>211</v>
      </c>
      <c r="D8" s="11">
        <v>109</v>
      </c>
      <c r="E8" s="11">
        <v>102</v>
      </c>
      <c r="F8" s="11"/>
      <c r="G8" s="11">
        <v>3</v>
      </c>
      <c r="H8" s="11">
        <v>56</v>
      </c>
      <c r="I8" s="11">
        <v>127</v>
      </c>
      <c r="J8" s="11">
        <v>21</v>
      </c>
      <c r="K8" s="11">
        <v>4</v>
      </c>
      <c r="L8" s="11" t="s">
        <v>87</v>
      </c>
      <c r="M8" s="11"/>
      <c r="N8" s="11">
        <v>62</v>
      </c>
      <c r="O8" s="11">
        <v>57</v>
      </c>
      <c r="P8" s="11">
        <v>48</v>
      </c>
      <c r="Q8" s="11">
        <v>43</v>
      </c>
      <c r="R8" s="11"/>
      <c r="S8" s="11">
        <v>46</v>
      </c>
      <c r="T8" s="11">
        <v>33</v>
      </c>
      <c r="U8" s="11">
        <v>23</v>
      </c>
      <c r="V8" s="11">
        <v>29</v>
      </c>
      <c r="W8" s="11">
        <v>13</v>
      </c>
      <c r="X8" s="11">
        <v>17</v>
      </c>
      <c r="Y8" s="11">
        <v>19</v>
      </c>
      <c r="Z8" s="11">
        <v>10</v>
      </c>
      <c r="AA8" s="11">
        <v>21</v>
      </c>
      <c r="AB8" s="11"/>
      <c r="AC8" s="11">
        <v>23</v>
      </c>
      <c r="AD8" s="11">
        <v>47</v>
      </c>
      <c r="AE8" s="11">
        <v>78</v>
      </c>
      <c r="AF8" s="11">
        <v>34</v>
      </c>
      <c r="AG8" s="11">
        <v>10</v>
      </c>
      <c r="AH8" s="11"/>
      <c r="AI8" s="11">
        <v>81</v>
      </c>
      <c r="AJ8" s="11">
        <v>44</v>
      </c>
      <c r="AK8" s="11">
        <v>18</v>
      </c>
      <c r="AL8" s="11">
        <v>25</v>
      </c>
      <c r="AM8" s="11">
        <v>14</v>
      </c>
      <c r="AN8" s="11">
        <v>12</v>
      </c>
      <c r="AO8" s="11"/>
      <c r="AP8" s="11">
        <v>94</v>
      </c>
      <c r="AQ8" s="11">
        <v>117</v>
      </c>
      <c r="AR8" s="11"/>
      <c r="AS8" s="11">
        <v>211</v>
      </c>
      <c r="AT8" s="11" t="s">
        <v>87</v>
      </c>
      <c r="AU8" s="11" t="s">
        <v>87</v>
      </c>
      <c r="AV8" s="11"/>
      <c r="AW8" s="11">
        <v>156</v>
      </c>
      <c r="AX8" s="11">
        <v>52</v>
      </c>
      <c r="AY8" s="11"/>
      <c r="AZ8" s="11">
        <v>169</v>
      </c>
      <c r="BA8" s="11">
        <v>42</v>
      </c>
    </row>
    <row r="9" spans="2:53" x14ac:dyDescent="0.35">
      <c r="B9" s="15" t="s">
        <v>235</v>
      </c>
      <c r="C9" s="14">
        <v>0.30814181846600203</v>
      </c>
      <c r="D9" s="14">
        <v>0.34259710407108201</v>
      </c>
      <c r="E9" s="14">
        <v>0.27107147023689199</v>
      </c>
      <c r="F9" s="14"/>
      <c r="G9" s="14">
        <v>0.18623021052268701</v>
      </c>
      <c r="H9" s="14">
        <v>0.32618948290357802</v>
      </c>
      <c r="I9" s="14">
        <v>0.30571103863500099</v>
      </c>
      <c r="J9" s="14">
        <v>0.288630963946651</v>
      </c>
      <c r="K9" s="14">
        <v>0.32308475638333201</v>
      </c>
      <c r="L9" s="14" t="s">
        <v>88</v>
      </c>
      <c r="M9" s="14"/>
      <c r="N9" s="14">
        <v>0.40047765144717801</v>
      </c>
      <c r="O9" s="14">
        <v>0.227699264363799</v>
      </c>
      <c r="P9" s="14">
        <v>0.31412707436826198</v>
      </c>
      <c r="Q9" s="14">
        <v>0.27523002447619299</v>
      </c>
      <c r="R9" s="14"/>
      <c r="S9" s="14">
        <v>0.34058752903899597</v>
      </c>
      <c r="T9" s="14">
        <v>0.38101732949794498</v>
      </c>
      <c r="U9" s="14">
        <v>0.296959056715213</v>
      </c>
      <c r="V9" s="14">
        <v>0.253758345769794</v>
      </c>
      <c r="W9" s="14">
        <v>0.392353625706717</v>
      </c>
      <c r="X9" s="14">
        <v>0.40506755105373499</v>
      </c>
      <c r="Y9" s="14">
        <v>0.104837398343441</v>
      </c>
      <c r="Z9" s="14">
        <v>0.35902664278108998</v>
      </c>
      <c r="AA9" s="14">
        <v>0.236760956520465</v>
      </c>
      <c r="AB9" s="14"/>
      <c r="AC9" s="14">
        <v>0.25078958804382401</v>
      </c>
      <c r="AD9" s="14">
        <v>0.24782022164251599</v>
      </c>
      <c r="AE9" s="14">
        <v>0.366977576598783</v>
      </c>
      <c r="AF9" s="14">
        <v>0.28593042751138298</v>
      </c>
      <c r="AG9" s="14">
        <v>0.29814674064149399</v>
      </c>
      <c r="AH9" s="14"/>
      <c r="AI9" s="14">
        <v>0.34531577356764698</v>
      </c>
      <c r="AJ9" s="14">
        <v>0.30722954041759598</v>
      </c>
      <c r="AK9" s="14">
        <v>0.42642768898093902</v>
      </c>
      <c r="AL9" s="14">
        <v>0.15583492601517601</v>
      </c>
      <c r="AM9" s="14">
        <v>0.17467051830619601</v>
      </c>
      <c r="AN9" s="14">
        <v>0.37851371243166299</v>
      </c>
      <c r="AO9" s="14"/>
      <c r="AP9" s="14">
        <v>0.301417678183452</v>
      </c>
      <c r="AQ9" s="14">
        <v>0.31354232971782903</v>
      </c>
      <c r="AR9" s="14"/>
      <c r="AS9" s="14">
        <v>0.30814181846600203</v>
      </c>
      <c r="AT9" s="14" t="s">
        <v>88</v>
      </c>
      <c r="AU9" s="14" t="s">
        <v>88</v>
      </c>
      <c r="AV9" s="14"/>
      <c r="AW9" s="14">
        <v>0.26924286777302098</v>
      </c>
      <c r="AX9" s="14">
        <v>0.44068143721694097</v>
      </c>
      <c r="AY9" s="14"/>
      <c r="AZ9" s="14">
        <v>0.32165785765425098</v>
      </c>
      <c r="BA9" s="14">
        <v>0.25342006407687401</v>
      </c>
    </row>
    <row r="10" spans="2:53" x14ac:dyDescent="0.35">
      <c r="B10" s="15" t="s">
        <v>236</v>
      </c>
      <c r="C10" s="14">
        <v>0.56978658316277997</v>
      </c>
      <c r="D10" s="14">
        <v>0.60159358047894396</v>
      </c>
      <c r="E10" s="14">
        <v>0.535565521113051</v>
      </c>
      <c r="F10" s="14"/>
      <c r="G10" s="14">
        <v>0.37716264988800002</v>
      </c>
      <c r="H10" s="14">
        <v>0.60143016332633004</v>
      </c>
      <c r="I10" s="14">
        <v>0.55802469620580397</v>
      </c>
      <c r="J10" s="14">
        <v>0.56196537429423399</v>
      </c>
      <c r="K10" s="14">
        <v>0.67691524361666799</v>
      </c>
      <c r="L10" s="14" t="s">
        <v>88</v>
      </c>
      <c r="M10" s="14"/>
      <c r="N10" s="14">
        <v>0.53403520053803499</v>
      </c>
      <c r="O10" s="14">
        <v>0.59352669615083598</v>
      </c>
      <c r="P10" s="14">
        <v>0.53626697765543996</v>
      </c>
      <c r="Q10" s="14">
        <v>0.62688235289961203</v>
      </c>
      <c r="R10" s="14"/>
      <c r="S10" s="14">
        <v>0.46014731262527903</v>
      </c>
      <c r="T10" s="14">
        <v>0.59914671008023701</v>
      </c>
      <c r="U10" s="14">
        <v>0.57305335525966705</v>
      </c>
      <c r="V10" s="14">
        <v>0.71379707414709503</v>
      </c>
      <c r="W10" s="14">
        <v>0.60764637429328305</v>
      </c>
      <c r="X10" s="14">
        <v>0.41017591111129698</v>
      </c>
      <c r="Y10" s="14">
        <v>0.71614096972408803</v>
      </c>
      <c r="Z10" s="14">
        <v>0.47922687944460102</v>
      </c>
      <c r="AA10" s="14">
        <v>0.57796513637172697</v>
      </c>
      <c r="AB10" s="14"/>
      <c r="AC10" s="14">
        <v>0.65576806320634695</v>
      </c>
      <c r="AD10" s="14">
        <v>0.62329626836797702</v>
      </c>
      <c r="AE10" s="14">
        <v>0.48240400986679299</v>
      </c>
      <c r="AF10" s="14">
        <v>0.63180014179979804</v>
      </c>
      <c r="AG10" s="14">
        <v>0.70185325935850595</v>
      </c>
      <c r="AH10" s="14"/>
      <c r="AI10" s="14">
        <v>0.57234814479194496</v>
      </c>
      <c r="AJ10" s="14">
        <v>0.591253411964902</v>
      </c>
      <c r="AK10" s="14">
        <v>0.49461197109684202</v>
      </c>
      <c r="AL10" s="14">
        <v>0.45722817969872598</v>
      </c>
      <c r="AM10" s="14">
        <v>0.75927123151342701</v>
      </c>
      <c r="AN10" s="14">
        <v>0.46460245481213402</v>
      </c>
      <c r="AO10" s="14"/>
      <c r="AP10" s="14">
        <v>0.59872971708874301</v>
      </c>
      <c r="AQ10" s="14">
        <v>0.54654082774093804</v>
      </c>
      <c r="AR10" s="14"/>
      <c r="AS10" s="14">
        <v>0.56978658316277997</v>
      </c>
      <c r="AT10" s="14" t="s">
        <v>88</v>
      </c>
      <c r="AU10" s="14" t="s">
        <v>88</v>
      </c>
      <c r="AV10" s="14"/>
      <c r="AW10" s="14">
        <v>0.59215046194031995</v>
      </c>
      <c r="AX10" s="14">
        <v>0.49640185073736498</v>
      </c>
      <c r="AY10" s="14"/>
      <c r="AZ10" s="14">
        <v>0.57404020159593006</v>
      </c>
      <c r="BA10" s="14">
        <v>0.55256515757189495</v>
      </c>
    </row>
    <row r="11" spans="2:53" x14ac:dyDescent="0.35">
      <c r="B11" s="15" t="s">
        <v>237</v>
      </c>
      <c r="C11" s="14">
        <v>0.103335665049488</v>
      </c>
      <c r="D11" s="14">
        <v>5.58093154499745E-2</v>
      </c>
      <c r="E11" s="14">
        <v>0.154469135539504</v>
      </c>
      <c r="F11" s="14"/>
      <c r="G11" s="14">
        <v>0.43660713958931302</v>
      </c>
      <c r="H11" s="14">
        <v>4.8457707966699702E-2</v>
      </c>
      <c r="I11" s="14">
        <v>0.115640609557449</v>
      </c>
      <c r="J11" s="14">
        <v>0.14940366175911499</v>
      </c>
      <c r="K11" s="14">
        <v>0</v>
      </c>
      <c r="L11" s="14" t="s">
        <v>88</v>
      </c>
      <c r="M11" s="14"/>
      <c r="N11" s="14">
        <v>5.2488884616851299E-2</v>
      </c>
      <c r="O11" s="14">
        <v>0.16365618902654899</v>
      </c>
      <c r="P11" s="14">
        <v>0.149605947976298</v>
      </c>
      <c r="Q11" s="14">
        <v>4.5384980058554097E-2</v>
      </c>
      <c r="R11" s="14"/>
      <c r="S11" s="14">
        <v>0.17617928527902599</v>
      </c>
      <c r="T11" s="14">
        <v>1.9835960421817199E-2</v>
      </c>
      <c r="U11" s="14">
        <v>0.129987588025121</v>
      </c>
      <c r="V11" s="14">
        <v>3.2444580083110797E-2</v>
      </c>
      <c r="W11" s="14">
        <v>0</v>
      </c>
      <c r="X11" s="14">
        <v>0.18475653783496801</v>
      </c>
      <c r="Y11" s="14">
        <v>0.117543726914973</v>
      </c>
      <c r="Z11" s="14">
        <v>0.16174647777430901</v>
      </c>
      <c r="AA11" s="14">
        <v>0.10243416994823</v>
      </c>
      <c r="AB11" s="14"/>
      <c r="AC11" s="14">
        <v>9.3442348749828805E-2</v>
      </c>
      <c r="AD11" s="14">
        <v>0.12888350998950701</v>
      </c>
      <c r="AE11" s="14">
        <v>0.12567250082662601</v>
      </c>
      <c r="AF11" s="14">
        <v>5.6690112084753302E-2</v>
      </c>
      <c r="AG11" s="14">
        <v>0</v>
      </c>
      <c r="AH11" s="14"/>
      <c r="AI11" s="14">
        <v>5.8474788054848001E-2</v>
      </c>
      <c r="AJ11" s="14">
        <v>8.1897220591507294E-2</v>
      </c>
      <c r="AK11" s="14">
        <v>7.8960339922218806E-2</v>
      </c>
      <c r="AL11" s="14">
        <v>0.38693689428609901</v>
      </c>
      <c r="AM11" s="14">
        <v>6.6058250180376699E-2</v>
      </c>
      <c r="AN11" s="14">
        <v>5.9570136844295102E-2</v>
      </c>
      <c r="AO11" s="14"/>
      <c r="AP11" s="14">
        <v>9.77444082499178E-2</v>
      </c>
      <c r="AQ11" s="14">
        <v>0.10782629790203301</v>
      </c>
      <c r="AR11" s="14"/>
      <c r="AS11" s="14">
        <v>0.103335665049488</v>
      </c>
      <c r="AT11" s="14" t="s">
        <v>88</v>
      </c>
      <c r="AU11" s="14" t="s">
        <v>88</v>
      </c>
      <c r="AV11" s="14"/>
      <c r="AW11" s="14">
        <v>0.113316050211572</v>
      </c>
      <c r="AX11" s="14">
        <v>6.2916712045694295E-2</v>
      </c>
      <c r="AY11" s="14"/>
      <c r="AZ11" s="14">
        <v>9.8014757526879104E-2</v>
      </c>
      <c r="BA11" s="14">
        <v>0.124878173954956</v>
      </c>
    </row>
    <row r="12" spans="2:53" x14ac:dyDescent="0.35">
      <c r="B12" s="15" t="s">
        <v>238</v>
      </c>
      <c r="C12" s="14">
        <v>9.2200328521398409E-3</v>
      </c>
      <c r="D12" s="14">
        <v>0</v>
      </c>
      <c r="E12" s="14">
        <v>1.9139841163415799E-2</v>
      </c>
      <c r="F12" s="14"/>
      <c r="G12" s="14">
        <v>0</v>
      </c>
      <c r="H12" s="14">
        <v>2.3922645803392598E-2</v>
      </c>
      <c r="I12" s="14">
        <v>4.8108455205977899E-3</v>
      </c>
      <c r="J12" s="14">
        <v>0</v>
      </c>
      <c r="K12" s="14">
        <v>0</v>
      </c>
      <c r="L12" s="14" t="s">
        <v>88</v>
      </c>
      <c r="M12" s="14"/>
      <c r="N12" s="14">
        <v>1.2998263397935399E-2</v>
      </c>
      <c r="O12" s="14">
        <v>0</v>
      </c>
      <c r="P12" s="14">
        <v>0</v>
      </c>
      <c r="Q12" s="14">
        <v>2.6185340366715899E-2</v>
      </c>
      <c r="R12" s="14"/>
      <c r="S12" s="14">
        <v>4.2996375062153303E-3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8.2839737159578597E-2</v>
      </c>
      <c r="AB12" s="14"/>
      <c r="AC12" s="14">
        <v>0</v>
      </c>
      <c r="AD12" s="14">
        <v>0</v>
      </c>
      <c r="AE12" s="14">
        <v>2.49459127077983E-2</v>
      </c>
      <c r="AF12" s="14">
        <v>0</v>
      </c>
      <c r="AG12" s="14">
        <v>0</v>
      </c>
      <c r="AH12" s="14"/>
      <c r="AI12" s="14">
        <v>2.38612935855597E-2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2.1081964778869701E-3</v>
      </c>
      <c r="AQ12" s="14">
        <v>1.4931923256922001E-2</v>
      </c>
      <c r="AR12" s="14"/>
      <c r="AS12" s="14">
        <v>9.2200328521398409E-3</v>
      </c>
      <c r="AT12" s="14" t="s">
        <v>88</v>
      </c>
      <c r="AU12" s="14" t="s">
        <v>88</v>
      </c>
      <c r="AV12" s="14"/>
      <c r="AW12" s="14">
        <v>1.24456222136985E-2</v>
      </c>
      <c r="AX12" s="14">
        <v>0</v>
      </c>
      <c r="AY12" s="14"/>
      <c r="AZ12" s="14">
        <v>1.1709589118596899E-3</v>
      </c>
      <c r="BA12" s="14">
        <v>4.1807941268600601E-2</v>
      </c>
    </row>
    <row r="13" spans="2:53" x14ac:dyDescent="0.35">
      <c r="B13" s="15" t="s">
        <v>116</v>
      </c>
      <c r="C13" s="23">
        <v>9.5159004695900707E-3</v>
      </c>
      <c r="D13" s="23">
        <v>0</v>
      </c>
      <c r="E13" s="23">
        <v>1.9754031947137499E-2</v>
      </c>
      <c r="F13" s="23"/>
      <c r="G13" s="23">
        <v>0</v>
      </c>
      <c r="H13" s="23">
        <v>0</v>
      </c>
      <c r="I13" s="23">
        <v>1.5812810081147499E-2</v>
      </c>
      <c r="J13" s="23">
        <v>0</v>
      </c>
      <c r="K13" s="23">
        <v>0</v>
      </c>
      <c r="L13" s="23" t="s">
        <v>88</v>
      </c>
      <c r="M13" s="23"/>
      <c r="N13" s="23">
        <v>0</v>
      </c>
      <c r="O13" s="23">
        <v>1.5117850458816201E-2</v>
      </c>
      <c r="P13" s="23">
        <v>0</v>
      </c>
      <c r="Q13" s="23">
        <v>2.6317302198924399E-2</v>
      </c>
      <c r="R13" s="23"/>
      <c r="S13" s="23">
        <v>1.8786235550483799E-2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6.1477905017497801E-2</v>
      </c>
      <c r="Z13" s="23">
        <v>0</v>
      </c>
      <c r="AA13" s="23">
        <v>0</v>
      </c>
      <c r="AB13" s="23"/>
      <c r="AC13" s="23">
        <v>0</v>
      </c>
      <c r="AD13" s="23">
        <v>0</v>
      </c>
      <c r="AE13" s="23">
        <v>0</v>
      </c>
      <c r="AF13" s="23">
        <v>2.5579318604064899E-2</v>
      </c>
      <c r="AG13" s="23">
        <v>0</v>
      </c>
      <c r="AH13" s="23"/>
      <c r="AI13" s="23">
        <v>0</v>
      </c>
      <c r="AJ13" s="23">
        <v>1.9619827025995101E-2</v>
      </c>
      <c r="AK13" s="23">
        <v>0</v>
      </c>
      <c r="AL13" s="23">
        <v>0</v>
      </c>
      <c r="AM13" s="23">
        <v>0</v>
      </c>
      <c r="AN13" s="23">
        <v>9.73136959119075E-2</v>
      </c>
      <c r="AO13" s="23"/>
      <c r="AP13" s="23">
        <v>0</v>
      </c>
      <c r="AQ13" s="23">
        <v>1.71586213822775E-2</v>
      </c>
      <c r="AR13" s="23"/>
      <c r="AS13" s="23">
        <v>9.5159004695900707E-3</v>
      </c>
      <c r="AT13" s="23" t="s">
        <v>88</v>
      </c>
      <c r="AU13" s="23" t="s">
        <v>88</v>
      </c>
      <c r="AV13" s="23"/>
      <c r="AW13" s="23">
        <v>1.28449978613892E-2</v>
      </c>
      <c r="AX13" s="23">
        <v>0</v>
      </c>
      <c r="AY13" s="23"/>
      <c r="AZ13" s="23">
        <v>5.1162243110809604E-3</v>
      </c>
      <c r="BA13" s="23">
        <v>2.7328663127674301E-2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BA19"/>
  <sheetViews>
    <sheetView showGridLines="0" workbookViewId="0">
      <pane xSplit="2" topLeftCell="C1" activePane="topRight" state="frozen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222</v>
      </c>
      <c r="D7" s="10">
        <v>96</v>
      </c>
      <c r="E7" s="10">
        <v>126</v>
      </c>
      <c r="F7" s="10"/>
      <c r="G7" s="10">
        <v>3</v>
      </c>
      <c r="H7" s="10">
        <v>74</v>
      </c>
      <c r="I7" s="10">
        <v>120</v>
      </c>
      <c r="J7" s="10">
        <v>21</v>
      </c>
      <c r="K7" s="10">
        <v>4</v>
      </c>
      <c r="L7" s="10" t="s">
        <v>87</v>
      </c>
      <c r="M7" s="10"/>
      <c r="N7" s="10">
        <v>106</v>
      </c>
      <c r="O7" s="10">
        <v>54</v>
      </c>
      <c r="P7" s="10">
        <v>33</v>
      </c>
      <c r="Q7" s="10">
        <v>29</v>
      </c>
      <c r="R7" s="10"/>
      <c r="S7" s="10">
        <v>53</v>
      </c>
      <c r="T7" s="10">
        <v>30</v>
      </c>
      <c r="U7" s="10">
        <v>21</v>
      </c>
      <c r="V7" s="10">
        <v>24</v>
      </c>
      <c r="W7" s="10">
        <v>12</v>
      </c>
      <c r="X7" s="10">
        <v>24</v>
      </c>
      <c r="Y7" s="10">
        <v>20</v>
      </c>
      <c r="Z7" s="10">
        <v>11</v>
      </c>
      <c r="AA7" s="10">
        <v>27</v>
      </c>
      <c r="AB7" s="10"/>
      <c r="AC7" s="10">
        <v>17</v>
      </c>
      <c r="AD7" s="10">
        <v>40</v>
      </c>
      <c r="AE7" s="10">
        <v>82</v>
      </c>
      <c r="AF7" s="10">
        <v>47</v>
      </c>
      <c r="AG7" s="10">
        <v>18</v>
      </c>
      <c r="AH7" s="10"/>
      <c r="AI7" s="10">
        <v>92</v>
      </c>
      <c r="AJ7" s="10">
        <v>42</v>
      </c>
      <c r="AK7" s="10">
        <v>19</v>
      </c>
      <c r="AL7" s="10">
        <v>25</v>
      </c>
      <c r="AM7" s="10">
        <v>15</v>
      </c>
      <c r="AN7" s="10">
        <v>14</v>
      </c>
      <c r="AO7" s="10"/>
      <c r="AP7" s="10">
        <v>107</v>
      </c>
      <c r="AQ7" s="10">
        <v>115</v>
      </c>
      <c r="AR7" s="10"/>
      <c r="AS7" s="10">
        <v>222</v>
      </c>
      <c r="AT7" s="10" t="s">
        <v>87</v>
      </c>
      <c r="AU7" s="10" t="s">
        <v>87</v>
      </c>
      <c r="AV7" s="10"/>
      <c r="AW7" s="10">
        <v>151</v>
      </c>
      <c r="AX7" s="10">
        <v>68</v>
      </c>
      <c r="AY7" s="10"/>
      <c r="AZ7" s="10">
        <v>182</v>
      </c>
      <c r="BA7" s="10">
        <v>40</v>
      </c>
    </row>
    <row r="8" spans="2:53" ht="30" customHeight="1" x14ac:dyDescent="0.35">
      <c r="B8" s="11" t="s">
        <v>19</v>
      </c>
      <c r="C8" s="11">
        <v>211</v>
      </c>
      <c r="D8" s="11">
        <v>109</v>
      </c>
      <c r="E8" s="11">
        <v>102</v>
      </c>
      <c r="F8" s="11"/>
      <c r="G8" s="11">
        <v>3</v>
      </c>
      <c r="H8" s="11">
        <v>56</v>
      </c>
      <c r="I8" s="11">
        <v>127</v>
      </c>
      <c r="J8" s="11">
        <v>21</v>
      </c>
      <c r="K8" s="11">
        <v>4</v>
      </c>
      <c r="L8" s="11" t="s">
        <v>87</v>
      </c>
      <c r="M8" s="11"/>
      <c r="N8" s="11">
        <v>62</v>
      </c>
      <c r="O8" s="11">
        <v>57</v>
      </c>
      <c r="P8" s="11">
        <v>48</v>
      </c>
      <c r="Q8" s="11">
        <v>43</v>
      </c>
      <c r="R8" s="11"/>
      <c r="S8" s="11">
        <v>46</v>
      </c>
      <c r="T8" s="11">
        <v>33</v>
      </c>
      <c r="U8" s="11">
        <v>23</v>
      </c>
      <c r="V8" s="11">
        <v>29</v>
      </c>
      <c r="W8" s="11">
        <v>13</v>
      </c>
      <c r="X8" s="11">
        <v>17</v>
      </c>
      <c r="Y8" s="11">
        <v>19</v>
      </c>
      <c r="Z8" s="11">
        <v>10</v>
      </c>
      <c r="AA8" s="11">
        <v>21</v>
      </c>
      <c r="AB8" s="11"/>
      <c r="AC8" s="11">
        <v>23</v>
      </c>
      <c r="AD8" s="11">
        <v>47</v>
      </c>
      <c r="AE8" s="11">
        <v>78</v>
      </c>
      <c r="AF8" s="11">
        <v>34</v>
      </c>
      <c r="AG8" s="11">
        <v>10</v>
      </c>
      <c r="AH8" s="11"/>
      <c r="AI8" s="11">
        <v>81</v>
      </c>
      <c r="AJ8" s="11">
        <v>44</v>
      </c>
      <c r="AK8" s="11">
        <v>18</v>
      </c>
      <c r="AL8" s="11">
        <v>25</v>
      </c>
      <c r="AM8" s="11">
        <v>14</v>
      </c>
      <c r="AN8" s="11">
        <v>12</v>
      </c>
      <c r="AO8" s="11"/>
      <c r="AP8" s="11">
        <v>94</v>
      </c>
      <c r="AQ8" s="11">
        <v>117</v>
      </c>
      <c r="AR8" s="11"/>
      <c r="AS8" s="11">
        <v>211</v>
      </c>
      <c r="AT8" s="11" t="s">
        <v>87</v>
      </c>
      <c r="AU8" s="11" t="s">
        <v>87</v>
      </c>
      <c r="AV8" s="11"/>
      <c r="AW8" s="11">
        <v>156</v>
      </c>
      <c r="AX8" s="11">
        <v>52</v>
      </c>
      <c r="AY8" s="11"/>
      <c r="AZ8" s="11">
        <v>169</v>
      </c>
      <c r="BA8" s="11">
        <v>42</v>
      </c>
    </row>
    <row r="9" spans="2:53" x14ac:dyDescent="0.35">
      <c r="B9" s="15" t="s">
        <v>220</v>
      </c>
      <c r="C9" s="14">
        <v>0.43434515248477501</v>
      </c>
      <c r="D9" s="14">
        <v>0.50486649404167105</v>
      </c>
      <c r="E9" s="14">
        <v>0.35847143258408298</v>
      </c>
      <c r="F9" s="14"/>
      <c r="G9" s="14">
        <v>0.18623021052268701</v>
      </c>
      <c r="H9" s="14">
        <v>0.45924777501305097</v>
      </c>
      <c r="I9" s="14">
        <v>0.448087257384222</v>
      </c>
      <c r="J9" s="14">
        <v>0.36162362212572202</v>
      </c>
      <c r="K9" s="14">
        <v>0.21705384553578599</v>
      </c>
      <c r="L9" s="14" t="s">
        <v>88</v>
      </c>
      <c r="M9" s="14"/>
      <c r="N9" s="14">
        <v>0.53383050890211803</v>
      </c>
      <c r="O9" s="14">
        <v>0.369823144374477</v>
      </c>
      <c r="P9" s="14">
        <v>0.35608315603727297</v>
      </c>
      <c r="Q9" s="14">
        <v>0.46354251087973403</v>
      </c>
      <c r="R9" s="14"/>
      <c r="S9" s="14">
        <v>0.49749355850468802</v>
      </c>
      <c r="T9" s="14">
        <v>0.40294600741615</v>
      </c>
      <c r="U9" s="14">
        <v>0.50222752182901897</v>
      </c>
      <c r="V9" s="14">
        <v>0.42809274513482898</v>
      </c>
      <c r="W9" s="14">
        <v>0.53762521950952102</v>
      </c>
      <c r="X9" s="14">
        <v>0.51556430439090895</v>
      </c>
      <c r="Y9" s="14">
        <v>0.30470821719902202</v>
      </c>
      <c r="Z9" s="14">
        <v>0.265742401397218</v>
      </c>
      <c r="AA9" s="14">
        <v>0.349055007773383</v>
      </c>
      <c r="AB9" s="14"/>
      <c r="AC9" s="14">
        <v>0.462388778154667</v>
      </c>
      <c r="AD9" s="14">
        <v>0.401193384429266</v>
      </c>
      <c r="AE9" s="14">
        <v>0.395519871733858</v>
      </c>
      <c r="AF9" s="14">
        <v>0.64651429377257796</v>
      </c>
      <c r="AG9" s="14">
        <v>0.31144570341279099</v>
      </c>
      <c r="AH9" s="14"/>
      <c r="AI9" s="14">
        <v>0.45354614785510999</v>
      </c>
      <c r="AJ9" s="14">
        <v>0.35824769665913597</v>
      </c>
      <c r="AK9" s="14">
        <v>0.63111054539301803</v>
      </c>
      <c r="AL9" s="14">
        <v>0.51541036324118905</v>
      </c>
      <c r="AM9" s="14">
        <v>0.373062221822273</v>
      </c>
      <c r="AN9" s="14">
        <v>0.22517634302848399</v>
      </c>
      <c r="AO9" s="14"/>
      <c r="AP9" s="14">
        <v>0.50556224727132104</v>
      </c>
      <c r="AQ9" s="14">
        <v>0.37714695233489198</v>
      </c>
      <c r="AR9" s="14"/>
      <c r="AS9" s="14">
        <v>0.43434515248477501</v>
      </c>
      <c r="AT9" s="14" t="s">
        <v>88</v>
      </c>
      <c r="AU9" s="14" t="s">
        <v>88</v>
      </c>
      <c r="AV9" s="14"/>
      <c r="AW9" s="14">
        <v>0.43167610434019499</v>
      </c>
      <c r="AX9" s="14">
        <v>0.46447805786155499</v>
      </c>
      <c r="AY9" s="14"/>
      <c r="AZ9" s="14">
        <v>0.48599117472076397</v>
      </c>
      <c r="BA9" s="14">
        <v>0.22524832281366799</v>
      </c>
    </row>
    <row r="10" spans="2:53" x14ac:dyDescent="0.35">
      <c r="B10" s="15" t="s">
        <v>221</v>
      </c>
      <c r="C10" s="14">
        <v>0.425401063512652</v>
      </c>
      <c r="D10" s="14">
        <v>0.35712147721427101</v>
      </c>
      <c r="E10" s="14">
        <v>0.498862885017548</v>
      </c>
      <c r="F10" s="14"/>
      <c r="G10" s="14">
        <v>0.81376978947731304</v>
      </c>
      <c r="H10" s="14">
        <v>0.42560860074372903</v>
      </c>
      <c r="I10" s="14">
        <v>0.41325834344008699</v>
      </c>
      <c r="J10" s="14">
        <v>0.439436483180913</v>
      </c>
      <c r="K10" s="14">
        <v>0.459861398080882</v>
      </c>
      <c r="L10" s="14" t="s">
        <v>88</v>
      </c>
      <c r="M10" s="14"/>
      <c r="N10" s="14">
        <v>0.36958321644690501</v>
      </c>
      <c r="O10" s="14">
        <v>0.445950703532356</v>
      </c>
      <c r="P10" s="14">
        <v>0.45892673554611402</v>
      </c>
      <c r="Q10" s="14">
        <v>0.44117953636301499</v>
      </c>
      <c r="R10" s="14"/>
      <c r="S10" s="14">
        <v>0.35639440776892001</v>
      </c>
      <c r="T10" s="14">
        <v>0.51027105638265702</v>
      </c>
      <c r="U10" s="14">
        <v>0.26228858710530301</v>
      </c>
      <c r="V10" s="14">
        <v>0.48709555111358499</v>
      </c>
      <c r="W10" s="14">
        <v>0.46237478049047898</v>
      </c>
      <c r="X10" s="14">
        <v>0.34249859932675297</v>
      </c>
      <c r="Y10" s="14">
        <v>0.40353925618202202</v>
      </c>
      <c r="Z10" s="14">
        <v>0.53721179034113598</v>
      </c>
      <c r="AA10" s="14">
        <v>0.54378244729198999</v>
      </c>
      <c r="AB10" s="14"/>
      <c r="AC10" s="14">
        <v>0.32374698591308299</v>
      </c>
      <c r="AD10" s="14">
        <v>0.49376297803501901</v>
      </c>
      <c r="AE10" s="14">
        <v>0.45108245728212198</v>
      </c>
      <c r="AF10" s="14">
        <v>0.280748429501957</v>
      </c>
      <c r="AG10" s="14">
        <v>0.65119309931201197</v>
      </c>
      <c r="AH10" s="14"/>
      <c r="AI10" s="14">
        <v>0.40132614137129702</v>
      </c>
      <c r="AJ10" s="14">
        <v>0.49092477502723603</v>
      </c>
      <c r="AK10" s="14">
        <v>0.285140704995408</v>
      </c>
      <c r="AL10" s="14">
        <v>0.31002750486361702</v>
      </c>
      <c r="AM10" s="14">
        <v>0.51509703512599003</v>
      </c>
      <c r="AN10" s="14">
        <v>0.57339790750991104</v>
      </c>
      <c r="AO10" s="14"/>
      <c r="AP10" s="14">
        <v>0.39149604873270299</v>
      </c>
      <c r="AQ10" s="14">
        <v>0.45263196681305801</v>
      </c>
      <c r="AR10" s="14"/>
      <c r="AS10" s="14">
        <v>0.425401063512652</v>
      </c>
      <c r="AT10" s="14" t="s">
        <v>88</v>
      </c>
      <c r="AU10" s="14" t="s">
        <v>88</v>
      </c>
      <c r="AV10" s="14"/>
      <c r="AW10" s="14">
        <v>0.42687734542751299</v>
      </c>
      <c r="AX10" s="14">
        <v>0.39170995726637498</v>
      </c>
      <c r="AY10" s="14"/>
      <c r="AZ10" s="14">
        <v>0.38199845572451702</v>
      </c>
      <c r="BA10" s="14">
        <v>0.60112316746267203</v>
      </c>
    </row>
    <row r="11" spans="2:53" x14ac:dyDescent="0.35">
      <c r="B11" s="15" t="s">
        <v>222</v>
      </c>
      <c r="C11" s="14">
        <v>4.7245128497066101E-2</v>
      </c>
      <c r="D11" s="14">
        <v>5.9491310482711598E-2</v>
      </c>
      <c r="E11" s="14">
        <v>3.4069494549687003E-2</v>
      </c>
      <c r="F11" s="14"/>
      <c r="G11" s="14">
        <v>0</v>
      </c>
      <c r="H11" s="14">
        <v>3.6323113591989101E-2</v>
      </c>
      <c r="I11" s="14">
        <v>5.13984575785085E-2</v>
      </c>
      <c r="J11" s="14">
        <v>6.62913832519232E-2</v>
      </c>
      <c r="K11" s="14">
        <v>0</v>
      </c>
      <c r="L11" s="14" t="s">
        <v>88</v>
      </c>
      <c r="M11" s="14"/>
      <c r="N11" s="14">
        <v>2.2218269644718999E-2</v>
      </c>
      <c r="O11" s="14">
        <v>5.8620222710793701E-2</v>
      </c>
      <c r="P11" s="14">
        <v>0.108716824132688</v>
      </c>
      <c r="Q11" s="14">
        <v>0</v>
      </c>
      <c r="R11" s="14"/>
      <c r="S11" s="14">
        <v>0.123026160669693</v>
      </c>
      <c r="T11" s="14">
        <v>0</v>
      </c>
      <c r="U11" s="14">
        <v>0.11254699981268999</v>
      </c>
      <c r="V11" s="14">
        <v>0</v>
      </c>
      <c r="W11" s="14">
        <v>0</v>
      </c>
      <c r="X11" s="14">
        <v>0</v>
      </c>
      <c r="Y11" s="14">
        <v>9.1626390798190793E-2</v>
      </c>
      <c r="Z11" s="14">
        <v>0</v>
      </c>
      <c r="AA11" s="14">
        <v>0</v>
      </c>
      <c r="AB11" s="14"/>
      <c r="AC11" s="14">
        <v>7.5535331827203206E-2</v>
      </c>
      <c r="AD11" s="14">
        <v>2.26294019972406E-2</v>
      </c>
      <c r="AE11" s="14">
        <v>7.6957236789466393E-2</v>
      </c>
      <c r="AF11" s="14">
        <v>9.5757428722823695E-3</v>
      </c>
      <c r="AG11" s="14">
        <v>0</v>
      </c>
      <c r="AH11" s="14"/>
      <c r="AI11" s="14">
        <v>6.2428286105132201E-2</v>
      </c>
      <c r="AJ11" s="14">
        <v>3.4496441198673601E-2</v>
      </c>
      <c r="AK11" s="14">
        <v>0</v>
      </c>
      <c r="AL11" s="14">
        <v>0.13324379383219601</v>
      </c>
      <c r="AM11" s="14">
        <v>0</v>
      </c>
      <c r="AN11" s="14">
        <v>0</v>
      </c>
      <c r="AO11" s="14"/>
      <c r="AP11" s="14">
        <v>4.1219646373088302E-2</v>
      </c>
      <c r="AQ11" s="14">
        <v>5.2084510580255698E-2</v>
      </c>
      <c r="AR11" s="14"/>
      <c r="AS11" s="14">
        <v>4.7245128497066101E-2</v>
      </c>
      <c r="AT11" s="14" t="s">
        <v>88</v>
      </c>
      <c r="AU11" s="14" t="s">
        <v>88</v>
      </c>
      <c r="AV11" s="14"/>
      <c r="AW11" s="14">
        <v>4.6424672643160803E-2</v>
      </c>
      <c r="AX11" s="14">
        <v>5.2115276386160703E-2</v>
      </c>
      <c r="AY11" s="14"/>
      <c r="AZ11" s="14">
        <v>4.9918902892392703E-2</v>
      </c>
      <c r="BA11" s="14">
        <v>3.6419943417681802E-2</v>
      </c>
    </row>
    <row r="12" spans="2:53" x14ac:dyDescent="0.35">
      <c r="B12" s="15" t="s">
        <v>223</v>
      </c>
      <c r="C12" s="14">
        <v>4.6912798228857903E-3</v>
      </c>
      <c r="D12" s="14">
        <v>0</v>
      </c>
      <c r="E12" s="14">
        <v>9.7386150465106399E-3</v>
      </c>
      <c r="F12" s="14"/>
      <c r="G12" s="14">
        <v>0</v>
      </c>
      <c r="H12" s="14">
        <v>0</v>
      </c>
      <c r="I12" s="14">
        <v>7.7956171477283204E-3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0</v>
      </c>
      <c r="P12" s="14">
        <v>2.0579964148868E-2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5.9236153882114E-2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2.2433751182700901E-2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1.05323608174134E-2</v>
      </c>
      <c r="AQ12" s="14">
        <v>0</v>
      </c>
      <c r="AR12" s="14"/>
      <c r="AS12" s="14">
        <v>4.6912798228857903E-3</v>
      </c>
      <c r="AT12" s="14" t="s">
        <v>88</v>
      </c>
      <c r="AU12" s="14" t="s">
        <v>88</v>
      </c>
      <c r="AV12" s="14"/>
      <c r="AW12" s="14">
        <v>6.33250415814218E-3</v>
      </c>
      <c r="AX12" s="14">
        <v>0</v>
      </c>
      <c r="AY12" s="14"/>
      <c r="AZ12" s="14">
        <v>0</v>
      </c>
      <c r="BA12" s="14">
        <v>2.3684644569995E-2</v>
      </c>
    </row>
    <row r="13" spans="2:53" x14ac:dyDescent="0.35">
      <c r="B13" s="15" t="s">
        <v>116</v>
      </c>
      <c r="C13" s="18">
        <v>2.1044132858005798E-2</v>
      </c>
      <c r="D13" s="18">
        <v>1.52940697259372E-2</v>
      </c>
      <c r="E13" s="18">
        <v>2.7230610169159598E-2</v>
      </c>
      <c r="F13" s="18"/>
      <c r="G13" s="18">
        <v>0</v>
      </c>
      <c r="H13" s="18">
        <v>0</v>
      </c>
      <c r="I13" s="18">
        <v>2.1797700244231898E-2</v>
      </c>
      <c r="J13" s="18">
        <v>7.8301323154721006E-2</v>
      </c>
      <c r="K13" s="18">
        <v>0</v>
      </c>
      <c r="L13" s="18" t="s">
        <v>88</v>
      </c>
      <c r="M13" s="18"/>
      <c r="N13" s="18">
        <v>0</v>
      </c>
      <c r="O13" s="18">
        <v>2.83888138725313E-2</v>
      </c>
      <c r="P13" s="18">
        <v>0</v>
      </c>
      <c r="Q13" s="18">
        <v>6.4855067733208094E-2</v>
      </c>
      <c r="R13" s="18"/>
      <c r="S13" s="18">
        <v>1.8786235550483799E-2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0.15150313143299701</v>
      </c>
      <c r="Z13" s="18">
        <v>7.4761639943358105E-2</v>
      </c>
      <c r="AA13" s="18">
        <v>0</v>
      </c>
      <c r="AB13" s="18"/>
      <c r="AC13" s="18">
        <v>7.4215357506454402E-2</v>
      </c>
      <c r="AD13" s="18">
        <v>0</v>
      </c>
      <c r="AE13" s="18">
        <v>0</v>
      </c>
      <c r="AF13" s="18">
        <v>2.5579318604064899E-2</v>
      </c>
      <c r="AG13" s="18">
        <v>0</v>
      </c>
      <c r="AH13" s="18"/>
      <c r="AI13" s="18">
        <v>9.3209147582723195E-3</v>
      </c>
      <c r="AJ13" s="18">
        <v>5.7525008211494498E-2</v>
      </c>
      <c r="AK13" s="18">
        <v>0</v>
      </c>
      <c r="AL13" s="18">
        <v>0</v>
      </c>
      <c r="AM13" s="18">
        <v>0</v>
      </c>
      <c r="AN13" s="18">
        <v>9.73136959119075E-2</v>
      </c>
      <c r="AO13" s="18"/>
      <c r="AP13" s="18">
        <v>8.0859566928016303E-3</v>
      </c>
      <c r="AQ13" s="18">
        <v>3.1451526702086299E-2</v>
      </c>
      <c r="AR13" s="18"/>
      <c r="AS13" s="18">
        <v>2.1044132858005798E-2</v>
      </c>
      <c r="AT13" s="18" t="s">
        <v>88</v>
      </c>
      <c r="AU13" s="18" t="s">
        <v>88</v>
      </c>
      <c r="AV13" s="18"/>
      <c r="AW13" s="18">
        <v>2.8406333422644502E-2</v>
      </c>
      <c r="AX13" s="18">
        <v>0</v>
      </c>
      <c r="AY13" s="18"/>
      <c r="AZ13" s="18">
        <v>1.5000685027285699E-2</v>
      </c>
      <c r="BA13" s="18">
        <v>4.5511956844762502E-2</v>
      </c>
    </row>
    <row r="14" spans="2:53" x14ac:dyDescent="0.35">
      <c r="B14" s="26" t="s">
        <v>224</v>
      </c>
      <c r="C14" s="27">
        <v>0.85974621599742695</v>
      </c>
      <c r="D14" s="27">
        <v>0.86198797125594195</v>
      </c>
      <c r="E14" s="27">
        <v>0.85733431760163104</v>
      </c>
      <c r="F14" s="27"/>
      <c r="G14" s="27">
        <v>1</v>
      </c>
      <c r="H14" s="27">
        <v>0.88485637575678</v>
      </c>
      <c r="I14" s="27">
        <v>0.861345600824309</v>
      </c>
      <c r="J14" s="27">
        <v>0.80106010530663396</v>
      </c>
      <c r="K14" s="27">
        <v>0.67691524361666799</v>
      </c>
      <c r="L14" s="27" t="s">
        <v>88</v>
      </c>
      <c r="M14" s="27"/>
      <c r="N14" s="27">
        <v>0.90341372534902298</v>
      </c>
      <c r="O14" s="27">
        <v>0.81577384790683405</v>
      </c>
      <c r="P14" s="27">
        <v>0.81500989158338699</v>
      </c>
      <c r="Q14" s="27">
        <v>0.90472204724274896</v>
      </c>
      <c r="R14" s="27"/>
      <c r="S14" s="27">
        <v>0.85388796627360797</v>
      </c>
      <c r="T14" s="27">
        <v>0.91321706379880696</v>
      </c>
      <c r="U14" s="27">
        <v>0.76451610893432198</v>
      </c>
      <c r="V14" s="27">
        <v>0.91518829624841402</v>
      </c>
      <c r="W14" s="27">
        <v>1</v>
      </c>
      <c r="X14" s="27">
        <v>0.85806290371766203</v>
      </c>
      <c r="Y14" s="27">
        <v>0.70824747338104399</v>
      </c>
      <c r="Z14" s="27">
        <v>0.80295419173835403</v>
      </c>
      <c r="AA14" s="27">
        <v>0.89283745506537304</v>
      </c>
      <c r="AB14" s="27"/>
      <c r="AC14" s="27">
        <v>0.78613576406774999</v>
      </c>
      <c r="AD14" s="27">
        <v>0.894956362464285</v>
      </c>
      <c r="AE14" s="27">
        <v>0.84660232901597998</v>
      </c>
      <c r="AF14" s="27">
        <v>0.92726272327453496</v>
      </c>
      <c r="AG14" s="27">
        <v>0.96263880272480296</v>
      </c>
      <c r="AH14" s="27"/>
      <c r="AI14" s="27">
        <v>0.85487228922640701</v>
      </c>
      <c r="AJ14" s="27">
        <v>0.849172471686372</v>
      </c>
      <c r="AK14" s="27">
        <v>0.91625125038842603</v>
      </c>
      <c r="AL14" s="27">
        <v>0.82543786810480602</v>
      </c>
      <c r="AM14" s="27">
        <v>0.88815925694826303</v>
      </c>
      <c r="AN14" s="27">
        <v>0.79857425053839504</v>
      </c>
      <c r="AO14" s="27"/>
      <c r="AP14" s="27">
        <v>0.89705829600402398</v>
      </c>
      <c r="AQ14" s="27">
        <v>0.82977891914794999</v>
      </c>
      <c r="AR14" s="27"/>
      <c r="AS14" s="27">
        <v>0.85974621599742695</v>
      </c>
      <c r="AT14" s="27" t="s">
        <v>88</v>
      </c>
      <c r="AU14" s="27" t="s">
        <v>88</v>
      </c>
      <c r="AV14" s="27"/>
      <c r="AW14" s="27">
        <v>0.85855344976770798</v>
      </c>
      <c r="AX14" s="27">
        <v>0.85618801512792997</v>
      </c>
      <c r="AY14" s="27"/>
      <c r="AZ14" s="27">
        <v>0.86798963044528099</v>
      </c>
      <c r="BA14" s="27">
        <v>0.82637149027634005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BA16"/>
  <sheetViews>
    <sheetView showGridLines="0" topLeftCell="A6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364</v>
      </c>
      <c r="D7" s="10">
        <v>168</v>
      </c>
      <c r="E7" s="10">
        <v>196</v>
      </c>
      <c r="F7" s="10"/>
      <c r="G7" s="10">
        <v>7</v>
      </c>
      <c r="H7" s="10">
        <v>124</v>
      </c>
      <c r="I7" s="10">
        <v>179</v>
      </c>
      <c r="J7" s="10">
        <v>44</v>
      </c>
      <c r="K7" s="10">
        <v>10</v>
      </c>
      <c r="L7" s="10" t="s">
        <v>87</v>
      </c>
      <c r="M7" s="10"/>
      <c r="N7" s="10">
        <v>175</v>
      </c>
      <c r="O7" s="10">
        <v>85</v>
      </c>
      <c r="P7" s="10">
        <v>48</v>
      </c>
      <c r="Q7" s="10">
        <v>56</v>
      </c>
      <c r="R7" s="10"/>
      <c r="S7" s="10">
        <v>82</v>
      </c>
      <c r="T7" s="10">
        <v>57</v>
      </c>
      <c r="U7" s="10">
        <v>33</v>
      </c>
      <c r="V7" s="10">
        <v>40</v>
      </c>
      <c r="W7" s="10">
        <v>22</v>
      </c>
      <c r="X7" s="10">
        <v>31</v>
      </c>
      <c r="Y7" s="10">
        <v>33</v>
      </c>
      <c r="Z7" s="10">
        <v>20</v>
      </c>
      <c r="AA7" s="10">
        <v>46</v>
      </c>
      <c r="AB7" s="10"/>
      <c r="AC7" s="10">
        <v>31</v>
      </c>
      <c r="AD7" s="10">
        <v>61</v>
      </c>
      <c r="AE7" s="10">
        <v>132</v>
      </c>
      <c r="AF7" s="10">
        <v>79</v>
      </c>
      <c r="AG7" s="10">
        <v>30</v>
      </c>
      <c r="AH7" s="10"/>
      <c r="AI7" s="10">
        <v>146</v>
      </c>
      <c r="AJ7" s="10">
        <v>63</v>
      </c>
      <c r="AK7" s="10">
        <v>38</v>
      </c>
      <c r="AL7" s="10">
        <v>44</v>
      </c>
      <c r="AM7" s="10">
        <v>18</v>
      </c>
      <c r="AN7" s="10">
        <v>27</v>
      </c>
      <c r="AO7" s="10"/>
      <c r="AP7" s="10">
        <v>178</v>
      </c>
      <c r="AQ7" s="10">
        <v>186</v>
      </c>
      <c r="AR7" s="10"/>
      <c r="AS7" s="10">
        <v>363</v>
      </c>
      <c r="AT7" s="10" t="s">
        <v>87</v>
      </c>
      <c r="AU7" s="10">
        <v>1</v>
      </c>
      <c r="AV7" s="10"/>
      <c r="AW7" s="10">
        <v>251</v>
      </c>
      <c r="AX7" s="10">
        <v>101</v>
      </c>
      <c r="AY7" s="10"/>
      <c r="AZ7" s="10">
        <v>302</v>
      </c>
      <c r="BA7" s="10">
        <v>61</v>
      </c>
    </row>
    <row r="8" spans="2:53" ht="30" customHeight="1" x14ac:dyDescent="0.35">
      <c r="B8" s="11" t="s">
        <v>19</v>
      </c>
      <c r="C8" s="11">
        <v>356</v>
      </c>
      <c r="D8" s="11">
        <v>199</v>
      </c>
      <c r="E8" s="11">
        <v>157</v>
      </c>
      <c r="F8" s="11"/>
      <c r="G8" s="11">
        <v>6</v>
      </c>
      <c r="H8" s="11">
        <v>98</v>
      </c>
      <c r="I8" s="11">
        <v>191</v>
      </c>
      <c r="J8" s="11">
        <v>48</v>
      </c>
      <c r="K8" s="11">
        <v>13</v>
      </c>
      <c r="L8" s="11" t="s">
        <v>87</v>
      </c>
      <c r="M8" s="11"/>
      <c r="N8" s="11">
        <v>104</v>
      </c>
      <c r="O8" s="11">
        <v>95</v>
      </c>
      <c r="P8" s="11">
        <v>72</v>
      </c>
      <c r="Q8" s="11">
        <v>85</v>
      </c>
      <c r="R8" s="11"/>
      <c r="S8" s="11">
        <v>70</v>
      </c>
      <c r="T8" s="11">
        <v>61</v>
      </c>
      <c r="U8" s="11">
        <v>44</v>
      </c>
      <c r="V8" s="11">
        <v>47</v>
      </c>
      <c r="W8" s="11">
        <v>21</v>
      </c>
      <c r="X8" s="11">
        <v>23</v>
      </c>
      <c r="Y8" s="11">
        <v>30</v>
      </c>
      <c r="Z8" s="11">
        <v>19</v>
      </c>
      <c r="AA8" s="11">
        <v>39</v>
      </c>
      <c r="AB8" s="11"/>
      <c r="AC8" s="11">
        <v>41</v>
      </c>
      <c r="AD8" s="11">
        <v>77</v>
      </c>
      <c r="AE8" s="11">
        <v>124</v>
      </c>
      <c r="AF8" s="11">
        <v>59</v>
      </c>
      <c r="AG8" s="11">
        <v>16</v>
      </c>
      <c r="AH8" s="11"/>
      <c r="AI8" s="11">
        <v>128</v>
      </c>
      <c r="AJ8" s="11">
        <v>61</v>
      </c>
      <c r="AK8" s="11">
        <v>38</v>
      </c>
      <c r="AL8" s="11">
        <v>47</v>
      </c>
      <c r="AM8" s="11">
        <v>19</v>
      </c>
      <c r="AN8" s="11">
        <v>28</v>
      </c>
      <c r="AO8" s="11"/>
      <c r="AP8" s="11">
        <v>167</v>
      </c>
      <c r="AQ8" s="11">
        <v>189</v>
      </c>
      <c r="AR8" s="11"/>
      <c r="AS8" s="11">
        <v>355</v>
      </c>
      <c r="AT8" s="11" t="s">
        <v>87</v>
      </c>
      <c r="AU8" s="11">
        <v>1</v>
      </c>
      <c r="AV8" s="11"/>
      <c r="AW8" s="11">
        <v>267</v>
      </c>
      <c r="AX8" s="11">
        <v>74</v>
      </c>
      <c r="AY8" s="11"/>
      <c r="AZ8" s="11">
        <v>291</v>
      </c>
      <c r="BA8" s="11">
        <v>64</v>
      </c>
    </row>
    <row r="9" spans="2:53" x14ac:dyDescent="0.35">
      <c r="B9" s="15" t="s">
        <v>154</v>
      </c>
      <c r="C9" s="14">
        <v>0.51246079793817501</v>
      </c>
      <c r="D9" s="14">
        <v>0.50696691022578799</v>
      </c>
      <c r="E9" s="14">
        <v>0.51944053670402202</v>
      </c>
      <c r="F9" s="14"/>
      <c r="G9" s="14">
        <v>0.69667603271613798</v>
      </c>
      <c r="H9" s="14">
        <v>0.43407077413080603</v>
      </c>
      <c r="I9" s="14">
        <v>0.57747242392027898</v>
      </c>
      <c r="J9" s="14">
        <v>0.41792723369736201</v>
      </c>
      <c r="K9" s="14">
        <v>0.40203600326480499</v>
      </c>
      <c r="L9" s="14" t="s">
        <v>88</v>
      </c>
      <c r="M9" s="14"/>
      <c r="N9" s="14">
        <v>0.53512350969186395</v>
      </c>
      <c r="O9" s="14">
        <v>0.47533577360028401</v>
      </c>
      <c r="P9" s="14">
        <v>0.37007501055353298</v>
      </c>
      <c r="Q9" s="14">
        <v>0.64622424080058904</v>
      </c>
      <c r="R9" s="14"/>
      <c r="S9" s="14">
        <v>0.58557304755819795</v>
      </c>
      <c r="T9" s="14">
        <v>0.60426283918981505</v>
      </c>
      <c r="U9" s="14">
        <v>0.41822227343795199</v>
      </c>
      <c r="V9" s="14">
        <v>0.46726440245358702</v>
      </c>
      <c r="W9" s="14">
        <v>0.38472792593544403</v>
      </c>
      <c r="X9" s="14">
        <v>0.407328675906863</v>
      </c>
      <c r="Y9" s="14">
        <v>0.474005679403258</v>
      </c>
      <c r="Z9" s="14">
        <v>0.469594983576474</v>
      </c>
      <c r="AA9" s="14">
        <v>0.58296758030292795</v>
      </c>
      <c r="AB9" s="14"/>
      <c r="AC9" s="14">
        <v>0.38557011830627602</v>
      </c>
      <c r="AD9" s="14">
        <v>0.43311433985692899</v>
      </c>
      <c r="AE9" s="14">
        <v>0.52386712144292302</v>
      </c>
      <c r="AF9" s="14">
        <v>0.53056082244979896</v>
      </c>
      <c r="AG9" s="14">
        <v>0.73435232732192102</v>
      </c>
      <c r="AH9" s="14"/>
      <c r="AI9" s="14">
        <v>0.527544140017287</v>
      </c>
      <c r="AJ9" s="14">
        <v>0.60802765470937203</v>
      </c>
      <c r="AK9" s="14">
        <v>0.59673411935443299</v>
      </c>
      <c r="AL9" s="14">
        <v>0.38925242747949701</v>
      </c>
      <c r="AM9" s="14">
        <v>0.45778236825917801</v>
      </c>
      <c r="AN9" s="14">
        <v>0.528778728948048</v>
      </c>
      <c r="AO9" s="14"/>
      <c r="AP9" s="14">
        <v>0.51151700525219701</v>
      </c>
      <c r="AQ9" s="14">
        <v>0.51329417462214</v>
      </c>
      <c r="AR9" s="14"/>
      <c r="AS9" s="14">
        <v>0.511550832972957</v>
      </c>
      <c r="AT9" s="14" t="s">
        <v>88</v>
      </c>
      <c r="AU9" s="14">
        <v>1</v>
      </c>
      <c r="AV9" s="14"/>
      <c r="AW9" s="14">
        <v>0.47494438299945002</v>
      </c>
      <c r="AX9" s="14">
        <v>0.64639542097460601</v>
      </c>
      <c r="AY9" s="14"/>
      <c r="AZ9" s="14">
        <v>0.51136437880922203</v>
      </c>
      <c r="BA9" s="14">
        <v>0.50719168374342205</v>
      </c>
    </row>
    <row r="10" spans="2:53" x14ac:dyDescent="0.35">
      <c r="B10" s="15" t="s">
        <v>155</v>
      </c>
      <c r="C10" s="14">
        <v>0.299508651841419</v>
      </c>
      <c r="D10" s="14">
        <v>0.329982805166812</v>
      </c>
      <c r="E10" s="14">
        <v>0.26079260221374601</v>
      </c>
      <c r="F10" s="14"/>
      <c r="G10" s="14">
        <v>0.30332396728386202</v>
      </c>
      <c r="H10" s="14">
        <v>0.37820275901429201</v>
      </c>
      <c r="I10" s="14">
        <v>0.282786668164479</v>
      </c>
      <c r="J10" s="14">
        <v>0.17224053996897201</v>
      </c>
      <c r="K10" s="14">
        <v>0.42385438326603703</v>
      </c>
      <c r="L10" s="14" t="s">
        <v>88</v>
      </c>
      <c r="M10" s="14"/>
      <c r="N10" s="14">
        <v>0.27004825594989601</v>
      </c>
      <c r="O10" s="14">
        <v>0.37799760968138701</v>
      </c>
      <c r="P10" s="14">
        <v>0.37936194081668301</v>
      </c>
      <c r="Q10" s="14">
        <v>0.18071769757912601</v>
      </c>
      <c r="R10" s="14"/>
      <c r="S10" s="14">
        <v>0.23825543613124101</v>
      </c>
      <c r="T10" s="14">
        <v>0.19188931001583001</v>
      </c>
      <c r="U10" s="14">
        <v>0.35076465503682602</v>
      </c>
      <c r="V10" s="14">
        <v>0.34856148290297101</v>
      </c>
      <c r="W10" s="14">
        <v>0.53367240128902504</v>
      </c>
      <c r="X10" s="14">
        <v>0.277354715679758</v>
      </c>
      <c r="Y10" s="14">
        <v>0.36931667796190298</v>
      </c>
      <c r="Z10" s="14">
        <v>0.28611968189687598</v>
      </c>
      <c r="AA10" s="14">
        <v>0.297035130146797</v>
      </c>
      <c r="AB10" s="14"/>
      <c r="AC10" s="14">
        <v>0.39849987768004103</v>
      </c>
      <c r="AD10" s="14">
        <v>0.284555788056296</v>
      </c>
      <c r="AE10" s="14">
        <v>0.27679521061123502</v>
      </c>
      <c r="AF10" s="14">
        <v>0.29891402595282102</v>
      </c>
      <c r="AG10" s="14">
        <v>0.26564767267807898</v>
      </c>
      <c r="AH10" s="14"/>
      <c r="AI10" s="14">
        <v>0.29780331216992401</v>
      </c>
      <c r="AJ10" s="14">
        <v>0.33587290756314497</v>
      </c>
      <c r="AK10" s="14">
        <v>0.319247231414584</v>
      </c>
      <c r="AL10" s="14">
        <v>0.40989043494237298</v>
      </c>
      <c r="AM10" s="14">
        <v>0.195575744125871</v>
      </c>
      <c r="AN10" s="14">
        <v>0.31177952632205902</v>
      </c>
      <c r="AO10" s="14"/>
      <c r="AP10" s="14">
        <v>0.28371757787180102</v>
      </c>
      <c r="AQ10" s="14">
        <v>0.31345229969604299</v>
      </c>
      <c r="AR10" s="14"/>
      <c r="AS10" s="14">
        <v>0.30006766818062303</v>
      </c>
      <c r="AT10" s="14" t="s">
        <v>88</v>
      </c>
      <c r="AU10" s="14">
        <v>0</v>
      </c>
      <c r="AV10" s="14"/>
      <c r="AW10" s="14">
        <v>0.30098033193867002</v>
      </c>
      <c r="AX10" s="14">
        <v>0.283663233449852</v>
      </c>
      <c r="AY10" s="14"/>
      <c r="AZ10" s="14">
        <v>0.32356020342540898</v>
      </c>
      <c r="BA10" s="14">
        <v>0.196203094825943</v>
      </c>
    </row>
    <row r="11" spans="2:53" x14ac:dyDescent="0.35">
      <c r="B11" s="15" t="s">
        <v>116</v>
      </c>
      <c r="C11" s="23">
        <v>0.18803055022040699</v>
      </c>
      <c r="D11" s="23">
        <v>0.16305028460739901</v>
      </c>
      <c r="E11" s="23">
        <v>0.21976686108223201</v>
      </c>
      <c r="F11" s="23"/>
      <c r="G11" s="23">
        <v>0</v>
      </c>
      <c r="H11" s="23">
        <v>0.18772646685490199</v>
      </c>
      <c r="I11" s="23">
        <v>0.13974090791524199</v>
      </c>
      <c r="J11" s="23">
        <v>0.409832226333667</v>
      </c>
      <c r="K11" s="23">
        <v>0.17410961346915799</v>
      </c>
      <c r="L11" s="23" t="s">
        <v>88</v>
      </c>
      <c r="M11" s="23"/>
      <c r="N11" s="23">
        <v>0.19482823435824001</v>
      </c>
      <c r="O11" s="23">
        <v>0.14666661671833001</v>
      </c>
      <c r="P11" s="23">
        <v>0.25056304862978401</v>
      </c>
      <c r="Q11" s="23">
        <v>0.173058061620285</v>
      </c>
      <c r="R11" s="23"/>
      <c r="S11" s="23">
        <v>0.17617151631056099</v>
      </c>
      <c r="T11" s="23">
        <v>0.20384785079435599</v>
      </c>
      <c r="U11" s="23">
        <v>0.23101307152522199</v>
      </c>
      <c r="V11" s="23">
        <v>0.18417411464344199</v>
      </c>
      <c r="W11" s="23">
        <v>8.1599672775530999E-2</v>
      </c>
      <c r="X11" s="23">
        <v>0.315316608413378</v>
      </c>
      <c r="Y11" s="23">
        <v>0.15667764263483999</v>
      </c>
      <c r="Z11" s="23">
        <v>0.24428533452664999</v>
      </c>
      <c r="AA11" s="23">
        <v>0.119997289550275</v>
      </c>
      <c r="AB11" s="23"/>
      <c r="AC11" s="23">
        <v>0.21593000401368301</v>
      </c>
      <c r="AD11" s="23">
        <v>0.28232987208677601</v>
      </c>
      <c r="AE11" s="23">
        <v>0.19933766794584101</v>
      </c>
      <c r="AF11" s="23">
        <v>0.17052515159737999</v>
      </c>
      <c r="AG11" s="23">
        <v>0</v>
      </c>
      <c r="AH11" s="23"/>
      <c r="AI11" s="23">
        <v>0.17465254781278899</v>
      </c>
      <c r="AJ11" s="23">
        <v>5.6099437727483499E-2</v>
      </c>
      <c r="AK11" s="23">
        <v>8.40186492309829E-2</v>
      </c>
      <c r="AL11" s="23">
        <v>0.20085713757813001</v>
      </c>
      <c r="AM11" s="23">
        <v>0.34664188761495102</v>
      </c>
      <c r="AN11" s="23">
        <v>0.159441744729893</v>
      </c>
      <c r="AO11" s="23"/>
      <c r="AP11" s="23">
        <v>0.204765416876002</v>
      </c>
      <c r="AQ11" s="23">
        <v>0.17325352568181801</v>
      </c>
      <c r="AR11" s="23"/>
      <c r="AS11" s="23">
        <v>0.18838149884642</v>
      </c>
      <c r="AT11" s="23" t="s">
        <v>88</v>
      </c>
      <c r="AU11" s="23">
        <v>0</v>
      </c>
      <c r="AV11" s="23"/>
      <c r="AW11" s="23">
        <v>0.22407528506188101</v>
      </c>
      <c r="AX11" s="23">
        <v>6.9941345575541505E-2</v>
      </c>
      <c r="AY11" s="23"/>
      <c r="AZ11" s="23">
        <v>0.16507541776536999</v>
      </c>
      <c r="BA11" s="23">
        <v>0.296605221430635</v>
      </c>
    </row>
    <row r="12" spans="2:53" x14ac:dyDescent="0.35">
      <c r="B12" s="16" t="s">
        <v>213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BA18"/>
  <sheetViews>
    <sheetView showGridLines="0" topLeftCell="A6" workbookViewId="0">
      <pane xSplit="2" topLeftCell="C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193</v>
      </c>
      <c r="D7" s="10">
        <v>89</v>
      </c>
      <c r="E7" s="10">
        <v>104</v>
      </c>
      <c r="F7" s="10"/>
      <c r="G7" s="10">
        <v>5</v>
      </c>
      <c r="H7" s="10">
        <v>60</v>
      </c>
      <c r="I7" s="10">
        <v>105</v>
      </c>
      <c r="J7" s="10">
        <v>18</v>
      </c>
      <c r="K7" s="10">
        <v>5</v>
      </c>
      <c r="L7" s="10" t="s">
        <v>87</v>
      </c>
      <c r="M7" s="10"/>
      <c r="N7" s="10">
        <v>97</v>
      </c>
      <c r="O7" s="10">
        <v>43</v>
      </c>
      <c r="P7" s="10">
        <v>18</v>
      </c>
      <c r="Q7" s="10">
        <v>35</v>
      </c>
      <c r="R7" s="10"/>
      <c r="S7" s="10">
        <v>51</v>
      </c>
      <c r="T7" s="10">
        <v>34</v>
      </c>
      <c r="U7" s="10">
        <v>16</v>
      </c>
      <c r="V7" s="10">
        <v>18</v>
      </c>
      <c r="W7" s="10">
        <v>8</v>
      </c>
      <c r="X7" s="10">
        <v>14</v>
      </c>
      <c r="Y7" s="10">
        <v>17</v>
      </c>
      <c r="Z7" s="10">
        <v>9</v>
      </c>
      <c r="AA7" s="10">
        <v>26</v>
      </c>
      <c r="AB7" s="10"/>
      <c r="AC7" s="10">
        <v>14</v>
      </c>
      <c r="AD7" s="10">
        <v>28</v>
      </c>
      <c r="AE7" s="10">
        <v>70</v>
      </c>
      <c r="AF7" s="10">
        <v>41</v>
      </c>
      <c r="AG7" s="10">
        <v>21</v>
      </c>
      <c r="AH7" s="10"/>
      <c r="AI7" s="10">
        <v>82</v>
      </c>
      <c r="AJ7" s="10">
        <v>38</v>
      </c>
      <c r="AK7" s="10">
        <v>23</v>
      </c>
      <c r="AL7" s="10">
        <v>18</v>
      </c>
      <c r="AM7" s="10">
        <v>9</v>
      </c>
      <c r="AN7" s="10">
        <v>11</v>
      </c>
      <c r="AO7" s="10"/>
      <c r="AP7" s="10">
        <v>97</v>
      </c>
      <c r="AQ7" s="10">
        <v>96</v>
      </c>
      <c r="AR7" s="10"/>
      <c r="AS7" s="10">
        <v>192</v>
      </c>
      <c r="AT7" s="10" t="s">
        <v>87</v>
      </c>
      <c r="AU7" s="10">
        <v>1</v>
      </c>
      <c r="AV7" s="10"/>
      <c r="AW7" s="10">
        <v>119</v>
      </c>
      <c r="AX7" s="10">
        <v>67</v>
      </c>
      <c r="AY7" s="10"/>
      <c r="AZ7" s="10">
        <v>162</v>
      </c>
      <c r="BA7" s="10">
        <v>30</v>
      </c>
    </row>
    <row r="8" spans="2:53" ht="30" customHeight="1" x14ac:dyDescent="0.35">
      <c r="B8" s="11" t="s">
        <v>19</v>
      </c>
      <c r="C8" s="11">
        <v>182</v>
      </c>
      <c r="D8" s="11">
        <v>101</v>
      </c>
      <c r="E8" s="11">
        <v>81</v>
      </c>
      <c r="F8" s="11"/>
      <c r="G8" s="11">
        <v>4</v>
      </c>
      <c r="H8" s="11">
        <v>42</v>
      </c>
      <c r="I8" s="11">
        <v>110</v>
      </c>
      <c r="J8" s="11">
        <v>20</v>
      </c>
      <c r="K8" s="11">
        <v>5</v>
      </c>
      <c r="L8" s="11" t="s">
        <v>87</v>
      </c>
      <c r="M8" s="11"/>
      <c r="N8" s="11">
        <v>56</v>
      </c>
      <c r="O8" s="11">
        <v>45</v>
      </c>
      <c r="P8" s="11">
        <v>27</v>
      </c>
      <c r="Q8" s="11">
        <v>55</v>
      </c>
      <c r="R8" s="11"/>
      <c r="S8" s="11">
        <v>41</v>
      </c>
      <c r="T8" s="11">
        <v>37</v>
      </c>
      <c r="U8" s="11">
        <v>19</v>
      </c>
      <c r="V8" s="11">
        <v>22</v>
      </c>
      <c r="W8" s="11">
        <v>8</v>
      </c>
      <c r="X8" s="11">
        <v>9</v>
      </c>
      <c r="Y8" s="11">
        <v>14</v>
      </c>
      <c r="Z8" s="11">
        <v>9</v>
      </c>
      <c r="AA8" s="11">
        <v>23</v>
      </c>
      <c r="AB8" s="11"/>
      <c r="AC8" s="11">
        <v>16</v>
      </c>
      <c r="AD8" s="11">
        <v>33</v>
      </c>
      <c r="AE8" s="11">
        <v>65</v>
      </c>
      <c r="AF8" s="11">
        <v>32</v>
      </c>
      <c r="AG8" s="11">
        <v>12</v>
      </c>
      <c r="AH8" s="11"/>
      <c r="AI8" s="11">
        <v>68</v>
      </c>
      <c r="AJ8" s="11">
        <v>37</v>
      </c>
      <c r="AK8" s="11">
        <v>23</v>
      </c>
      <c r="AL8" s="11">
        <v>18</v>
      </c>
      <c r="AM8" s="11">
        <v>9</v>
      </c>
      <c r="AN8" s="11">
        <v>15</v>
      </c>
      <c r="AO8" s="11"/>
      <c r="AP8" s="11">
        <v>85</v>
      </c>
      <c r="AQ8" s="11">
        <v>97</v>
      </c>
      <c r="AR8" s="11"/>
      <c r="AS8" s="11">
        <v>182</v>
      </c>
      <c r="AT8" s="11" t="s">
        <v>87</v>
      </c>
      <c r="AU8" s="11">
        <v>1</v>
      </c>
      <c r="AV8" s="11"/>
      <c r="AW8" s="11">
        <v>127</v>
      </c>
      <c r="AX8" s="11">
        <v>48</v>
      </c>
      <c r="AY8" s="11"/>
      <c r="AZ8" s="11">
        <v>149</v>
      </c>
      <c r="BA8" s="11">
        <v>32</v>
      </c>
    </row>
    <row r="9" spans="2:53" x14ac:dyDescent="0.35">
      <c r="B9" s="15" t="s">
        <v>214</v>
      </c>
      <c r="C9" s="14">
        <v>0.21055534119317201</v>
      </c>
      <c r="D9" s="14">
        <v>0.18467851958359699</v>
      </c>
      <c r="E9" s="14">
        <v>0.242641231667376</v>
      </c>
      <c r="F9" s="14"/>
      <c r="G9" s="14">
        <v>0.79247255257131499</v>
      </c>
      <c r="H9" s="14">
        <v>0.15676368407379801</v>
      </c>
      <c r="I9" s="14">
        <v>0.214075476473256</v>
      </c>
      <c r="J9" s="14">
        <v>0.16696222313279799</v>
      </c>
      <c r="K9" s="14">
        <v>0.25939966684022803</v>
      </c>
      <c r="L9" s="14" t="s">
        <v>88</v>
      </c>
      <c r="M9" s="14"/>
      <c r="N9" s="14">
        <v>0.234060349997749</v>
      </c>
      <c r="O9" s="14">
        <v>0.131226854734983</v>
      </c>
      <c r="P9" s="14">
        <v>0.19719852948557301</v>
      </c>
      <c r="Q9" s="14">
        <v>0.258229818758479</v>
      </c>
      <c r="R9" s="14"/>
      <c r="S9" s="14">
        <v>0.25718950642885702</v>
      </c>
      <c r="T9" s="14">
        <v>0.103320171793956</v>
      </c>
      <c r="U9" s="14">
        <v>0.21619216862615401</v>
      </c>
      <c r="V9" s="14">
        <v>0.25597425612943298</v>
      </c>
      <c r="W9" s="14">
        <v>0.18999679144825801</v>
      </c>
      <c r="X9" s="14">
        <v>0.25100037880166198</v>
      </c>
      <c r="Y9" s="14">
        <v>1.9276841286398401E-2</v>
      </c>
      <c r="Z9" s="14">
        <v>0.115726915476373</v>
      </c>
      <c r="AA9" s="14">
        <v>0.40035655630782802</v>
      </c>
      <c r="AB9" s="14"/>
      <c r="AC9" s="14">
        <v>0.24104476818078099</v>
      </c>
      <c r="AD9" s="14">
        <v>0.216047770993858</v>
      </c>
      <c r="AE9" s="14">
        <v>0.203142126449498</v>
      </c>
      <c r="AF9" s="14">
        <v>0.240260408093255</v>
      </c>
      <c r="AG9" s="14">
        <v>0.25760676541004901</v>
      </c>
      <c r="AH9" s="14"/>
      <c r="AI9" s="14">
        <v>0.16571926526592801</v>
      </c>
      <c r="AJ9" s="14">
        <v>0.22168393449511301</v>
      </c>
      <c r="AK9" s="14">
        <v>0.12629211196982501</v>
      </c>
      <c r="AL9" s="14">
        <v>0.19746971765158899</v>
      </c>
      <c r="AM9" s="14">
        <v>0.27915861956815602</v>
      </c>
      <c r="AN9" s="14">
        <v>0.336261292043461</v>
      </c>
      <c r="AO9" s="14"/>
      <c r="AP9" s="14">
        <v>0.236483805981827</v>
      </c>
      <c r="AQ9" s="14">
        <v>0.187739563202835</v>
      </c>
      <c r="AR9" s="14"/>
      <c r="AS9" s="14">
        <v>0.211323573551847</v>
      </c>
      <c r="AT9" s="14" t="s">
        <v>88</v>
      </c>
      <c r="AU9" s="14">
        <v>0</v>
      </c>
      <c r="AV9" s="14"/>
      <c r="AW9" s="14">
        <v>0.14779485979635501</v>
      </c>
      <c r="AX9" s="14">
        <v>0.39537866327668603</v>
      </c>
      <c r="AY9" s="14"/>
      <c r="AZ9" s="14">
        <v>0.23568262744212101</v>
      </c>
      <c r="BA9" s="14">
        <v>0.10383992175945</v>
      </c>
    </row>
    <row r="10" spans="2:53" x14ac:dyDescent="0.35">
      <c r="B10" s="15" t="s">
        <v>215</v>
      </c>
      <c r="C10" s="14">
        <v>0.50320002846476997</v>
      </c>
      <c r="D10" s="14">
        <v>0.50072535834249099</v>
      </c>
      <c r="E10" s="14">
        <v>0.50626848856011097</v>
      </c>
      <c r="F10" s="14"/>
      <c r="G10" s="14">
        <v>0</v>
      </c>
      <c r="H10" s="14">
        <v>0.60001909085026295</v>
      </c>
      <c r="I10" s="14">
        <v>0.49553082970638401</v>
      </c>
      <c r="J10" s="14">
        <v>0.48232604936488899</v>
      </c>
      <c r="K10" s="14">
        <v>0.37138493590083099</v>
      </c>
      <c r="L10" s="14" t="s">
        <v>88</v>
      </c>
      <c r="M10" s="14"/>
      <c r="N10" s="14">
        <v>0.59218729124665803</v>
      </c>
      <c r="O10" s="14">
        <v>0.45133869744039301</v>
      </c>
      <c r="P10" s="14">
        <v>0.50452097687780695</v>
      </c>
      <c r="Q10" s="14">
        <v>0.45517321094186802</v>
      </c>
      <c r="R10" s="14"/>
      <c r="S10" s="14">
        <v>0.45388294813389002</v>
      </c>
      <c r="T10" s="14">
        <v>0.59109544140422798</v>
      </c>
      <c r="U10" s="14">
        <v>0.39605031386696699</v>
      </c>
      <c r="V10" s="14">
        <v>0.45460665322352001</v>
      </c>
      <c r="W10" s="14">
        <v>0.52886467702339501</v>
      </c>
      <c r="X10" s="14">
        <v>0.62372717383032505</v>
      </c>
      <c r="Y10" s="14">
        <v>0.678321481057376</v>
      </c>
      <c r="Z10" s="14">
        <v>0.68598821202826199</v>
      </c>
      <c r="AA10" s="14">
        <v>0.34208880909623002</v>
      </c>
      <c r="AB10" s="14"/>
      <c r="AC10" s="14">
        <v>0.54035790698151998</v>
      </c>
      <c r="AD10" s="14">
        <v>0.45973848250806398</v>
      </c>
      <c r="AE10" s="14">
        <v>0.50345427421506805</v>
      </c>
      <c r="AF10" s="14">
        <v>0.55274258210086302</v>
      </c>
      <c r="AG10" s="14">
        <v>0.63265349126220205</v>
      </c>
      <c r="AH10" s="14"/>
      <c r="AI10" s="14">
        <v>0.56682818354134101</v>
      </c>
      <c r="AJ10" s="14">
        <v>0.58540304577829505</v>
      </c>
      <c r="AK10" s="14">
        <v>0.48450730425365701</v>
      </c>
      <c r="AL10" s="14">
        <v>0.47516768050201003</v>
      </c>
      <c r="AM10" s="14">
        <v>0.39316806457796</v>
      </c>
      <c r="AN10" s="14">
        <v>0.42709099684149998</v>
      </c>
      <c r="AO10" s="14"/>
      <c r="AP10" s="14">
        <v>0.49237595588761901</v>
      </c>
      <c r="AQ10" s="14">
        <v>0.51272468173231101</v>
      </c>
      <c r="AR10" s="14"/>
      <c r="AS10" s="14">
        <v>0.50503600442511398</v>
      </c>
      <c r="AT10" s="14" t="s">
        <v>88</v>
      </c>
      <c r="AU10" s="14">
        <v>0</v>
      </c>
      <c r="AV10" s="14"/>
      <c r="AW10" s="14">
        <v>0.532748895143487</v>
      </c>
      <c r="AX10" s="14">
        <v>0.48732219350718597</v>
      </c>
      <c r="AY10" s="14"/>
      <c r="AZ10" s="14">
        <v>0.48651767626853998</v>
      </c>
      <c r="BA10" s="14">
        <v>0.60074430759994901</v>
      </c>
    </row>
    <row r="11" spans="2:53" x14ac:dyDescent="0.35">
      <c r="B11" s="15" t="s">
        <v>216</v>
      </c>
      <c r="C11" s="14">
        <v>0.108021536598868</v>
      </c>
      <c r="D11" s="14">
        <v>0.13465590644522701</v>
      </c>
      <c r="E11" s="14">
        <v>7.49963263688955E-2</v>
      </c>
      <c r="F11" s="14"/>
      <c r="G11" s="14">
        <v>0</v>
      </c>
      <c r="H11" s="14">
        <v>7.0192915598539504E-2</v>
      </c>
      <c r="I11" s="14">
        <v>0.104923408539518</v>
      </c>
      <c r="J11" s="14">
        <v>0.21948226355836101</v>
      </c>
      <c r="K11" s="14">
        <v>0.145019652620479</v>
      </c>
      <c r="L11" s="14" t="s">
        <v>88</v>
      </c>
      <c r="M11" s="14"/>
      <c r="N11" s="14">
        <v>7.2876280594888904E-2</v>
      </c>
      <c r="O11" s="14">
        <v>0.20270576107371499</v>
      </c>
      <c r="P11" s="14">
        <v>9.6576751209294903E-2</v>
      </c>
      <c r="Q11" s="14">
        <v>7.1503862251936903E-2</v>
      </c>
      <c r="R11" s="14"/>
      <c r="S11" s="14">
        <v>0.18197696452857301</v>
      </c>
      <c r="T11" s="14">
        <v>0.13146498362783501</v>
      </c>
      <c r="U11" s="14">
        <v>0.116309856745874</v>
      </c>
      <c r="V11" s="14">
        <v>9.2620868058617994E-2</v>
      </c>
      <c r="W11" s="14">
        <v>0.281138531528347</v>
      </c>
      <c r="X11" s="14">
        <v>1.70585615917213E-2</v>
      </c>
      <c r="Y11" s="14">
        <v>5.1493495958055802E-2</v>
      </c>
      <c r="Z11" s="14">
        <v>0</v>
      </c>
      <c r="AA11" s="14">
        <v>0</v>
      </c>
      <c r="AB11" s="14"/>
      <c r="AC11" s="14">
        <v>2.0964653472006101E-2</v>
      </c>
      <c r="AD11" s="14">
        <v>9.9135085957533398E-2</v>
      </c>
      <c r="AE11" s="14">
        <v>0.112593487600695</v>
      </c>
      <c r="AF11" s="14">
        <v>0.13627040076677999</v>
      </c>
      <c r="AG11" s="14">
        <v>4.39193346756621E-2</v>
      </c>
      <c r="AH11" s="14"/>
      <c r="AI11" s="14">
        <v>0.12205248482138201</v>
      </c>
      <c r="AJ11" s="14">
        <v>4.7938615781235101E-2</v>
      </c>
      <c r="AK11" s="14">
        <v>0.17036178068487501</v>
      </c>
      <c r="AL11" s="14">
        <v>0.164175729532653</v>
      </c>
      <c r="AM11" s="14">
        <v>0</v>
      </c>
      <c r="AN11" s="14">
        <v>9.7106638505499193E-2</v>
      </c>
      <c r="AO11" s="14"/>
      <c r="AP11" s="14">
        <v>8.9702566577453402E-2</v>
      </c>
      <c r="AQ11" s="14">
        <v>0.12414133221450099</v>
      </c>
      <c r="AR11" s="14"/>
      <c r="AS11" s="14">
        <v>0.104767063380842</v>
      </c>
      <c r="AT11" s="14" t="s">
        <v>88</v>
      </c>
      <c r="AU11" s="14">
        <v>1</v>
      </c>
      <c r="AV11" s="14"/>
      <c r="AW11" s="14">
        <v>0.106087202420844</v>
      </c>
      <c r="AX11" s="14">
        <v>4.5886854477651298E-2</v>
      </c>
      <c r="AY11" s="14"/>
      <c r="AZ11" s="14">
        <v>0.110228028371467</v>
      </c>
      <c r="BA11" s="14">
        <v>6.0851539439760002E-2</v>
      </c>
    </row>
    <row r="12" spans="2:53" x14ac:dyDescent="0.35">
      <c r="B12" s="15" t="s">
        <v>217</v>
      </c>
      <c r="C12" s="14">
        <v>1.94652426609522E-2</v>
      </c>
      <c r="D12" s="14">
        <v>2.9537316886741799E-2</v>
      </c>
      <c r="E12" s="14">
        <v>6.9764032148761802E-3</v>
      </c>
      <c r="F12" s="14"/>
      <c r="G12" s="14">
        <v>0</v>
      </c>
      <c r="H12" s="14">
        <v>7.6277719705189397E-3</v>
      </c>
      <c r="I12" s="14">
        <v>2.9193175837442301E-2</v>
      </c>
      <c r="J12" s="14">
        <v>0</v>
      </c>
      <c r="K12" s="14">
        <v>0</v>
      </c>
      <c r="L12" s="14" t="s">
        <v>88</v>
      </c>
      <c r="M12" s="14"/>
      <c r="N12" s="14">
        <v>1.6039720595360098E-2</v>
      </c>
      <c r="O12" s="14">
        <v>5.8940097511279897E-2</v>
      </c>
      <c r="P12" s="14">
        <v>0</v>
      </c>
      <c r="Q12" s="14">
        <v>0</v>
      </c>
      <c r="R12" s="14"/>
      <c r="S12" s="14">
        <v>4.2712584693508499E-2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0.198284872495365</v>
      </c>
      <c r="AA12" s="14">
        <v>0</v>
      </c>
      <c r="AB12" s="14"/>
      <c r="AC12" s="14">
        <v>0</v>
      </c>
      <c r="AD12" s="14">
        <v>5.4189169362479798E-2</v>
      </c>
      <c r="AE12" s="14">
        <v>2.18528014011494E-2</v>
      </c>
      <c r="AF12" s="14">
        <v>0</v>
      </c>
      <c r="AG12" s="14">
        <v>2.7003536922669599E-2</v>
      </c>
      <c r="AH12" s="14"/>
      <c r="AI12" s="14">
        <v>3.15096255520428E-2</v>
      </c>
      <c r="AJ12" s="14">
        <v>0</v>
      </c>
      <c r="AK12" s="14">
        <v>6.27623455875327E-2</v>
      </c>
      <c r="AL12" s="14">
        <v>0</v>
      </c>
      <c r="AM12" s="14">
        <v>0</v>
      </c>
      <c r="AN12" s="14">
        <v>0</v>
      </c>
      <c r="AO12" s="14"/>
      <c r="AP12" s="14">
        <v>3.4932083284892501E-2</v>
      </c>
      <c r="AQ12" s="14">
        <v>5.8551811025771899E-3</v>
      </c>
      <c r="AR12" s="14"/>
      <c r="AS12" s="14">
        <v>1.9536263558341201E-2</v>
      </c>
      <c r="AT12" s="14" t="s">
        <v>88</v>
      </c>
      <c r="AU12" s="14">
        <v>0</v>
      </c>
      <c r="AV12" s="14"/>
      <c r="AW12" s="14">
        <v>2.5474701140363001E-2</v>
      </c>
      <c r="AX12" s="14">
        <v>6.7888369777104104E-3</v>
      </c>
      <c r="AY12" s="14"/>
      <c r="AZ12" s="14">
        <v>2.0056898733015902E-2</v>
      </c>
      <c r="BA12" s="14">
        <v>1.7554774638863801E-2</v>
      </c>
    </row>
    <row r="13" spans="2:53" x14ac:dyDescent="0.35">
      <c r="B13" s="15" t="s">
        <v>116</v>
      </c>
      <c r="C13" s="23">
        <v>9.6865437770460999E-2</v>
      </c>
      <c r="D13" s="23">
        <v>9.2828269386178899E-2</v>
      </c>
      <c r="E13" s="23">
        <v>0.101871313088474</v>
      </c>
      <c r="F13" s="23"/>
      <c r="G13" s="23">
        <v>0</v>
      </c>
      <c r="H13" s="23">
        <v>0.113615284976887</v>
      </c>
      <c r="I13" s="23">
        <v>8.4932328083485595E-2</v>
      </c>
      <c r="J13" s="23">
        <v>0.11594389517871601</v>
      </c>
      <c r="K13" s="23">
        <v>0.22419574463846201</v>
      </c>
      <c r="L13" s="23" t="s">
        <v>88</v>
      </c>
      <c r="M13" s="23"/>
      <c r="N13" s="23">
        <v>3.3393729491615398E-2</v>
      </c>
      <c r="O13" s="23">
        <v>2.3831287844698401E-2</v>
      </c>
      <c r="P13" s="23">
        <v>0.15822968650406799</v>
      </c>
      <c r="Q13" s="23">
        <v>0.19112753863181001</v>
      </c>
      <c r="R13" s="23"/>
      <c r="S13" s="23">
        <v>6.4237996215171497E-2</v>
      </c>
      <c r="T13" s="23">
        <v>3.3188013226898301E-2</v>
      </c>
      <c r="U13" s="23">
        <v>0.27144766076100502</v>
      </c>
      <c r="V13" s="23">
        <v>0.137247053191139</v>
      </c>
      <c r="W13" s="23">
        <v>0</v>
      </c>
      <c r="X13" s="23">
        <v>9.1155324184570299E-2</v>
      </c>
      <c r="Y13" s="23">
        <v>0.11716053593126501</v>
      </c>
      <c r="Z13" s="23">
        <v>0</v>
      </c>
      <c r="AA13" s="23">
        <v>0.14031825233891301</v>
      </c>
      <c r="AB13" s="23"/>
      <c r="AC13" s="23">
        <v>0.106032643396221</v>
      </c>
      <c r="AD13" s="23">
        <v>6.61659488206853E-2</v>
      </c>
      <c r="AE13" s="23">
        <v>8.1873648909867106E-2</v>
      </c>
      <c r="AF13" s="23">
        <v>4.2623028710312601E-2</v>
      </c>
      <c r="AG13" s="23">
        <v>0</v>
      </c>
      <c r="AH13" s="23"/>
      <c r="AI13" s="23">
        <v>4.0145584229923099E-2</v>
      </c>
      <c r="AJ13" s="23">
        <v>6.2633479072584694E-2</v>
      </c>
      <c r="AK13" s="23">
        <v>0.156076457504111</v>
      </c>
      <c r="AL13" s="23">
        <v>0.106764518530838</v>
      </c>
      <c r="AM13" s="23">
        <v>0.32767331585388398</v>
      </c>
      <c r="AN13" s="23">
        <v>0.13954107260953999</v>
      </c>
      <c r="AO13" s="23"/>
      <c r="AP13" s="23">
        <v>0.101772598528859</v>
      </c>
      <c r="AQ13" s="23">
        <v>9.2547376854046903E-2</v>
      </c>
      <c r="AR13" s="23"/>
      <c r="AS13" s="23">
        <v>9.72188610714836E-2</v>
      </c>
      <c r="AT13" s="23" t="s">
        <v>88</v>
      </c>
      <c r="AU13" s="23">
        <v>0</v>
      </c>
      <c r="AV13" s="23"/>
      <c r="AW13" s="23">
        <v>0.123111511302952</v>
      </c>
      <c r="AX13" s="23">
        <v>0</v>
      </c>
      <c r="AY13" s="23"/>
      <c r="AZ13" s="23">
        <v>9.05171896079425E-2</v>
      </c>
      <c r="BA13" s="23">
        <v>0.13005634360120599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BA19"/>
  <sheetViews>
    <sheetView showGridLines="0" workbookViewId="0">
      <pane xSplit="2" topLeftCell="C1" activePane="topRight" state="frozen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193</v>
      </c>
      <c r="D7" s="10">
        <v>89</v>
      </c>
      <c r="E7" s="10">
        <v>104</v>
      </c>
      <c r="F7" s="10"/>
      <c r="G7" s="10">
        <v>5</v>
      </c>
      <c r="H7" s="10">
        <v>60</v>
      </c>
      <c r="I7" s="10">
        <v>105</v>
      </c>
      <c r="J7" s="10">
        <v>18</v>
      </c>
      <c r="K7" s="10">
        <v>5</v>
      </c>
      <c r="L7" s="10" t="s">
        <v>87</v>
      </c>
      <c r="M7" s="10"/>
      <c r="N7" s="10">
        <v>97</v>
      </c>
      <c r="O7" s="10">
        <v>43</v>
      </c>
      <c r="P7" s="10">
        <v>18</v>
      </c>
      <c r="Q7" s="10">
        <v>35</v>
      </c>
      <c r="R7" s="10"/>
      <c r="S7" s="10">
        <v>51</v>
      </c>
      <c r="T7" s="10">
        <v>34</v>
      </c>
      <c r="U7" s="10">
        <v>16</v>
      </c>
      <c r="V7" s="10">
        <v>18</v>
      </c>
      <c r="W7" s="10">
        <v>8</v>
      </c>
      <c r="X7" s="10">
        <v>14</v>
      </c>
      <c r="Y7" s="10">
        <v>17</v>
      </c>
      <c r="Z7" s="10">
        <v>9</v>
      </c>
      <c r="AA7" s="10">
        <v>26</v>
      </c>
      <c r="AB7" s="10"/>
      <c r="AC7" s="10">
        <v>14</v>
      </c>
      <c r="AD7" s="10">
        <v>28</v>
      </c>
      <c r="AE7" s="10">
        <v>70</v>
      </c>
      <c r="AF7" s="10">
        <v>41</v>
      </c>
      <c r="AG7" s="10">
        <v>21</v>
      </c>
      <c r="AH7" s="10"/>
      <c r="AI7" s="10">
        <v>82</v>
      </c>
      <c r="AJ7" s="10">
        <v>38</v>
      </c>
      <c r="AK7" s="10">
        <v>23</v>
      </c>
      <c r="AL7" s="10">
        <v>18</v>
      </c>
      <c r="AM7" s="10">
        <v>9</v>
      </c>
      <c r="AN7" s="10">
        <v>11</v>
      </c>
      <c r="AO7" s="10"/>
      <c r="AP7" s="10">
        <v>97</v>
      </c>
      <c r="AQ7" s="10">
        <v>96</v>
      </c>
      <c r="AR7" s="10"/>
      <c r="AS7" s="10">
        <v>192</v>
      </c>
      <c r="AT7" s="10" t="s">
        <v>87</v>
      </c>
      <c r="AU7" s="10">
        <v>1</v>
      </c>
      <c r="AV7" s="10"/>
      <c r="AW7" s="10">
        <v>119</v>
      </c>
      <c r="AX7" s="10">
        <v>67</v>
      </c>
      <c r="AY7" s="10"/>
      <c r="AZ7" s="10">
        <v>162</v>
      </c>
      <c r="BA7" s="10">
        <v>30</v>
      </c>
    </row>
    <row r="8" spans="2:53" ht="30" customHeight="1" x14ac:dyDescent="0.35">
      <c r="B8" s="11" t="s">
        <v>19</v>
      </c>
      <c r="C8" s="11">
        <v>182</v>
      </c>
      <c r="D8" s="11">
        <v>101</v>
      </c>
      <c r="E8" s="11">
        <v>81</v>
      </c>
      <c r="F8" s="11"/>
      <c r="G8" s="11">
        <v>4</v>
      </c>
      <c r="H8" s="11">
        <v>42</v>
      </c>
      <c r="I8" s="11">
        <v>110</v>
      </c>
      <c r="J8" s="11">
        <v>20</v>
      </c>
      <c r="K8" s="11">
        <v>5</v>
      </c>
      <c r="L8" s="11" t="s">
        <v>87</v>
      </c>
      <c r="M8" s="11"/>
      <c r="N8" s="11">
        <v>56</v>
      </c>
      <c r="O8" s="11">
        <v>45</v>
      </c>
      <c r="P8" s="11">
        <v>27</v>
      </c>
      <c r="Q8" s="11">
        <v>55</v>
      </c>
      <c r="R8" s="11"/>
      <c r="S8" s="11">
        <v>41</v>
      </c>
      <c r="T8" s="11">
        <v>37</v>
      </c>
      <c r="U8" s="11">
        <v>19</v>
      </c>
      <c r="V8" s="11">
        <v>22</v>
      </c>
      <c r="W8" s="11">
        <v>8</v>
      </c>
      <c r="X8" s="11">
        <v>9</v>
      </c>
      <c r="Y8" s="11">
        <v>14</v>
      </c>
      <c r="Z8" s="11">
        <v>9</v>
      </c>
      <c r="AA8" s="11">
        <v>23</v>
      </c>
      <c r="AB8" s="11"/>
      <c r="AC8" s="11">
        <v>16</v>
      </c>
      <c r="AD8" s="11">
        <v>33</v>
      </c>
      <c r="AE8" s="11">
        <v>65</v>
      </c>
      <c r="AF8" s="11">
        <v>32</v>
      </c>
      <c r="AG8" s="11">
        <v>12</v>
      </c>
      <c r="AH8" s="11"/>
      <c r="AI8" s="11">
        <v>68</v>
      </c>
      <c r="AJ8" s="11">
        <v>37</v>
      </c>
      <c r="AK8" s="11">
        <v>23</v>
      </c>
      <c r="AL8" s="11">
        <v>18</v>
      </c>
      <c r="AM8" s="11">
        <v>9</v>
      </c>
      <c r="AN8" s="11">
        <v>15</v>
      </c>
      <c r="AO8" s="11"/>
      <c r="AP8" s="11">
        <v>85</v>
      </c>
      <c r="AQ8" s="11">
        <v>97</v>
      </c>
      <c r="AR8" s="11"/>
      <c r="AS8" s="11">
        <v>182</v>
      </c>
      <c r="AT8" s="11" t="s">
        <v>87</v>
      </c>
      <c r="AU8" s="11">
        <v>1</v>
      </c>
      <c r="AV8" s="11"/>
      <c r="AW8" s="11">
        <v>127</v>
      </c>
      <c r="AX8" s="11">
        <v>48</v>
      </c>
      <c r="AY8" s="11"/>
      <c r="AZ8" s="11">
        <v>149</v>
      </c>
      <c r="BA8" s="11">
        <v>32</v>
      </c>
    </row>
    <row r="9" spans="2:53" x14ac:dyDescent="0.35">
      <c r="B9" s="15" t="s">
        <v>220</v>
      </c>
      <c r="C9" s="14">
        <v>0.27230877455913899</v>
      </c>
      <c r="D9" s="14">
        <v>0.30256710379019103</v>
      </c>
      <c r="E9" s="14">
        <v>0.234790046320866</v>
      </c>
      <c r="F9" s="14"/>
      <c r="G9" s="14">
        <v>0.47762424215274302</v>
      </c>
      <c r="H9" s="14">
        <v>0.24741841162348599</v>
      </c>
      <c r="I9" s="14">
        <v>0.26825025169891298</v>
      </c>
      <c r="J9" s="14">
        <v>0.30640267582959402</v>
      </c>
      <c r="K9" s="14">
        <v>0.25939966684022803</v>
      </c>
      <c r="L9" s="14" t="s">
        <v>88</v>
      </c>
      <c r="M9" s="14"/>
      <c r="N9" s="14">
        <v>0.26386451177936998</v>
      </c>
      <c r="O9" s="14">
        <v>0.191319941569977</v>
      </c>
      <c r="P9" s="14">
        <v>0.179192717504463</v>
      </c>
      <c r="Q9" s="14">
        <v>0.392121004874873</v>
      </c>
      <c r="R9" s="14"/>
      <c r="S9" s="14">
        <v>0.31397901153896302</v>
      </c>
      <c r="T9" s="14">
        <v>0.19538230868900699</v>
      </c>
      <c r="U9" s="14">
        <v>0.289019807831779</v>
      </c>
      <c r="V9" s="14">
        <v>0.39640629802621902</v>
      </c>
      <c r="W9" s="14">
        <v>0.39457724773090203</v>
      </c>
      <c r="X9" s="14">
        <v>0.17646708250604101</v>
      </c>
      <c r="Y9" s="14">
        <v>0.281668834382164</v>
      </c>
      <c r="Z9" s="14">
        <v>0.115726915476373</v>
      </c>
      <c r="AA9" s="14">
        <v>0.240716735826151</v>
      </c>
      <c r="AB9" s="14"/>
      <c r="AC9" s="14">
        <v>0.38443808511120903</v>
      </c>
      <c r="AD9" s="14">
        <v>0.32827988800264202</v>
      </c>
      <c r="AE9" s="14">
        <v>0.31932276161054102</v>
      </c>
      <c r="AF9" s="14">
        <v>0.26216586738200498</v>
      </c>
      <c r="AG9" s="14">
        <v>0.16815812554477699</v>
      </c>
      <c r="AH9" s="14"/>
      <c r="AI9" s="14">
        <v>0.29970295644884598</v>
      </c>
      <c r="AJ9" s="14">
        <v>0.33678006218321499</v>
      </c>
      <c r="AK9" s="14">
        <v>8.49020729296351E-2</v>
      </c>
      <c r="AL9" s="14">
        <v>0.408340613641757</v>
      </c>
      <c r="AM9" s="14">
        <v>0</v>
      </c>
      <c r="AN9" s="14">
        <v>0.23316886235637099</v>
      </c>
      <c r="AO9" s="14"/>
      <c r="AP9" s="14">
        <v>0.30278161666870301</v>
      </c>
      <c r="AQ9" s="14">
        <v>0.245494167293589</v>
      </c>
      <c r="AR9" s="14"/>
      <c r="AS9" s="14">
        <v>0.273302320536087</v>
      </c>
      <c r="AT9" s="14" t="s">
        <v>88</v>
      </c>
      <c r="AU9" s="14">
        <v>0</v>
      </c>
      <c r="AV9" s="14"/>
      <c r="AW9" s="14">
        <v>0.25297279463949202</v>
      </c>
      <c r="AX9" s="14">
        <v>0.369385686252165</v>
      </c>
      <c r="AY9" s="14"/>
      <c r="AZ9" s="14">
        <v>0.30009034710028998</v>
      </c>
      <c r="BA9" s="14">
        <v>0.15596098931563199</v>
      </c>
    </row>
    <row r="10" spans="2:53" x14ac:dyDescent="0.35">
      <c r="B10" s="15" t="s">
        <v>221</v>
      </c>
      <c r="C10" s="14">
        <v>0.46589007837537599</v>
      </c>
      <c r="D10" s="14">
        <v>0.49256654817204099</v>
      </c>
      <c r="E10" s="14">
        <v>0.43281266643319699</v>
      </c>
      <c r="F10" s="14"/>
      <c r="G10" s="14">
        <v>0</v>
      </c>
      <c r="H10" s="14">
        <v>0.499920618250697</v>
      </c>
      <c r="I10" s="14">
        <v>0.500053306796164</v>
      </c>
      <c r="J10" s="14">
        <v>0.34288559666809298</v>
      </c>
      <c r="K10" s="14">
        <v>0.31928876964304198</v>
      </c>
      <c r="L10" s="14" t="s">
        <v>88</v>
      </c>
      <c r="M10" s="14"/>
      <c r="N10" s="14">
        <v>0.55961665390501703</v>
      </c>
      <c r="O10" s="14">
        <v>0.46614043124155302</v>
      </c>
      <c r="P10" s="14">
        <v>0.56859409632757396</v>
      </c>
      <c r="Q10" s="14">
        <v>0.32144614530288801</v>
      </c>
      <c r="R10" s="14"/>
      <c r="S10" s="14">
        <v>0.44800479294086598</v>
      </c>
      <c r="T10" s="14">
        <v>0.58837871954273302</v>
      </c>
      <c r="U10" s="14">
        <v>0.27411467722500599</v>
      </c>
      <c r="V10" s="14">
        <v>0.31417461132673502</v>
      </c>
      <c r="W10" s="14">
        <v>0.52495047429433195</v>
      </c>
      <c r="X10" s="14">
        <v>0.52497888133320403</v>
      </c>
      <c r="Y10" s="14">
        <v>0.46966862293024197</v>
      </c>
      <c r="Z10" s="14">
        <v>0.60279327436536001</v>
      </c>
      <c r="AA10" s="14">
        <v>0.49973199506657201</v>
      </c>
      <c r="AB10" s="14"/>
      <c r="AC10" s="14">
        <v>0.34179337844116597</v>
      </c>
      <c r="AD10" s="14">
        <v>0.36107590791323901</v>
      </c>
      <c r="AE10" s="14">
        <v>0.42370121270525601</v>
      </c>
      <c r="AF10" s="14">
        <v>0.56486707196054498</v>
      </c>
      <c r="AG10" s="14">
        <v>0.66720141646604803</v>
      </c>
      <c r="AH10" s="14"/>
      <c r="AI10" s="14">
        <v>0.48206169855279102</v>
      </c>
      <c r="AJ10" s="14">
        <v>0.429926412342095</v>
      </c>
      <c r="AK10" s="14">
        <v>0.49446464682583302</v>
      </c>
      <c r="AL10" s="14">
        <v>0.46996373838770999</v>
      </c>
      <c r="AM10" s="14">
        <v>0.55127399360474305</v>
      </c>
      <c r="AN10" s="14">
        <v>0.57006860314110996</v>
      </c>
      <c r="AO10" s="14"/>
      <c r="AP10" s="14">
        <v>0.52257882026413705</v>
      </c>
      <c r="AQ10" s="14">
        <v>0.41600676441799</v>
      </c>
      <c r="AR10" s="14"/>
      <c r="AS10" s="14">
        <v>0.46758992522687498</v>
      </c>
      <c r="AT10" s="14" t="s">
        <v>88</v>
      </c>
      <c r="AU10" s="14">
        <v>0</v>
      </c>
      <c r="AV10" s="14"/>
      <c r="AW10" s="14">
        <v>0.43931372237414101</v>
      </c>
      <c r="AX10" s="14">
        <v>0.50181067868400897</v>
      </c>
      <c r="AY10" s="14"/>
      <c r="AZ10" s="14">
        <v>0.49265971033975098</v>
      </c>
      <c r="BA10" s="14">
        <v>0.36222877149711202</v>
      </c>
    </row>
    <row r="11" spans="2:53" x14ac:dyDescent="0.35">
      <c r="B11" s="15" t="s">
        <v>222</v>
      </c>
      <c r="C11" s="14">
        <v>0.105656172594181</v>
      </c>
      <c r="D11" s="14">
        <v>9.7402057860108193E-2</v>
      </c>
      <c r="E11" s="14">
        <v>0.11589083840109</v>
      </c>
      <c r="F11" s="14"/>
      <c r="G11" s="14">
        <v>0.24439995050391899</v>
      </c>
      <c r="H11" s="14">
        <v>9.1400015290244996E-2</v>
      </c>
      <c r="I11" s="14">
        <v>8.4135882422464198E-2</v>
      </c>
      <c r="J11" s="14">
        <v>0.20161929791025601</v>
      </c>
      <c r="K11" s="14">
        <v>0.19711581887826801</v>
      </c>
      <c r="L11" s="14" t="s">
        <v>88</v>
      </c>
      <c r="M11" s="14"/>
      <c r="N11" s="14">
        <v>0.106808070249407</v>
      </c>
      <c r="O11" s="14">
        <v>0.16817164338514401</v>
      </c>
      <c r="P11" s="14">
        <v>0</v>
      </c>
      <c r="Q11" s="14">
        <v>0.104324816253184</v>
      </c>
      <c r="R11" s="14"/>
      <c r="S11" s="14">
        <v>0.124792859076036</v>
      </c>
      <c r="T11" s="14">
        <v>0.10540031537101301</v>
      </c>
      <c r="U11" s="14">
        <v>0.22328320619279499</v>
      </c>
      <c r="V11" s="14">
        <v>0.107588119084592</v>
      </c>
      <c r="W11" s="14">
        <v>0</v>
      </c>
      <c r="X11" s="14">
        <v>0</v>
      </c>
      <c r="Y11" s="14">
        <v>0</v>
      </c>
      <c r="Z11" s="14">
        <v>0.14540164357291299</v>
      </c>
      <c r="AA11" s="14">
        <v>0.10603758436906099</v>
      </c>
      <c r="AB11" s="14"/>
      <c r="AC11" s="14">
        <v>7.7900778282764302E-2</v>
      </c>
      <c r="AD11" s="14">
        <v>0.11311107740474299</v>
      </c>
      <c r="AE11" s="14">
        <v>9.3729274869680301E-2</v>
      </c>
      <c r="AF11" s="14">
        <v>8.9932190968779094E-2</v>
      </c>
      <c r="AG11" s="14">
        <v>5.0966869998943599E-2</v>
      </c>
      <c r="AH11" s="14"/>
      <c r="AI11" s="14">
        <v>0.128178027867733</v>
      </c>
      <c r="AJ11" s="14">
        <v>7.9390777203586005E-2</v>
      </c>
      <c r="AK11" s="14">
        <v>0.220050228186698</v>
      </c>
      <c r="AL11" s="14">
        <v>1.6577489068114799E-2</v>
      </c>
      <c r="AM11" s="14">
        <v>0.12105269054137301</v>
      </c>
      <c r="AN11" s="14">
        <v>0</v>
      </c>
      <c r="AO11" s="14"/>
      <c r="AP11" s="14">
        <v>3.5545633331562999E-2</v>
      </c>
      <c r="AQ11" s="14">
        <v>0.167350010298705</v>
      </c>
      <c r="AR11" s="14"/>
      <c r="AS11" s="14">
        <v>0.10604166977616</v>
      </c>
      <c r="AT11" s="14" t="s">
        <v>88</v>
      </c>
      <c r="AU11" s="14">
        <v>0</v>
      </c>
      <c r="AV11" s="14"/>
      <c r="AW11" s="14">
        <v>0.120868581972814</v>
      </c>
      <c r="AX11" s="14">
        <v>4.1781270442274303E-2</v>
      </c>
      <c r="AY11" s="14"/>
      <c r="AZ11" s="14">
        <v>7.8081662942905805E-2</v>
      </c>
      <c r="BA11" s="14">
        <v>0.23674414525235199</v>
      </c>
    </row>
    <row r="12" spans="2:53" x14ac:dyDescent="0.35">
      <c r="B12" s="15" t="s">
        <v>223</v>
      </c>
      <c r="C12" s="14">
        <v>1.45800639905962E-2</v>
      </c>
      <c r="D12" s="14">
        <v>1.55821438267162E-2</v>
      </c>
      <c r="E12" s="14">
        <v>1.33375379820598E-2</v>
      </c>
      <c r="F12" s="14"/>
      <c r="G12" s="14">
        <v>0</v>
      </c>
      <c r="H12" s="14">
        <v>2.5568838675524001E-2</v>
      </c>
      <c r="I12" s="14">
        <v>1.4235505990113599E-2</v>
      </c>
      <c r="J12" s="14">
        <v>0</v>
      </c>
      <c r="K12" s="14">
        <v>0</v>
      </c>
      <c r="L12" s="14" t="s">
        <v>88</v>
      </c>
      <c r="M12" s="14"/>
      <c r="N12" s="14">
        <v>5.94433122257683E-3</v>
      </c>
      <c r="O12" s="14">
        <v>2.7552824485851501E-2</v>
      </c>
      <c r="P12" s="14">
        <v>0</v>
      </c>
      <c r="Q12" s="14">
        <v>1.9718201011363599E-2</v>
      </c>
      <c r="R12" s="14"/>
      <c r="S12" s="14">
        <v>0</v>
      </c>
      <c r="T12" s="14">
        <v>8.9315549805762794E-3</v>
      </c>
      <c r="U12" s="14">
        <v>0</v>
      </c>
      <c r="V12" s="14">
        <v>0</v>
      </c>
      <c r="W12" s="14">
        <v>0</v>
      </c>
      <c r="X12" s="14">
        <v>0.115806854088843</v>
      </c>
      <c r="Y12" s="14">
        <v>0</v>
      </c>
      <c r="Z12" s="14">
        <v>0.13607816658535499</v>
      </c>
      <c r="AA12" s="14">
        <v>0</v>
      </c>
      <c r="AB12" s="14"/>
      <c r="AC12" s="14">
        <v>8.9835114768640104E-2</v>
      </c>
      <c r="AD12" s="14">
        <v>3.7188731156492502E-2</v>
      </c>
      <c r="AE12" s="14">
        <v>0</v>
      </c>
      <c r="AF12" s="14">
        <v>0</v>
      </c>
      <c r="AG12" s="14">
        <v>0</v>
      </c>
      <c r="AH12" s="14"/>
      <c r="AI12" s="14">
        <v>1.8342342988503901E-2</v>
      </c>
      <c r="AJ12" s="14">
        <v>8.9283443257476593E-3</v>
      </c>
      <c r="AK12" s="14">
        <v>0</v>
      </c>
      <c r="AL12" s="14">
        <v>0</v>
      </c>
      <c r="AM12" s="14">
        <v>0</v>
      </c>
      <c r="AN12" s="14">
        <v>7.3010644561299395E-2</v>
      </c>
      <c r="AO12" s="14"/>
      <c r="AP12" s="14">
        <v>1.8428103947259501E-2</v>
      </c>
      <c r="AQ12" s="14">
        <v>1.1193977461185001E-2</v>
      </c>
      <c r="AR12" s="14"/>
      <c r="AS12" s="14">
        <v>1.4633260821821901E-2</v>
      </c>
      <c r="AT12" s="14" t="s">
        <v>88</v>
      </c>
      <c r="AU12" s="14">
        <v>0</v>
      </c>
      <c r="AV12" s="14"/>
      <c r="AW12" s="14">
        <v>2.09974949598567E-2</v>
      </c>
      <c r="AX12" s="14">
        <v>0</v>
      </c>
      <c r="AY12" s="14"/>
      <c r="AZ12" s="14">
        <v>1.05808351508061E-2</v>
      </c>
      <c r="BA12" s="14">
        <v>3.3561344764746703E-2</v>
      </c>
    </row>
    <row r="13" spans="2:53" x14ac:dyDescent="0.35">
      <c r="B13" s="15" t="s">
        <v>116</v>
      </c>
      <c r="C13" s="18">
        <v>8.2644372951242495E-2</v>
      </c>
      <c r="D13" s="18">
        <v>6.3269033059956403E-2</v>
      </c>
      <c r="E13" s="18">
        <v>0.10666876988190099</v>
      </c>
      <c r="F13" s="18"/>
      <c r="G13" s="18">
        <v>0</v>
      </c>
      <c r="H13" s="18">
        <v>6.7454757953651107E-2</v>
      </c>
      <c r="I13" s="18">
        <v>8.9483435061268504E-2</v>
      </c>
      <c r="J13" s="18">
        <v>0.11594389517871601</v>
      </c>
      <c r="K13" s="18">
        <v>0</v>
      </c>
      <c r="L13" s="18" t="s">
        <v>88</v>
      </c>
      <c r="M13" s="18"/>
      <c r="N13" s="18">
        <v>2.7006467707723299E-2</v>
      </c>
      <c r="O13" s="18">
        <v>3.1387273025428403E-2</v>
      </c>
      <c r="P13" s="18">
        <v>0.208739130244706</v>
      </c>
      <c r="Q13" s="18">
        <v>0.119904505874735</v>
      </c>
      <c r="R13" s="18"/>
      <c r="S13" s="18">
        <v>8.3663944133375606E-2</v>
      </c>
      <c r="T13" s="18">
        <v>0</v>
      </c>
      <c r="U13" s="18">
        <v>0.21358230875042</v>
      </c>
      <c r="V13" s="18">
        <v>0.18183097156245501</v>
      </c>
      <c r="W13" s="18">
        <v>0</v>
      </c>
      <c r="X13" s="18">
        <v>9.1155324184570299E-2</v>
      </c>
      <c r="Y13" s="18">
        <v>0.197169046729538</v>
      </c>
      <c r="Z13" s="18">
        <v>0</v>
      </c>
      <c r="AA13" s="18">
        <v>0</v>
      </c>
      <c r="AB13" s="18"/>
      <c r="AC13" s="18">
        <v>0.106032643396221</v>
      </c>
      <c r="AD13" s="18">
        <v>4.0205087864900999E-2</v>
      </c>
      <c r="AE13" s="18">
        <v>0.100037733537612</v>
      </c>
      <c r="AF13" s="18">
        <v>4.2623028710312601E-2</v>
      </c>
      <c r="AG13" s="18">
        <v>0</v>
      </c>
      <c r="AH13" s="18"/>
      <c r="AI13" s="18">
        <v>1.9848824427602899E-2</v>
      </c>
      <c r="AJ13" s="18">
        <v>6.2633479072584694E-2</v>
      </c>
      <c r="AK13" s="18">
        <v>0.17118549079869</v>
      </c>
      <c r="AL13" s="18">
        <v>0</v>
      </c>
      <c r="AM13" s="18">
        <v>0.32767331585388398</v>
      </c>
      <c r="AN13" s="18">
        <v>7.6762235946760599E-2</v>
      </c>
      <c r="AO13" s="18"/>
      <c r="AP13" s="18">
        <v>7.0975541080917706E-2</v>
      </c>
      <c r="AQ13" s="18">
        <v>9.2912372986338795E-2</v>
      </c>
      <c r="AR13" s="18"/>
      <c r="AS13" s="18">
        <v>8.2945909265656106E-2</v>
      </c>
      <c r="AT13" s="18" t="s">
        <v>88</v>
      </c>
      <c r="AU13" s="18">
        <v>0</v>
      </c>
      <c r="AV13" s="18"/>
      <c r="AW13" s="18">
        <v>0.10840261879888299</v>
      </c>
      <c r="AX13" s="18">
        <v>2.81770686970454E-2</v>
      </c>
      <c r="AY13" s="18"/>
      <c r="AZ13" s="18">
        <v>5.6357974054158502E-2</v>
      </c>
      <c r="BA13" s="18">
        <v>0.165342210216986</v>
      </c>
    </row>
    <row r="14" spans="2:53" x14ac:dyDescent="0.35">
      <c r="B14" s="26" t="s">
        <v>224</v>
      </c>
      <c r="C14" s="27">
        <v>0.73819885293451504</v>
      </c>
      <c r="D14" s="27">
        <v>0.79513365196223196</v>
      </c>
      <c r="E14" s="27">
        <v>0.66760271275406302</v>
      </c>
      <c r="F14" s="27"/>
      <c r="G14" s="27">
        <v>0.47762424215274302</v>
      </c>
      <c r="H14" s="27">
        <v>0.74733902987418299</v>
      </c>
      <c r="I14" s="27">
        <v>0.76830355849507703</v>
      </c>
      <c r="J14" s="27">
        <v>0.64928827249768695</v>
      </c>
      <c r="K14" s="27">
        <v>0.57868843648326995</v>
      </c>
      <c r="L14" s="27" t="s">
        <v>88</v>
      </c>
      <c r="M14" s="27"/>
      <c r="N14" s="27">
        <v>0.82348116568438701</v>
      </c>
      <c r="O14" s="27">
        <v>0.65746037281153002</v>
      </c>
      <c r="P14" s="27">
        <v>0.74778681383203705</v>
      </c>
      <c r="Q14" s="27">
        <v>0.71356715017776096</v>
      </c>
      <c r="R14" s="27"/>
      <c r="S14" s="27">
        <v>0.76198380447982805</v>
      </c>
      <c r="T14" s="27">
        <v>0.78376102823174099</v>
      </c>
      <c r="U14" s="27">
        <v>0.56313448505678498</v>
      </c>
      <c r="V14" s="27">
        <v>0.71058090935295304</v>
      </c>
      <c r="W14" s="27">
        <v>0.91952772202523503</v>
      </c>
      <c r="X14" s="27">
        <v>0.70144596383924496</v>
      </c>
      <c r="Y14" s="27">
        <v>0.75133745731240698</v>
      </c>
      <c r="Z14" s="27">
        <v>0.71852018984173205</v>
      </c>
      <c r="AA14" s="27">
        <v>0.74044873089272201</v>
      </c>
      <c r="AB14" s="27"/>
      <c r="AC14" s="27">
        <v>0.726231463552375</v>
      </c>
      <c r="AD14" s="27">
        <v>0.68935579591588103</v>
      </c>
      <c r="AE14" s="27">
        <v>0.74302397431579703</v>
      </c>
      <c r="AF14" s="27">
        <v>0.82703293934254996</v>
      </c>
      <c r="AG14" s="27">
        <v>0.83535954201082496</v>
      </c>
      <c r="AH14" s="27"/>
      <c r="AI14" s="27">
        <v>0.78176465500163705</v>
      </c>
      <c r="AJ14" s="27">
        <v>0.76670647452531004</v>
      </c>
      <c r="AK14" s="27">
        <v>0.57936671975546805</v>
      </c>
      <c r="AL14" s="27">
        <v>0.878304352029466</v>
      </c>
      <c r="AM14" s="27">
        <v>0.55127399360474305</v>
      </c>
      <c r="AN14" s="27">
        <v>0.80323746549747999</v>
      </c>
      <c r="AO14" s="27"/>
      <c r="AP14" s="27">
        <v>0.82536043693284</v>
      </c>
      <c r="AQ14" s="27">
        <v>0.66150093171157898</v>
      </c>
      <c r="AR14" s="27"/>
      <c r="AS14" s="27">
        <v>0.74089224576296098</v>
      </c>
      <c r="AT14" s="27" t="s">
        <v>88</v>
      </c>
      <c r="AU14" s="27">
        <v>0</v>
      </c>
      <c r="AV14" s="27"/>
      <c r="AW14" s="27">
        <v>0.69228651701363297</v>
      </c>
      <c r="AX14" s="27">
        <v>0.87119636493617403</v>
      </c>
      <c r="AY14" s="27"/>
      <c r="AZ14" s="27">
        <v>0.79275005744004101</v>
      </c>
      <c r="BA14" s="27">
        <v>0.51818976081274404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279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193</v>
      </c>
      <c r="D7" s="10">
        <v>89</v>
      </c>
      <c r="E7" s="10">
        <v>104</v>
      </c>
      <c r="F7" s="10"/>
      <c r="G7" s="10">
        <v>5</v>
      </c>
      <c r="H7" s="10">
        <v>60</v>
      </c>
      <c r="I7" s="10">
        <v>105</v>
      </c>
      <c r="J7" s="10">
        <v>18</v>
      </c>
      <c r="K7" s="10">
        <v>5</v>
      </c>
      <c r="L7" s="10" t="s">
        <v>87</v>
      </c>
      <c r="M7" s="10"/>
      <c r="N7" s="10">
        <v>97</v>
      </c>
      <c r="O7" s="10">
        <v>43</v>
      </c>
      <c r="P7" s="10">
        <v>18</v>
      </c>
      <c r="Q7" s="10">
        <v>35</v>
      </c>
      <c r="R7" s="10"/>
      <c r="S7" s="10">
        <v>51</v>
      </c>
      <c r="T7" s="10">
        <v>34</v>
      </c>
      <c r="U7" s="10">
        <v>16</v>
      </c>
      <c r="V7" s="10">
        <v>18</v>
      </c>
      <c r="W7" s="10">
        <v>8</v>
      </c>
      <c r="X7" s="10">
        <v>14</v>
      </c>
      <c r="Y7" s="10">
        <v>17</v>
      </c>
      <c r="Z7" s="10">
        <v>9</v>
      </c>
      <c r="AA7" s="10">
        <v>26</v>
      </c>
      <c r="AB7" s="10"/>
      <c r="AC7" s="10">
        <v>14</v>
      </c>
      <c r="AD7" s="10">
        <v>28</v>
      </c>
      <c r="AE7" s="10">
        <v>70</v>
      </c>
      <c r="AF7" s="10">
        <v>41</v>
      </c>
      <c r="AG7" s="10">
        <v>21</v>
      </c>
      <c r="AH7" s="10"/>
      <c r="AI7" s="10">
        <v>82</v>
      </c>
      <c r="AJ7" s="10">
        <v>38</v>
      </c>
      <c r="AK7" s="10">
        <v>23</v>
      </c>
      <c r="AL7" s="10">
        <v>18</v>
      </c>
      <c r="AM7" s="10">
        <v>9</v>
      </c>
      <c r="AN7" s="10">
        <v>11</v>
      </c>
      <c r="AO7" s="10"/>
      <c r="AP7" s="10">
        <v>97</v>
      </c>
      <c r="AQ7" s="10">
        <v>96</v>
      </c>
      <c r="AR7" s="10"/>
      <c r="AS7" s="10">
        <v>192</v>
      </c>
      <c r="AT7" s="10" t="s">
        <v>87</v>
      </c>
      <c r="AU7" s="10">
        <v>1</v>
      </c>
      <c r="AV7" s="10"/>
      <c r="AW7" s="10">
        <v>119</v>
      </c>
      <c r="AX7" s="10">
        <v>67</v>
      </c>
      <c r="AY7" s="10"/>
      <c r="AZ7" s="10">
        <v>162</v>
      </c>
      <c r="BA7" s="10">
        <v>30</v>
      </c>
    </row>
    <row r="8" spans="2:53" ht="30" customHeight="1" x14ac:dyDescent="0.35">
      <c r="B8" s="11" t="s">
        <v>19</v>
      </c>
      <c r="C8" s="11">
        <v>182</v>
      </c>
      <c r="D8" s="11">
        <v>101</v>
      </c>
      <c r="E8" s="11">
        <v>81</v>
      </c>
      <c r="F8" s="11"/>
      <c r="G8" s="11">
        <v>4</v>
      </c>
      <c r="H8" s="11">
        <v>42</v>
      </c>
      <c r="I8" s="11">
        <v>110</v>
      </c>
      <c r="J8" s="11">
        <v>20</v>
      </c>
      <c r="K8" s="11">
        <v>5</v>
      </c>
      <c r="L8" s="11" t="s">
        <v>87</v>
      </c>
      <c r="M8" s="11"/>
      <c r="N8" s="11">
        <v>56</v>
      </c>
      <c r="O8" s="11">
        <v>45</v>
      </c>
      <c r="P8" s="11">
        <v>27</v>
      </c>
      <c r="Q8" s="11">
        <v>55</v>
      </c>
      <c r="R8" s="11"/>
      <c r="S8" s="11">
        <v>41</v>
      </c>
      <c r="T8" s="11">
        <v>37</v>
      </c>
      <c r="U8" s="11">
        <v>19</v>
      </c>
      <c r="V8" s="11">
        <v>22</v>
      </c>
      <c r="W8" s="11">
        <v>8</v>
      </c>
      <c r="X8" s="11">
        <v>9</v>
      </c>
      <c r="Y8" s="11">
        <v>14</v>
      </c>
      <c r="Z8" s="11">
        <v>9</v>
      </c>
      <c r="AA8" s="11">
        <v>23</v>
      </c>
      <c r="AB8" s="11"/>
      <c r="AC8" s="11">
        <v>16</v>
      </c>
      <c r="AD8" s="11">
        <v>33</v>
      </c>
      <c r="AE8" s="11">
        <v>65</v>
      </c>
      <c r="AF8" s="11">
        <v>32</v>
      </c>
      <c r="AG8" s="11">
        <v>12</v>
      </c>
      <c r="AH8" s="11"/>
      <c r="AI8" s="11">
        <v>68</v>
      </c>
      <c r="AJ8" s="11">
        <v>37</v>
      </c>
      <c r="AK8" s="11">
        <v>23</v>
      </c>
      <c r="AL8" s="11">
        <v>18</v>
      </c>
      <c r="AM8" s="11">
        <v>9</v>
      </c>
      <c r="AN8" s="11">
        <v>15</v>
      </c>
      <c r="AO8" s="11"/>
      <c r="AP8" s="11">
        <v>85</v>
      </c>
      <c r="AQ8" s="11">
        <v>97</v>
      </c>
      <c r="AR8" s="11"/>
      <c r="AS8" s="11">
        <v>182</v>
      </c>
      <c r="AT8" s="11" t="s">
        <v>87</v>
      </c>
      <c r="AU8" s="11">
        <v>1</v>
      </c>
      <c r="AV8" s="11"/>
      <c r="AW8" s="11">
        <v>127</v>
      </c>
      <c r="AX8" s="11">
        <v>48</v>
      </c>
      <c r="AY8" s="11"/>
      <c r="AZ8" s="11">
        <v>149</v>
      </c>
      <c r="BA8" s="11">
        <v>32</v>
      </c>
    </row>
    <row r="9" spans="2:53" x14ac:dyDescent="0.35">
      <c r="B9" s="15" t="s">
        <v>226</v>
      </c>
      <c r="C9" s="14">
        <v>0.29294397269353201</v>
      </c>
      <c r="D9" s="14">
        <v>0.269031121086797</v>
      </c>
      <c r="E9" s="14">
        <v>0.322594644215558</v>
      </c>
      <c r="F9" s="14"/>
      <c r="G9" s="14">
        <v>0.79247255257131499</v>
      </c>
      <c r="H9" s="14">
        <v>0.35003811240023203</v>
      </c>
      <c r="I9" s="14">
        <v>0.23670569018207599</v>
      </c>
      <c r="J9" s="14">
        <v>0.32597132213992203</v>
      </c>
      <c r="K9" s="14">
        <v>0.48359541147869001</v>
      </c>
      <c r="L9" s="14" t="s">
        <v>88</v>
      </c>
      <c r="M9" s="14"/>
      <c r="N9" s="14">
        <v>0.28620266455585502</v>
      </c>
      <c r="O9" s="14">
        <v>0.189066151401032</v>
      </c>
      <c r="P9" s="14">
        <v>0.42260906742662202</v>
      </c>
      <c r="Q9" s="14">
        <v>0.32219488205079699</v>
      </c>
      <c r="R9" s="14"/>
      <c r="S9" s="14">
        <v>0.29752541600417798</v>
      </c>
      <c r="T9" s="14">
        <v>0.32246844157771198</v>
      </c>
      <c r="U9" s="14">
        <v>0.228131914767257</v>
      </c>
      <c r="V9" s="14">
        <v>0.30692228875851602</v>
      </c>
      <c r="W9" s="14">
        <v>0.57061159184482801</v>
      </c>
      <c r="X9" s="14">
        <v>0.17646708250604101</v>
      </c>
      <c r="Y9" s="14">
        <v>0.155714218504062</v>
      </c>
      <c r="Z9" s="14">
        <v>0.11778520835161101</v>
      </c>
      <c r="AA9" s="14">
        <v>0.37931838084130298</v>
      </c>
      <c r="AB9" s="14"/>
      <c r="AC9" s="14">
        <v>0.343528406711824</v>
      </c>
      <c r="AD9" s="14">
        <v>0.29443711220552399</v>
      </c>
      <c r="AE9" s="14">
        <v>0.285679939842442</v>
      </c>
      <c r="AF9" s="14">
        <v>0.25972184777062202</v>
      </c>
      <c r="AG9" s="14">
        <v>0.52659621632359099</v>
      </c>
      <c r="AH9" s="14"/>
      <c r="AI9" s="14">
        <v>0.32369438700162501</v>
      </c>
      <c r="AJ9" s="14">
        <v>0.401473099741747</v>
      </c>
      <c r="AK9" s="14">
        <v>0.245533142548399</v>
      </c>
      <c r="AL9" s="14">
        <v>0.19746971765158899</v>
      </c>
      <c r="AM9" s="14">
        <v>0.12105269054137301</v>
      </c>
      <c r="AN9" s="14">
        <v>7.2309546375553202E-2</v>
      </c>
      <c r="AO9" s="14"/>
      <c r="AP9" s="14">
        <v>0.23099644332486299</v>
      </c>
      <c r="AQ9" s="14">
        <v>0.34745476184537799</v>
      </c>
      <c r="AR9" s="14"/>
      <c r="AS9" s="14">
        <v>0.29401280826819098</v>
      </c>
      <c r="AT9" s="14" t="s">
        <v>88</v>
      </c>
      <c r="AU9" s="14">
        <v>0</v>
      </c>
      <c r="AV9" s="14"/>
      <c r="AW9" s="14">
        <v>0.24685476007496501</v>
      </c>
      <c r="AX9" s="14">
        <v>0.44737172724824198</v>
      </c>
      <c r="AY9" s="14"/>
      <c r="AZ9" s="14">
        <v>0.29987473947763499</v>
      </c>
      <c r="BA9" s="14">
        <v>0.27325981597743598</v>
      </c>
    </row>
    <row r="10" spans="2:53" x14ac:dyDescent="0.35">
      <c r="B10" s="15" t="s">
        <v>227</v>
      </c>
      <c r="C10" s="14">
        <v>0.42810513787593601</v>
      </c>
      <c r="D10" s="14">
        <v>0.45646918023140398</v>
      </c>
      <c r="E10" s="14">
        <v>0.39293522519676499</v>
      </c>
      <c r="F10" s="14"/>
      <c r="G10" s="14">
        <v>0</v>
      </c>
      <c r="H10" s="14">
        <v>0.331322866537691</v>
      </c>
      <c r="I10" s="14">
        <v>0.48108797069012099</v>
      </c>
      <c r="J10" s="14">
        <v>0.41120655513944099</v>
      </c>
      <c r="K10" s="14">
        <v>0.51640458852130999</v>
      </c>
      <c r="L10" s="14" t="s">
        <v>88</v>
      </c>
      <c r="M10" s="14"/>
      <c r="N10" s="14">
        <v>0.48080421524282702</v>
      </c>
      <c r="O10" s="14">
        <v>0.52788329143970003</v>
      </c>
      <c r="P10" s="14">
        <v>0.298800297030902</v>
      </c>
      <c r="Q10" s="14">
        <v>0.355630894772342</v>
      </c>
      <c r="R10" s="14"/>
      <c r="S10" s="14">
        <v>0.48476714988436498</v>
      </c>
      <c r="T10" s="14">
        <v>0.39111604656050197</v>
      </c>
      <c r="U10" s="14">
        <v>0.46585343301365201</v>
      </c>
      <c r="V10" s="14">
        <v>0.40547408426544401</v>
      </c>
      <c r="W10" s="14">
        <v>0.217291320123087</v>
      </c>
      <c r="X10" s="14">
        <v>0.43708674417003801</v>
      </c>
      <c r="Y10" s="14">
        <v>0.52086052676785399</v>
      </c>
      <c r="Z10" s="14">
        <v>0.41144571639328298</v>
      </c>
      <c r="AA10" s="14">
        <v>0.39940428728029698</v>
      </c>
      <c r="AB10" s="14"/>
      <c r="AC10" s="14">
        <v>0.41236320770747598</v>
      </c>
      <c r="AD10" s="14">
        <v>0.39789709322009298</v>
      </c>
      <c r="AE10" s="14">
        <v>0.43606932735472997</v>
      </c>
      <c r="AF10" s="14">
        <v>0.510731534768187</v>
      </c>
      <c r="AG10" s="14">
        <v>0.35157205055122798</v>
      </c>
      <c r="AH10" s="14"/>
      <c r="AI10" s="14">
        <v>0.46510994186247101</v>
      </c>
      <c r="AJ10" s="14">
        <v>0.34230527630876501</v>
      </c>
      <c r="AK10" s="14">
        <v>0.35623246054441499</v>
      </c>
      <c r="AL10" s="14">
        <v>0.58337096656180998</v>
      </c>
      <c r="AM10" s="14">
        <v>0.45027646912675301</v>
      </c>
      <c r="AN10" s="14">
        <v>0.53043486040350696</v>
      </c>
      <c r="AO10" s="14"/>
      <c r="AP10" s="14">
        <v>0.53919560299602198</v>
      </c>
      <c r="AQ10" s="14">
        <v>0.33035097426914101</v>
      </c>
      <c r="AR10" s="14"/>
      <c r="AS10" s="14">
        <v>0.42966712256826201</v>
      </c>
      <c r="AT10" s="14" t="s">
        <v>88</v>
      </c>
      <c r="AU10" s="14">
        <v>0</v>
      </c>
      <c r="AV10" s="14"/>
      <c r="AW10" s="14">
        <v>0.46128358195862201</v>
      </c>
      <c r="AX10" s="14">
        <v>0.36323214731659498</v>
      </c>
      <c r="AY10" s="14"/>
      <c r="AZ10" s="14">
        <v>0.45704175656688401</v>
      </c>
      <c r="BA10" s="14">
        <v>0.31291810652805102</v>
      </c>
    </row>
    <row r="11" spans="2:53" x14ac:dyDescent="0.35">
      <c r="B11" s="15" t="s">
        <v>228</v>
      </c>
      <c r="C11" s="14">
        <v>0.148958584756436</v>
      </c>
      <c r="D11" s="14">
        <v>0.14293496038652301</v>
      </c>
      <c r="E11" s="14">
        <v>0.15642756045626599</v>
      </c>
      <c r="F11" s="14"/>
      <c r="G11" s="14">
        <v>0</v>
      </c>
      <c r="H11" s="14">
        <v>0.15599422863225401</v>
      </c>
      <c r="I11" s="14">
        <v>0.168064888261625</v>
      </c>
      <c r="J11" s="14">
        <v>9.8444124363344196E-2</v>
      </c>
      <c r="K11" s="14">
        <v>0</v>
      </c>
      <c r="L11" s="14" t="s">
        <v>88</v>
      </c>
      <c r="M11" s="14"/>
      <c r="N11" s="14">
        <v>0.120732488157955</v>
      </c>
      <c r="O11" s="14">
        <v>0.151733375875924</v>
      </c>
      <c r="P11" s="14">
        <v>0.12036094903840699</v>
      </c>
      <c r="Q11" s="14">
        <v>0.18899831669910799</v>
      </c>
      <c r="R11" s="14"/>
      <c r="S11" s="14">
        <v>0.154242276847363</v>
      </c>
      <c r="T11" s="14">
        <v>0.18450841044511601</v>
      </c>
      <c r="U11" s="14">
        <v>7.0770170452503306E-2</v>
      </c>
      <c r="V11" s="14">
        <v>0.166382983579097</v>
      </c>
      <c r="W11" s="14">
        <v>0.13162481005731899</v>
      </c>
      <c r="X11" s="14">
        <v>0.27823228754763002</v>
      </c>
      <c r="Y11" s="14">
        <v>1.1785403518040201E-2</v>
      </c>
      <c r="Z11" s="14">
        <v>0.40856236934509599</v>
      </c>
      <c r="AA11" s="14">
        <v>6.3875675512898494E-2</v>
      </c>
      <c r="AB11" s="14"/>
      <c r="AC11" s="14">
        <v>0.13807574218447899</v>
      </c>
      <c r="AD11" s="14">
        <v>0.185239234555862</v>
      </c>
      <c r="AE11" s="14">
        <v>0.149264625530315</v>
      </c>
      <c r="AF11" s="14">
        <v>0.14651174777251999</v>
      </c>
      <c r="AG11" s="14">
        <v>6.6505539841959393E-2</v>
      </c>
      <c r="AH11" s="14"/>
      <c r="AI11" s="14">
        <v>0.16859191978466501</v>
      </c>
      <c r="AJ11" s="14">
        <v>0.102497323164086</v>
      </c>
      <c r="AK11" s="14">
        <v>0.19765134484935201</v>
      </c>
      <c r="AL11" s="14">
        <v>0.16273696200369001</v>
      </c>
      <c r="AM11" s="14">
        <v>0.10099752447799</v>
      </c>
      <c r="AN11" s="14">
        <v>0.15390285333274001</v>
      </c>
      <c r="AO11" s="14"/>
      <c r="AP11" s="14">
        <v>0.101711818105784</v>
      </c>
      <c r="AQ11" s="14">
        <v>0.19053342335367601</v>
      </c>
      <c r="AR11" s="14"/>
      <c r="AS11" s="14">
        <v>0.14950207514838601</v>
      </c>
      <c r="AT11" s="14" t="s">
        <v>88</v>
      </c>
      <c r="AU11" s="14">
        <v>0</v>
      </c>
      <c r="AV11" s="14"/>
      <c r="AW11" s="14">
        <v>0.15575645760033299</v>
      </c>
      <c r="AX11" s="14">
        <v>0.111166881096711</v>
      </c>
      <c r="AY11" s="14"/>
      <c r="AZ11" s="14">
        <v>0.13347703398678001</v>
      </c>
      <c r="BA11" s="14">
        <v>0.22627861628648399</v>
      </c>
    </row>
    <row r="12" spans="2:53" x14ac:dyDescent="0.35">
      <c r="B12" s="15" t="s">
        <v>229</v>
      </c>
      <c r="C12" s="14">
        <v>1.62642597423658E-2</v>
      </c>
      <c r="D12" s="14">
        <v>2.3754786043650999E-2</v>
      </c>
      <c r="E12" s="14">
        <v>6.9764032148761802E-3</v>
      </c>
      <c r="F12" s="14"/>
      <c r="G12" s="14">
        <v>0</v>
      </c>
      <c r="H12" s="14">
        <v>1.7100672122897599E-2</v>
      </c>
      <c r="I12" s="14">
        <v>5.1401300654583997E-3</v>
      </c>
      <c r="J12" s="14">
        <v>8.3591897100048898E-2</v>
      </c>
      <c r="K12" s="14">
        <v>0</v>
      </c>
      <c r="L12" s="14" t="s">
        <v>88</v>
      </c>
      <c r="M12" s="14"/>
      <c r="N12" s="14">
        <v>2.3274416163336899E-2</v>
      </c>
      <c r="O12" s="14">
        <v>0</v>
      </c>
      <c r="P12" s="14">
        <v>0</v>
      </c>
      <c r="Q12" s="14">
        <v>3.0358050997330899E-2</v>
      </c>
      <c r="R12" s="14"/>
      <c r="S12" s="14">
        <v>7.95502229024171E-3</v>
      </c>
      <c r="T12" s="14">
        <v>0</v>
      </c>
      <c r="U12" s="14">
        <v>2.16621730161673E-2</v>
      </c>
      <c r="V12" s="14">
        <v>0</v>
      </c>
      <c r="W12" s="14">
        <v>0</v>
      </c>
      <c r="X12" s="14">
        <v>0</v>
      </c>
      <c r="Y12" s="14">
        <v>0.11716053593126501</v>
      </c>
      <c r="Z12" s="14">
        <v>6.22067059100102E-2</v>
      </c>
      <c r="AA12" s="14">
        <v>0</v>
      </c>
      <c r="AB12" s="14"/>
      <c r="AC12" s="14">
        <v>0.106032643396221</v>
      </c>
      <c r="AD12" s="14">
        <v>1.70004382059873E-2</v>
      </c>
      <c r="AE12" s="14">
        <v>1.12128157878769E-2</v>
      </c>
      <c r="AF12" s="14">
        <v>0</v>
      </c>
      <c r="AG12" s="14">
        <v>0</v>
      </c>
      <c r="AH12" s="14"/>
      <c r="AI12" s="14">
        <v>8.3850096207072101E-3</v>
      </c>
      <c r="AJ12" s="14">
        <v>5.3906662787776498E-2</v>
      </c>
      <c r="AK12" s="14">
        <v>0</v>
      </c>
      <c r="AL12" s="14">
        <v>0</v>
      </c>
      <c r="AM12" s="14">
        <v>0</v>
      </c>
      <c r="AN12" s="14">
        <v>2.7049431331899298E-2</v>
      </c>
      <c r="AO12" s="14"/>
      <c r="AP12" s="14">
        <v>4.7130050566147304E-3</v>
      </c>
      <c r="AQ12" s="14">
        <v>2.64287976187178E-2</v>
      </c>
      <c r="AR12" s="14"/>
      <c r="AS12" s="14">
        <v>1.6323601531337599E-2</v>
      </c>
      <c r="AT12" s="14" t="s">
        <v>88</v>
      </c>
      <c r="AU12" s="14">
        <v>0</v>
      </c>
      <c r="AV12" s="14"/>
      <c r="AW12" s="14">
        <v>1.76877969954948E-2</v>
      </c>
      <c r="AX12" s="14">
        <v>1.5219867046409701E-2</v>
      </c>
      <c r="AY12" s="14"/>
      <c r="AZ12" s="14">
        <v>1.61303526630013E-2</v>
      </c>
      <c r="BA12" s="14">
        <v>1.7554774638863801E-2</v>
      </c>
    </row>
    <row r="13" spans="2:53" x14ac:dyDescent="0.35">
      <c r="B13" s="15" t="s">
        <v>116</v>
      </c>
      <c r="C13" s="23">
        <v>7.0118924625847998E-2</v>
      </c>
      <c r="D13" s="23">
        <v>6.7266673219682604E-2</v>
      </c>
      <c r="E13" s="23">
        <v>7.3655565547360996E-2</v>
      </c>
      <c r="F13" s="23"/>
      <c r="G13" s="23">
        <v>0</v>
      </c>
      <c r="H13" s="23">
        <v>0.116323018131348</v>
      </c>
      <c r="I13" s="23">
        <v>6.5159702769642003E-2</v>
      </c>
      <c r="J13" s="23">
        <v>3.2351998078666899E-2</v>
      </c>
      <c r="K13" s="23">
        <v>0</v>
      </c>
      <c r="L13" s="23" t="s">
        <v>88</v>
      </c>
      <c r="M13" s="23"/>
      <c r="N13" s="23">
        <v>2.7006467707723299E-2</v>
      </c>
      <c r="O13" s="23">
        <v>3.1387273025428403E-2</v>
      </c>
      <c r="P13" s="23">
        <v>0.15822968650406799</v>
      </c>
      <c r="Q13" s="23">
        <v>0.10281785548042199</v>
      </c>
      <c r="R13" s="23"/>
      <c r="S13" s="23">
        <v>5.06466231556277E-2</v>
      </c>
      <c r="T13" s="23">
        <v>0</v>
      </c>
      <c r="U13" s="23">
        <v>0.21358230875042</v>
      </c>
      <c r="V13" s="23">
        <v>0.121220643396943</v>
      </c>
      <c r="W13" s="23">
        <v>0</v>
      </c>
      <c r="X13" s="23">
        <v>9.1155324184570299E-2</v>
      </c>
      <c r="Y13" s="23">
        <v>8.0008510798272897E-2</v>
      </c>
      <c r="Z13" s="23">
        <v>0</v>
      </c>
      <c r="AA13" s="23">
        <v>9.0683155113936501E-2</v>
      </c>
      <c r="AB13" s="23"/>
      <c r="AC13" s="23">
        <v>0</v>
      </c>
      <c r="AD13" s="23">
        <v>4.0205087864900999E-2</v>
      </c>
      <c r="AE13" s="23">
        <v>5.8539986316272198E-2</v>
      </c>
      <c r="AF13" s="23">
        <v>4.2623028710312601E-2</v>
      </c>
      <c r="AG13" s="23">
        <v>0</v>
      </c>
      <c r="AH13" s="23"/>
      <c r="AI13" s="23">
        <v>0</v>
      </c>
      <c r="AJ13" s="23">
        <v>1.74767131248534E-2</v>
      </c>
      <c r="AK13" s="23">
        <v>0.17118549079869</v>
      </c>
      <c r="AL13" s="23">
        <v>0</v>
      </c>
      <c r="AM13" s="23">
        <v>0.32767331585388398</v>
      </c>
      <c r="AN13" s="23">
        <v>0.216303308556301</v>
      </c>
      <c r="AO13" s="23"/>
      <c r="AP13" s="23">
        <v>7.9552419748129502E-2</v>
      </c>
      <c r="AQ13" s="23">
        <v>6.18179113519313E-2</v>
      </c>
      <c r="AR13" s="23"/>
      <c r="AS13" s="23">
        <v>7.0374760581126003E-2</v>
      </c>
      <c r="AT13" s="23" t="s">
        <v>88</v>
      </c>
      <c r="AU13" s="23">
        <v>0</v>
      </c>
      <c r="AV13" s="23"/>
      <c r="AW13" s="23">
        <v>8.4592491406333306E-2</v>
      </c>
      <c r="AX13" s="23">
        <v>0</v>
      </c>
      <c r="AY13" s="23"/>
      <c r="AZ13" s="23">
        <v>5.0028685615691203E-2</v>
      </c>
      <c r="BA13" s="23">
        <v>0.123826147615994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193</v>
      </c>
      <c r="D7" s="10">
        <v>89</v>
      </c>
      <c r="E7" s="10">
        <v>104</v>
      </c>
      <c r="F7" s="10"/>
      <c r="G7" s="10">
        <v>5</v>
      </c>
      <c r="H7" s="10">
        <v>60</v>
      </c>
      <c r="I7" s="10">
        <v>105</v>
      </c>
      <c r="J7" s="10">
        <v>18</v>
      </c>
      <c r="K7" s="10">
        <v>5</v>
      </c>
      <c r="L7" s="10" t="s">
        <v>87</v>
      </c>
      <c r="M7" s="10"/>
      <c r="N7" s="10">
        <v>97</v>
      </c>
      <c r="O7" s="10">
        <v>43</v>
      </c>
      <c r="P7" s="10">
        <v>18</v>
      </c>
      <c r="Q7" s="10">
        <v>35</v>
      </c>
      <c r="R7" s="10"/>
      <c r="S7" s="10">
        <v>51</v>
      </c>
      <c r="T7" s="10">
        <v>34</v>
      </c>
      <c r="U7" s="10">
        <v>16</v>
      </c>
      <c r="V7" s="10">
        <v>18</v>
      </c>
      <c r="W7" s="10">
        <v>8</v>
      </c>
      <c r="X7" s="10">
        <v>14</v>
      </c>
      <c r="Y7" s="10">
        <v>17</v>
      </c>
      <c r="Z7" s="10">
        <v>9</v>
      </c>
      <c r="AA7" s="10">
        <v>26</v>
      </c>
      <c r="AB7" s="10"/>
      <c r="AC7" s="10">
        <v>14</v>
      </c>
      <c r="AD7" s="10">
        <v>28</v>
      </c>
      <c r="AE7" s="10">
        <v>70</v>
      </c>
      <c r="AF7" s="10">
        <v>41</v>
      </c>
      <c r="AG7" s="10">
        <v>21</v>
      </c>
      <c r="AH7" s="10"/>
      <c r="AI7" s="10">
        <v>82</v>
      </c>
      <c r="AJ7" s="10">
        <v>38</v>
      </c>
      <c r="AK7" s="10">
        <v>23</v>
      </c>
      <c r="AL7" s="10">
        <v>18</v>
      </c>
      <c r="AM7" s="10">
        <v>9</v>
      </c>
      <c r="AN7" s="10">
        <v>11</v>
      </c>
      <c r="AO7" s="10"/>
      <c r="AP7" s="10">
        <v>97</v>
      </c>
      <c r="AQ7" s="10">
        <v>96</v>
      </c>
      <c r="AR7" s="10"/>
      <c r="AS7" s="10">
        <v>192</v>
      </c>
      <c r="AT7" s="10" t="s">
        <v>87</v>
      </c>
      <c r="AU7" s="10">
        <v>1</v>
      </c>
      <c r="AV7" s="10"/>
      <c r="AW7" s="10">
        <v>119</v>
      </c>
      <c r="AX7" s="10">
        <v>67</v>
      </c>
      <c r="AY7" s="10"/>
      <c r="AZ7" s="10">
        <v>162</v>
      </c>
      <c r="BA7" s="10">
        <v>30</v>
      </c>
    </row>
    <row r="8" spans="2:53" ht="30" customHeight="1" x14ac:dyDescent="0.35">
      <c r="B8" s="11" t="s">
        <v>19</v>
      </c>
      <c r="C8" s="11">
        <v>182</v>
      </c>
      <c r="D8" s="11">
        <v>101</v>
      </c>
      <c r="E8" s="11">
        <v>81</v>
      </c>
      <c r="F8" s="11"/>
      <c r="G8" s="11">
        <v>4</v>
      </c>
      <c r="H8" s="11">
        <v>42</v>
      </c>
      <c r="I8" s="11">
        <v>110</v>
      </c>
      <c r="J8" s="11">
        <v>20</v>
      </c>
      <c r="K8" s="11">
        <v>5</v>
      </c>
      <c r="L8" s="11" t="s">
        <v>87</v>
      </c>
      <c r="M8" s="11"/>
      <c r="N8" s="11">
        <v>56</v>
      </c>
      <c r="O8" s="11">
        <v>45</v>
      </c>
      <c r="P8" s="11">
        <v>27</v>
      </c>
      <c r="Q8" s="11">
        <v>55</v>
      </c>
      <c r="R8" s="11"/>
      <c r="S8" s="11">
        <v>41</v>
      </c>
      <c r="T8" s="11">
        <v>37</v>
      </c>
      <c r="U8" s="11">
        <v>19</v>
      </c>
      <c r="V8" s="11">
        <v>22</v>
      </c>
      <c r="W8" s="11">
        <v>8</v>
      </c>
      <c r="X8" s="11">
        <v>9</v>
      </c>
      <c r="Y8" s="11">
        <v>14</v>
      </c>
      <c r="Z8" s="11">
        <v>9</v>
      </c>
      <c r="AA8" s="11">
        <v>23</v>
      </c>
      <c r="AB8" s="11"/>
      <c r="AC8" s="11">
        <v>16</v>
      </c>
      <c r="AD8" s="11">
        <v>33</v>
      </c>
      <c r="AE8" s="11">
        <v>65</v>
      </c>
      <c r="AF8" s="11">
        <v>32</v>
      </c>
      <c r="AG8" s="11">
        <v>12</v>
      </c>
      <c r="AH8" s="11"/>
      <c r="AI8" s="11">
        <v>68</v>
      </c>
      <c r="AJ8" s="11">
        <v>37</v>
      </c>
      <c r="AK8" s="11">
        <v>23</v>
      </c>
      <c r="AL8" s="11">
        <v>18</v>
      </c>
      <c r="AM8" s="11">
        <v>9</v>
      </c>
      <c r="AN8" s="11">
        <v>15</v>
      </c>
      <c r="AO8" s="11"/>
      <c r="AP8" s="11">
        <v>85</v>
      </c>
      <c r="AQ8" s="11">
        <v>97</v>
      </c>
      <c r="AR8" s="11"/>
      <c r="AS8" s="11">
        <v>182</v>
      </c>
      <c r="AT8" s="11" t="s">
        <v>87</v>
      </c>
      <c r="AU8" s="11">
        <v>1</v>
      </c>
      <c r="AV8" s="11"/>
      <c r="AW8" s="11">
        <v>127</v>
      </c>
      <c r="AX8" s="11">
        <v>48</v>
      </c>
      <c r="AY8" s="11"/>
      <c r="AZ8" s="11">
        <v>149</v>
      </c>
      <c r="BA8" s="11">
        <v>32</v>
      </c>
    </row>
    <row r="9" spans="2:53" ht="29" x14ac:dyDescent="0.35">
      <c r="B9" s="15" t="s">
        <v>231</v>
      </c>
      <c r="C9" s="14">
        <v>0.115526991403404</v>
      </c>
      <c r="D9" s="14">
        <v>0.105585604137091</v>
      </c>
      <c r="E9" s="14">
        <v>0.12785378593023</v>
      </c>
      <c r="F9" s="14"/>
      <c r="G9" s="14">
        <v>0.42739613994264702</v>
      </c>
      <c r="H9" s="14">
        <v>0.134734062342904</v>
      </c>
      <c r="I9" s="14">
        <v>0.116274916248682</v>
      </c>
      <c r="J9" s="14">
        <v>3.2351998078666899E-2</v>
      </c>
      <c r="K9" s="14">
        <v>0</v>
      </c>
      <c r="L9" s="14" t="s">
        <v>88</v>
      </c>
      <c r="M9" s="14"/>
      <c r="N9" s="14">
        <v>9.1093411115126505E-2</v>
      </c>
      <c r="O9" s="14">
        <v>8.6108476947418494E-2</v>
      </c>
      <c r="P9" s="14">
        <v>8.2615964224827101E-2</v>
      </c>
      <c r="Q9" s="14">
        <v>0.18018191878769299</v>
      </c>
      <c r="R9" s="14"/>
      <c r="S9" s="14">
        <v>0.25216135220694802</v>
      </c>
      <c r="T9" s="14">
        <v>6.23673366551925E-2</v>
      </c>
      <c r="U9" s="14">
        <v>0.102154794619314</v>
      </c>
      <c r="V9" s="14">
        <v>9.9137514344633901E-2</v>
      </c>
      <c r="W9" s="14">
        <v>0</v>
      </c>
      <c r="X9" s="14">
        <v>0.21948517105791901</v>
      </c>
      <c r="Y9" s="14">
        <v>0</v>
      </c>
      <c r="Z9" s="14">
        <v>0</v>
      </c>
      <c r="AA9" s="14">
        <v>0.102212489107874</v>
      </c>
      <c r="AB9" s="14"/>
      <c r="AC9" s="14">
        <v>0.12066375025759001</v>
      </c>
      <c r="AD9" s="14">
        <v>9.8909386911516003E-2</v>
      </c>
      <c r="AE9" s="14">
        <v>7.5128115886087102E-2</v>
      </c>
      <c r="AF9" s="14">
        <v>0.19411537490368899</v>
      </c>
      <c r="AG9" s="14">
        <v>0.232073373653644</v>
      </c>
      <c r="AH9" s="14"/>
      <c r="AI9" s="14">
        <v>0.144677887498708</v>
      </c>
      <c r="AJ9" s="14">
        <v>0.111506706949695</v>
      </c>
      <c r="AK9" s="14">
        <v>7.3593810381426594E-2</v>
      </c>
      <c r="AL9" s="14">
        <v>0.18089222858347401</v>
      </c>
      <c r="AM9" s="14">
        <v>0.121052685340571</v>
      </c>
      <c r="AN9" s="14">
        <v>7.3010644561299395E-2</v>
      </c>
      <c r="AO9" s="14"/>
      <c r="AP9" s="14">
        <v>0.13988303094556001</v>
      </c>
      <c r="AQ9" s="14">
        <v>9.4094870549073201E-2</v>
      </c>
      <c r="AR9" s="14"/>
      <c r="AS9" s="14">
        <v>0.115948503261491</v>
      </c>
      <c r="AT9" s="14" t="s">
        <v>88</v>
      </c>
      <c r="AU9" s="14">
        <v>0</v>
      </c>
      <c r="AV9" s="14"/>
      <c r="AW9" s="14">
        <v>6.9734688282094504E-2</v>
      </c>
      <c r="AX9" s="14">
        <v>0.25646433883465303</v>
      </c>
      <c r="AY9" s="14"/>
      <c r="AZ9" s="14">
        <v>0.12765915546857401</v>
      </c>
      <c r="BA9" s="14">
        <v>6.4577387340935002E-2</v>
      </c>
    </row>
    <row r="10" spans="2:53" ht="29" x14ac:dyDescent="0.35">
      <c r="B10" s="15" t="s">
        <v>232</v>
      </c>
      <c r="C10" s="14">
        <v>0.66479625233138695</v>
      </c>
      <c r="D10" s="14">
        <v>0.67981634682935099</v>
      </c>
      <c r="E10" s="14">
        <v>0.64617212939058799</v>
      </c>
      <c r="F10" s="14"/>
      <c r="G10" s="14">
        <v>0.451927397932604</v>
      </c>
      <c r="H10" s="14">
        <v>0.71397989314946098</v>
      </c>
      <c r="I10" s="14">
        <v>0.62630662111749902</v>
      </c>
      <c r="J10" s="14">
        <v>0.784120941318459</v>
      </c>
      <c r="K10" s="14">
        <v>0.80288418112173199</v>
      </c>
      <c r="L10" s="14" t="s">
        <v>88</v>
      </c>
      <c r="M10" s="14"/>
      <c r="N10" s="14">
        <v>0.793263715087555</v>
      </c>
      <c r="O10" s="14">
        <v>0.65966393263924095</v>
      </c>
      <c r="P10" s="14">
        <v>0.67934896788894195</v>
      </c>
      <c r="Q10" s="14">
        <v>0.53224960198535898</v>
      </c>
      <c r="R10" s="14"/>
      <c r="S10" s="14">
        <v>0.57242473595542298</v>
      </c>
      <c r="T10" s="14">
        <v>0.73240537243014103</v>
      </c>
      <c r="U10" s="14">
        <v>0.57666368848164096</v>
      </c>
      <c r="V10" s="14">
        <v>0.65496815684250798</v>
      </c>
      <c r="W10" s="14">
        <v>0.74349337791130798</v>
      </c>
      <c r="X10" s="14">
        <v>0.63362930081226698</v>
      </c>
      <c r="Y10" s="14">
        <v>0.75133745598391899</v>
      </c>
      <c r="Z10" s="14">
        <v>0.82000811986169897</v>
      </c>
      <c r="AA10" s="14">
        <v>0.66941867811058198</v>
      </c>
      <c r="AB10" s="14"/>
      <c r="AC10" s="14">
        <v>0.53106690566273096</v>
      </c>
      <c r="AD10" s="14">
        <v>0.68291422423223502</v>
      </c>
      <c r="AE10" s="14">
        <v>0.74339847567744299</v>
      </c>
      <c r="AF10" s="14">
        <v>0.68050038034294202</v>
      </c>
      <c r="AG10" s="14">
        <v>0.71131568712820004</v>
      </c>
      <c r="AH10" s="14"/>
      <c r="AI10" s="14">
        <v>0.78958802391948402</v>
      </c>
      <c r="AJ10" s="14">
        <v>0.65890606568593002</v>
      </c>
      <c r="AK10" s="14">
        <v>0.60242501551337102</v>
      </c>
      <c r="AL10" s="14">
        <v>0.45958545518166399</v>
      </c>
      <c r="AM10" s="14">
        <v>0.72530308813345701</v>
      </c>
      <c r="AN10" s="14">
        <v>0.61357940837690095</v>
      </c>
      <c r="AO10" s="14"/>
      <c r="AP10" s="14">
        <v>0.65469754260053503</v>
      </c>
      <c r="AQ10" s="14">
        <v>0.67368262185175998</v>
      </c>
      <c r="AR10" s="14"/>
      <c r="AS10" s="14">
        <v>0.66722182838218902</v>
      </c>
      <c r="AT10" s="14" t="s">
        <v>88</v>
      </c>
      <c r="AU10" s="14">
        <v>0</v>
      </c>
      <c r="AV10" s="14"/>
      <c r="AW10" s="14">
        <v>0.65150320207030099</v>
      </c>
      <c r="AX10" s="14">
        <v>0.70112629250671799</v>
      </c>
      <c r="AY10" s="14"/>
      <c r="AZ10" s="14">
        <v>0.65413324799777395</v>
      </c>
      <c r="BA10" s="14">
        <v>0.74139119334936898</v>
      </c>
    </row>
    <row r="11" spans="2:53" ht="29" x14ac:dyDescent="0.35">
      <c r="B11" s="15" t="s">
        <v>233</v>
      </c>
      <c r="C11" s="14">
        <v>0.10339754237736901</v>
      </c>
      <c r="D11" s="14">
        <v>0.107749163059421</v>
      </c>
      <c r="E11" s="14">
        <v>9.8001762837815906E-2</v>
      </c>
      <c r="F11" s="14"/>
      <c r="G11" s="14">
        <v>0.120676462124749</v>
      </c>
      <c r="H11" s="14">
        <v>3.2695592316866501E-2</v>
      </c>
      <c r="I11" s="14">
        <v>0.132222505848899</v>
      </c>
      <c r="J11" s="14">
        <v>6.67866290894846E-2</v>
      </c>
      <c r="K11" s="14">
        <v>0.19711581887826801</v>
      </c>
      <c r="L11" s="14" t="s">
        <v>88</v>
      </c>
      <c r="M11" s="14"/>
      <c r="N11" s="14">
        <v>8.1962662984692694E-2</v>
      </c>
      <c r="O11" s="14">
        <v>0.14502469732217901</v>
      </c>
      <c r="P11" s="14">
        <v>4.6067309538998097E-2</v>
      </c>
      <c r="Q11" s="14">
        <v>0.11864064174948</v>
      </c>
      <c r="R11" s="14"/>
      <c r="S11" s="14">
        <v>9.2307413971551497E-2</v>
      </c>
      <c r="T11" s="14">
        <v>0.18136876655882</v>
      </c>
      <c r="U11" s="14">
        <v>0.13165808779260499</v>
      </c>
      <c r="V11" s="14">
        <v>4.8036947456207402E-2</v>
      </c>
      <c r="W11" s="14">
        <v>0.17603434411392599</v>
      </c>
      <c r="X11" s="14">
        <v>5.5730203945242897E-2</v>
      </c>
      <c r="Y11" s="14">
        <v>0</v>
      </c>
      <c r="Z11" s="14">
        <v>6.22067059100102E-2</v>
      </c>
      <c r="AA11" s="14">
        <v>0.10200350653653199</v>
      </c>
      <c r="AB11" s="14"/>
      <c r="AC11" s="14">
        <v>0.17402760045958801</v>
      </c>
      <c r="AD11" s="14">
        <v>0.14580562021968799</v>
      </c>
      <c r="AE11" s="14">
        <v>9.5223840349083502E-2</v>
      </c>
      <c r="AF11" s="14">
        <v>6.1724674505866099E-2</v>
      </c>
      <c r="AG11" s="14">
        <v>5.6610939218156103E-2</v>
      </c>
      <c r="AH11" s="14"/>
      <c r="AI11" s="14">
        <v>4.9643284458153698E-2</v>
      </c>
      <c r="AJ11" s="14">
        <v>0.18443046141664399</v>
      </c>
      <c r="AK11" s="14">
        <v>7.5744809754414805E-2</v>
      </c>
      <c r="AL11" s="14">
        <v>0.150156785830074</v>
      </c>
      <c r="AM11" s="14">
        <v>0</v>
      </c>
      <c r="AN11" s="14">
        <v>9.7106638505499193E-2</v>
      </c>
      <c r="AO11" s="14"/>
      <c r="AP11" s="14">
        <v>6.4899680336446205E-2</v>
      </c>
      <c r="AQ11" s="14">
        <v>0.137273773792839</v>
      </c>
      <c r="AR11" s="14"/>
      <c r="AS11" s="14">
        <v>0.103774798719628</v>
      </c>
      <c r="AT11" s="14" t="s">
        <v>88</v>
      </c>
      <c r="AU11" s="14">
        <v>0</v>
      </c>
      <c r="AV11" s="14"/>
      <c r="AW11" s="14">
        <v>0.13292726182512901</v>
      </c>
      <c r="AX11" s="14">
        <v>4.2409368658629099E-2</v>
      </c>
      <c r="AY11" s="14"/>
      <c r="AZ11" s="14">
        <v>0.116296076078709</v>
      </c>
      <c r="BA11" s="14">
        <v>4.8422995350805499E-2</v>
      </c>
    </row>
    <row r="12" spans="2:53" x14ac:dyDescent="0.35">
      <c r="B12" s="15" t="s">
        <v>116</v>
      </c>
      <c r="C12" s="23">
        <v>0.11627921388784</v>
      </c>
      <c r="D12" s="23">
        <v>0.106848885974137</v>
      </c>
      <c r="E12" s="23">
        <v>0.127972321841366</v>
      </c>
      <c r="F12" s="23"/>
      <c r="G12" s="23">
        <v>0</v>
      </c>
      <c r="H12" s="23">
        <v>0.118590452190768</v>
      </c>
      <c r="I12" s="23">
        <v>0.12519595678491999</v>
      </c>
      <c r="J12" s="23">
        <v>0.11674043151339</v>
      </c>
      <c r="K12" s="23">
        <v>0</v>
      </c>
      <c r="L12" s="23" t="s">
        <v>88</v>
      </c>
      <c r="M12" s="23"/>
      <c r="N12" s="23">
        <v>3.3680210812626302E-2</v>
      </c>
      <c r="O12" s="23">
        <v>0.109202893091161</v>
      </c>
      <c r="P12" s="23">
        <v>0.19196775834723301</v>
      </c>
      <c r="Q12" s="23">
        <v>0.16892783747746801</v>
      </c>
      <c r="R12" s="23"/>
      <c r="S12" s="23">
        <v>8.3106497866077295E-2</v>
      </c>
      <c r="T12" s="23">
        <v>2.38585243558469E-2</v>
      </c>
      <c r="U12" s="23">
        <v>0.18952342910643999</v>
      </c>
      <c r="V12" s="23">
        <v>0.19785738135664999</v>
      </c>
      <c r="W12" s="23">
        <v>8.0472277974765402E-2</v>
      </c>
      <c r="X12" s="23">
        <v>9.1155324184570299E-2</v>
      </c>
      <c r="Y12" s="23">
        <v>0.24866254401608101</v>
      </c>
      <c r="Z12" s="23">
        <v>0.117785174228291</v>
      </c>
      <c r="AA12" s="23">
        <v>0.12636532624501201</v>
      </c>
      <c r="AB12" s="23"/>
      <c r="AC12" s="23">
        <v>0.17424174362009201</v>
      </c>
      <c r="AD12" s="23">
        <v>7.2370768636560903E-2</v>
      </c>
      <c r="AE12" s="23">
        <v>8.6249568087386305E-2</v>
      </c>
      <c r="AF12" s="23">
        <v>6.36595702475031E-2</v>
      </c>
      <c r="AG12" s="23">
        <v>0</v>
      </c>
      <c r="AH12" s="23"/>
      <c r="AI12" s="23">
        <v>1.6090804123654601E-2</v>
      </c>
      <c r="AJ12" s="23">
        <v>4.5156765947731298E-2</v>
      </c>
      <c r="AK12" s="23">
        <v>0.248236364350787</v>
      </c>
      <c r="AL12" s="23">
        <v>0.209365530404788</v>
      </c>
      <c r="AM12" s="23">
        <v>0.15364422652597201</v>
      </c>
      <c r="AN12" s="23">
        <v>0.216303308556301</v>
      </c>
      <c r="AO12" s="23"/>
      <c r="AP12" s="23">
        <v>0.14051974611745799</v>
      </c>
      <c r="AQ12" s="23">
        <v>9.4948733806328095E-2</v>
      </c>
      <c r="AR12" s="23"/>
      <c r="AS12" s="23">
        <v>0.11305486963669199</v>
      </c>
      <c r="AT12" s="23" t="s">
        <v>88</v>
      </c>
      <c r="AU12" s="23">
        <v>1</v>
      </c>
      <c r="AV12" s="23"/>
      <c r="AW12" s="23">
        <v>0.14583484782247499</v>
      </c>
      <c r="AX12" s="23">
        <v>0</v>
      </c>
      <c r="AY12" s="23"/>
      <c r="AZ12" s="23">
        <v>0.101911520454944</v>
      </c>
      <c r="BA12" s="23">
        <v>0.14560842395889101</v>
      </c>
    </row>
    <row r="13" spans="2:53" x14ac:dyDescent="0.35">
      <c r="B13" s="16" t="s">
        <v>219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193</v>
      </c>
      <c r="D7" s="10">
        <v>89</v>
      </c>
      <c r="E7" s="10">
        <v>104</v>
      </c>
      <c r="F7" s="10"/>
      <c r="G7" s="10">
        <v>5</v>
      </c>
      <c r="H7" s="10">
        <v>60</v>
      </c>
      <c r="I7" s="10">
        <v>105</v>
      </c>
      <c r="J7" s="10">
        <v>18</v>
      </c>
      <c r="K7" s="10">
        <v>5</v>
      </c>
      <c r="L7" s="10" t="s">
        <v>87</v>
      </c>
      <c r="M7" s="10"/>
      <c r="N7" s="10">
        <v>97</v>
      </c>
      <c r="O7" s="10">
        <v>43</v>
      </c>
      <c r="P7" s="10">
        <v>18</v>
      </c>
      <c r="Q7" s="10">
        <v>35</v>
      </c>
      <c r="R7" s="10"/>
      <c r="S7" s="10">
        <v>51</v>
      </c>
      <c r="T7" s="10">
        <v>34</v>
      </c>
      <c r="U7" s="10">
        <v>16</v>
      </c>
      <c r="V7" s="10">
        <v>18</v>
      </c>
      <c r="W7" s="10">
        <v>8</v>
      </c>
      <c r="X7" s="10">
        <v>14</v>
      </c>
      <c r="Y7" s="10">
        <v>17</v>
      </c>
      <c r="Z7" s="10">
        <v>9</v>
      </c>
      <c r="AA7" s="10">
        <v>26</v>
      </c>
      <c r="AB7" s="10"/>
      <c r="AC7" s="10">
        <v>14</v>
      </c>
      <c r="AD7" s="10">
        <v>28</v>
      </c>
      <c r="AE7" s="10">
        <v>70</v>
      </c>
      <c r="AF7" s="10">
        <v>41</v>
      </c>
      <c r="AG7" s="10">
        <v>21</v>
      </c>
      <c r="AH7" s="10"/>
      <c r="AI7" s="10">
        <v>82</v>
      </c>
      <c r="AJ7" s="10">
        <v>38</v>
      </c>
      <c r="AK7" s="10">
        <v>23</v>
      </c>
      <c r="AL7" s="10">
        <v>18</v>
      </c>
      <c r="AM7" s="10">
        <v>9</v>
      </c>
      <c r="AN7" s="10">
        <v>11</v>
      </c>
      <c r="AO7" s="10"/>
      <c r="AP7" s="10">
        <v>97</v>
      </c>
      <c r="AQ7" s="10">
        <v>96</v>
      </c>
      <c r="AR7" s="10"/>
      <c r="AS7" s="10">
        <v>192</v>
      </c>
      <c r="AT7" s="10" t="s">
        <v>87</v>
      </c>
      <c r="AU7" s="10">
        <v>1</v>
      </c>
      <c r="AV7" s="10"/>
      <c r="AW7" s="10">
        <v>119</v>
      </c>
      <c r="AX7" s="10">
        <v>67</v>
      </c>
      <c r="AY7" s="10"/>
      <c r="AZ7" s="10">
        <v>162</v>
      </c>
      <c r="BA7" s="10">
        <v>30</v>
      </c>
    </row>
    <row r="8" spans="2:53" ht="30" customHeight="1" x14ac:dyDescent="0.35">
      <c r="B8" s="11" t="s">
        <v>19</v>
      </c>
      <c r="C8" s="11">
        <v>182</v>
      </c>
      <c r="D8" s="11">
        <v>101</v>
      </c>
      <c r="E8" s="11">
        <v>81</v>
      </c>
      <c r="F8" s="11"/>
      <c r="G8" s="11">
        <v>4</v>
      </c>
      <c r="H8" s="11">
        <v>42</v>
      </c>
      <c r="I8" s="11">
        <v>110</v>
      </c>
      <c r="J8" s="11">
        <v>20</v>
      </c>
      <c r="K8" s="11">
        <v>5</v>
      </c>
      <c r="L8" s="11" t="s">
        <v>87</v>
      </c>
      <c r="M8" s="11"/>
      <c r="N8" s="11">
        <v>56</v>
      </c>
      <c r="O8" s="11">
        <v>45</v>
      </c>
      <c r="P8" s="11">
        <v>27</v>
      </c>
      <c r="Q8" s="11">
        <v>55</v>
      </c>
      <c r="R8" s="11"/>
      <c r="S8" s="11">
        <v>41</v>
      </c>
      <c r="T8" s="11">
        <v>37</v>
      </c>
      <c r="U8" s="11">
        <v>19</v>
      </c>
      <c r="V8" s="11">
        <v>22</v>
      </c>
      <c r="W8" s="11">
        <v>8</v>
      </c>
      <c r="X8" s="11">
        <v>9</v>
      </c>
      <c r="Y8" s="11">
        <v>14</v>
      </c>
      <c r="Z8" s="11">
        <v>9</v>
      </c>
      <c r="AA8" s="11">
        <v>23</v>
      </c>
      <c r="AB8" s="11"/>
      <c r="AC8" s="11">
        <v>16</v>
      </c>
      <c r="AD8" s="11">
        <v>33</v>
      </c>
      <c r="AE8" s="11">
        <v>65</v>
      </c>
      <c r="AF8" s="11">
        <v>32</v>
      </c>
      <c r="AG8" s="11">
        <v>12</v>
      </c>
      <c r="AH8" s="11"/>
      <c r="AI8" s="11">
        <v>68</v>
      </c>
      <c r="AJ8" s="11">
        <v>37</v>
      </c>
      <c r="AK8" s="11">
        <v>23</v>
      </c>
      <c r="AL8" s="11">
        <v>18</v>
      </c>
      <c r="AM8" s="11">
        <v>9</v>
      </c>
      <c r="AN8" s="11">
        <v>15</v>
      </c>
      <c r="AO8" s="11"/>
      <c r="AP8" s="11">
        <v>85</v>
      </c>
      <c r="AQ8" s="11">
        <v>97</v>
      </c>
      <c r="AR8" s="11"/>
      <c r="AS8" s="11">
        <v>182</v>
      </c>
      <c r="AT8" s="11" t="s">
        <v>87</v>
      </c>
      <c r="AU8" s="11">
        <v>1</v>
      </c>
      <c r="AV8" s="11"/>
      <c r="AW8" s="11">
        <v>127</v>
      </c>
      <c r="AX8" s="11">
        <v>48</v>
      </c>
      <c r="AY8" s="11"/>
      <c r="AZ8" s="11">
        <v>149</v>
      </c>
      <c r="BA8" s="11">
        <v>32</v>
      </c>
    </row>
    <row r="9" spans="2:53" x14ac:dyDescent="0.35">
      <c r="B9" s="15" t="s">
        <v>235</v>
      </c>
      <c r="C9" s="14">
        <v>0.38102516068106601</v>
      </c>
      <c r="D9" s="14">
        <v>0.34107433842607299</v>
      </c>
      <c r="E9" s="14">
        <v>0.43056206774672201</v>
      </c>
      <c r="F9" s="14"/>
      <c r="G9" s="14">
        <v>0.57260386005735298</v>
      </c>
      <c r="H9" s="14">
        <v>0.39375576373020499</v>
      </c>
      <c r="I9" s="14">
        <v>0.378786782246817</v>
      </c>
      <c r="J9" s="14">
        <v>0.32046111509531799</v>
      </c>
      <c r="K9" s="14">
        <v>0.39846486166102502</v>
      </c>
      <c r="L9" s="14" t="s">
        <v>88</v>
      </c>
      <c r="M9" s="14"/>
      <c r="N9" s="14">
        <v>0.41700561462177199</v>
      </c>
      <c r="O9" s="14">
        <v>0.39055156143423397</v>
      </c>
      <c r="P9" s="14">
        <v>0.43186498009001101</v>
      </c>
      <c r="Q9" s="14">
        <v>0.31234134700093602</v>
      </c>
      <c r="R9" s="14"/>
      <c r="S9" s="14">
        <v>0.363972111060264</v>
      </c>
      <c r="T9" s="14">
        <v>0.46862485842202201</v>
      </c>
      <c r="U9" s="14">
        <v>0.42096829561538601</v>
      </c>
      <c r="V9" s="14">
        <v>0.23360936683858699</v>
      </c>
      <c r="W9" s="14">
        <v>0.44650341353695</v>
      </c>
      <c r="X9" s="14">
        <v>0.54541815755431899</v>
      </c>
      <c r="Y9" s="14">
        <v>0.25970226180669598</v>
      </c>
      <c r="Z9" s="14">
        <v>0.35129729805627502</v>
      </c>
      <c r="AA9" s="14">
        <v>0.37663086558958198</v>
      </c>
      <c r="AB9" s="14"/>
      <c r="AC9" s="14">
        <v>0.42181854984613099</v>
      </c>
      <c r="AD9" s="14">
        <v>0.26675008665622302</v>
      </c>
      <c r="AE9" s="14">
        <v>0.44048676788112001</v>
      </c>
      <c r="AF9" s="14">
        <v>0.44089974144140598</v>
      </c>
      <c r="AG9" s="14">
        <v>0.43844737402419898</v>
      </c>
      <c r="AH9" s="14"/>
      <c r="AI9" s="14">
        <v>0.41517388663251398</v>
      </c>
      <c r="AJ9" s="14">
        <v>0.37280557174356999</v>
      </c>
      <c r="AK9" s="14">
        <v>0.35659044159589298</v>
      </c>
      <c r="AL9" s="14">
        <v>0.115377588525817</v>
      </c>
      <c r="AM9" s="14">
        <v>0.59484270798392502</v>
      </c>
      <c r="AN9" s="14">
        <v>0.40446683131377797</v>
      </c>
      <c r="AO9" s="14"/>
      <c r="AP9" s="14">
        <v>0.32551602828477799</v>
      </c>
      <c r="AQ9" s="14">
        <v>0.42987047611000401</v>
      </c>
      <c r="AR9" s="14"/>
      <c r="AS9" s="14">
        <v>0.37876676866842202</v>
      </c>
      <c r="AT9" s="14" t="s">
        <v>88</v>
      </c>
      <c r="AU9" s="14">
        <v>1</v>
      </c>
      <c r="AV9" s="14"/>
      <c r="AW9" s="14">
        <v>0.335092404237816</v>
      </c>
      <c r="AX9" s="14">
        <v>0.52279364008878004</v>
      </c>
      <c r="AY9" s="14"/>
      <c r="AZ9" s="14">
        <v>0.42605666611348803</v>
      </c>
      <c r="BA9" s="14">
        <v>0.18992949167419501</v>
      </c>
    </row>
    <row r="10" spans="2:53" x14ac:dyDescent="0.35">
      <c r="B10" s="15" t="s">
        <v>236</v>
      </c>
      <c r="C10" s="14">
        <v>0.49251765030459999</v>
      </c>
      <c r="D10" s="14">
        <v>0.50670441846005299</v>
      </c>
      <c r="E10" s="14">
        <v>0.47492680796365599</v>
      </c>
      <c r="F10" s="14"/>
      <c r="G10" s="14">
        <v>0.42739613994264702</v>
      </c>
      <c r="H10" s="14">
        <v>0.45075459024110298</v>
      </c>
      <c r="I10" s="14">
        <v>0.51107492066846805</v>
      </c>
      <c r="J10" s="14">
        <v>0.46515086536262201</v>
      </c>
      <c r="K10" s="14">
        <v>0.60153513833897498</v>
      </c>
      <c r="L10" s="14" t="s">
        <v>88</v>
      </c>
      <c r="M10" s="14"/>
      <c r="N10" s="14">
        <v>0.54618075797511501</v>
      </c>
      <c r="O10" s="14">
        <v>0.49017506532079402</v>
      </c>
      <c r="P10" s="14">
        <v>0.51762557616935101</v>
      </c>
      <c r="Q10" s="14">
        <v>0.42812391458362598</v>
      </c>
      <c r="R10" s="14"/>
      <c r="S10" s="14">
        <v>0.47022850963924201</v>
      </c>
      <c r="T10" s="14">
        <v>0.49235084193183798</v>
      </c>
      <c r="U10" s="14">
        <v>0.57903170438461404</v>
      </c>
      <c r="V10" s="14">
        <v>0.45213568972537299</v>
      </c>
      <c r="W10" s="14">
        <v>0.553496586463051</v>
      </c>
      <c r="X10" s="14">
        <v>0.264241692061218</v>
      </c>
      <c r="Y10" s="14">
        <v>0.49163519550571</v>
      </c>
      <c r="Z10" s="14">
        <v>0.64870270194372504</v>
      </c>
      <c r="AA10" s="14">
        <v>0.51116154592805296</v>
      </c>
      <c r="AB10" s="14"/>
      <c r="AC10" s="14">
        <v>0.34310338155929898</v>
      </c>
      <c r="AD10" s="14">
        <v>0.59120395531514902</v>
      </c>
      <c r="AE10" s="14">
        <v>0.45913014871435298</v>
      </c>
      <c r="AF10" s="14">
        <v>0.496626186992149</v>
      </c>
      <c r="AG10" s="14">
        <v>0.53606919120178298</v>
      </c>
      <c r="AH10" s="14"/>
      <c r="AI10" s="14">
        <v>0.52393565375740903</v>
      </c>
      <c r="AJ10" s="14">
        <v>0.51438657740597205</v>
      </c>
      <c r="AK10" s="14">
        <v>0.60316967410871203</v>
      </c>
      <c r="AL10" s="14">
        <v>0.68656395234089995</v>
      </c>
      <c r="AM10" s="14">
        <v>0.40515729201607498</v>
      </c>
      <c r="AN10" s="14">
        <v>0</v>
      </c>
      <c r="AO10" s="14"/>
      <c r="AP10" s="14">
        <v>0.53630715480659596</v>
      </c>
      <c r="AQ10" s="14">
        <v>0.45398503292180897</v>
      </c>
      <c r="AR10" s="14"/>
      <c r="AS10" s="14">
        <v>0.49431465053284501</v>
      </c>
      <c r="AT10" s="14" t="s">
        <v>88</v>
      </c>
      <c r="AU10" s="14">
        <v>0</v>
      </c>
      <c r="AV10" s="14"/>
      <c r="AW10" s="14">
        <v>0.52018179366157202</v>
      </c>
      <c r="AX10" s="14">
        <v>0.462732261951184</v>
      </c>
      <c r="AY10" s="14"/>
      <c r="AZ10" s="14">
        <v>0.45608432928777398</v>
      </c>
      <c r="BA10" s="14">
        <v>0.68037175750551904</v>
      </c>
    </row>
    <row r="11" spans="2:53" x14ac:dyDescent="0.35">
      <c r="B11" s="15" t="s">
        <v>237</v>
      </c>
      <c r="C11" s="14">
        <v>8.8116183372472595E-2</v>
      </c>
      <c r="D11" s="14">
        <v>0.131662887279203</v>
      </c>
      <c r="E11" s="14">
        <v>3.4120573202678403E-2</v>
      </c>
      <c r="F11" s="14"/>
      <c r="G11" s="14">
        <v>0</v>
      </c>
      <c r="H11" s="14">
        <v>3.2967270661946199E-2</v>
      </c>
      <c r="I11" s="14">
        <v>9.9806410312669902E-2</v>
      </c>
      <c r="J11" s="14">
        <v>0.18203602146339301</v>
      </c>
      <c r="K11" s="14">
        <v>0</v>
      </c>
      <c r="L11" s="14" t="s">
        <v>88</v>
      </c>
      <c r="M11" s="14"/>
      <c r="N11" s="14">
        <v>2.5177945835984001E-2</v>
      </c>
      <c r="O11" s="14">
        <v>0.103775395210842</v>
      </c>
      <c r="P11" s="14">
        <v>0</v>
      </c>
      <c r="Q11" s="14">
        <v>0.181398862239527</v>
      </c>
      <c r="R11" s="14"/>
      <c r="S11" s="14">
        <v>0.149910318548133</v>
      </c>
      <c r="T11" s="14">
        <v>3.9024299646140098E-2</v>
      </c>
      <c r="U11" s="14">
        <v>0</v>
      </c>
      <c r="V11" s="14">
        <v>0.25364461527052801</v>
      </c>
      <c r="W11" s="14">
        <v>0</v>
      </c>
      <c r="X11" s="14">
        <v>0</v>
      </c>
      <c r="Y11" s="14">
        <v>0.16865403188932099</v>
      </c>
      <c r="Z11" s="14">
        <v>0</v>
      </c>
      <c r="AA11" s="14">
        <v>2.1524433368427999E-2</v>
      </c>
      <c r="AB11" s="14"/>
      <c r="AC11" s="14">
        <v>0.16620760729793599</v>
      </c>
      <c r="AD11" s="14">
        <v>8.0922864502403394E-2</v>
      </c>
      <c r="AE11" s="14">
        <v>0.10038308340452699</v>
      </c>
      <c r="AF11" s="14">
        <v>6.2474071566445397E-2</v>
      </c>
      <c r="AG11" s="14">
        <v>2.54834347740178E-2</v>
      </c>
      <c r="AH11" s="14"/>
      <c r="AI11" s="14">
        <v>6.08904596100769E-2</v>
      </c>
      <c r="AJ11" s="14">
        <v>9.5331137725604906E-2</v>
      </c>
      <c r="AK11" s="14">
        <v>4.02398842953944E-2</v>
      </c>
      <c r="AL11" s="14">
        <v>0.19805845913328299</v>
      </c>
      <c r="AM11" s="14">
        <v>0</v>
      </c>
      <c r="AN11" s="14">
        <v>0.25922956157416199</v>
      </c>
      <c r="AO11" s="14"/>
      <c r="AP11" s="14">
        <v>0.10567630897144301</v>
      </c>
      <c r="AQ11" s="14">
        <v>7.2664133649734397E-2</v>
      </c>
      <c r="AR11" s="14"/>
      <c r="AS11" s="14">
        <v>8.8437684138048103E-2</v>
      </c>
      <c r="AT11" s="14" t="s">
        <v>88</v>
      </c>
      <c r="AU11" s="14">
        <v>0</v>
      </c>
      <c r="AV11" s="14"/>
      <c r="AW11" s="14">
        <v>0.105898315164174</v>
      </c>
      <c r="AX11" s="14">
        <v>1.44740979600357E-2</v>
      </c>
      <c r="AY11" s="14"/>
      <c r="AZ11" s="14">
        <v>9.48460403956633E-2</v>
      </c>
      <c r="BA11" s="14">
        <v>6.0851539439760002E-2</v>
      </c>
    </row>
    <row r="12" spans="2:53" x14ac:dyDescent="0.35">
      <c r="B12" s="15" t="s">
        <v>238</v>
      </c>
      <c r="C12" s="14">
        <v>3.8322511894648501E-3</v>
      </c>
      <c r="D12" s="14">
        <v>0</v>
      </c>
      <c r="E12" s="14">
        <v>8.5840400215719294E-3</v>
      </c>
      <c r="F12" s="14"/>
      <c r="G12" s="14">
        <v>0</v>
      </c>
      <c r="H12" s="14">
        <v>1.6456105676402901E-2</v>
      </c>
      <c r="I12" s="14">
        <v>0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1.5497978034130199E-2</v>
      </c>
      <c r="P12" s="14">
        <v>0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7.4533296295620999E-2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2.0918005661323399E-2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4.6989653994459701E-2</v>
      </c>
      <c r="AO12" s="14"/>
      <c r="AP12" s="14">
        <v>8.1873246859461707E-3</v>
      </c>
      <c r="AQ12" s="14">
        <v>0</v>
      </c>
      <c r="AR12" s="14"/>
      <c r="AS12" s="14">
        <v>3.8462335437173399E-3</v>
      </c>
      <c r="AT12" s="14" t="s">
        <v>88</v>
      </c>
      <c r="AU12" s="14">
        <v>0</v>
      </c>
      <c r="AV12" s="14"/>
      <c r="AW12" s="14">
        <v>5.5190207044079204E-3</v>
      </c>
      <c r="AX12" s="14">
        <v>0</v>
      </c>
      <c r="AY12" s="14"/>
      <c r="AZ12" s="14">
        <v>4.7009032006792104E-3</v>
      </c>
      <c r="BA12" s="14">
        <v>0</v>
      </c>
    </row>
    <row r="13" spans="2:53" x14ac:dyDescent="0.35">
      <c r="B13" s="15" t="s">
        <v>116</v>
      </c>
      <c r="C13" s="23">
        <v>3.4508754452396102E-2</v>
      </c>
      <c r="D13" s="23">
        <v>2.0558355834671398E-2</v>
      </c>
      <c r="E13" s="23">
        <v>5.1806511065371E-2</v>
      </c>
      <c r="F13" s="23"/>
      <c r="G13" s="23">
        <v>0</v>
      </c>
      <c r="H13" s="23">
        <v>0.106066269690342</v>
      </c>
      <c r="I13" s="23">
        <v>1.03318867720457E-2</v>
      </c>
      <c r="J13" s="23">
        <v>3.2351998078666899E-2</v>
      </c>
      <c r="K13" s="23">
        <v>0</v>
      </c>
      <c r="L13" s="23" t="s">
        <v>88</v>
      </c>
      <c r="M13" s="23"/>
      <c r="N13" s="23">
        <v>1.1635681567129101E-2</v>
      </c>
      <c r="O13" s="23">
        <v>0</v>
      </c>
      <c r="P13" s="23">
        <v>5.0509443740637601E-2</v>
      </c>
      <c r="Q13" s="23">
        <v>7.8135876175910002E-2</v>
      </c>
      <c r="R13" s="23"/>
      <c r="S13" s="23">
        <v>1.5889060752360899E-2</v>
      </c>
      <c r="T13" s="23">
        <v>0</v>
      </c>
      <c r="U13" s="23">
        <v>0</v>
      </c>
      <c r="V13" s="23">
        <v>6.0610328165511602E-2</v>
      </c>
      <c r="W13" s="23">
        <v>0</v>
      </c>
      <c r="X13" s="23">
        <v>0.115806854088843</v>
      </c>
      <c r="Y13" s="23">
        <v>8.0008510798272897E-2</v>
      </c>
      <c r="Z13" s="23">
        <v>0</v>
      </c>
      <c r="AA13" s="23">
        <v>9.0683155113936501E-2</v>
      </c>
      <c r="AB13" s="23"/>
      <c r="AC13" s="23">
        <v>6.8870461296634003E-2</v>
      </c>
      <c r="AD13" s="23">
        <v>4.0205087864900999E-2</v>
      </c>
      <c r="AE13" s="23">
        <v>0</v>
      </c>
      <c r="AF13" s="23">
        <v>0</v>
      </c>
      <c r="AG13" s="23">
        <v>0</v>
      </c>
      <c r="AH13" s="23"/>
      <c r="AI13" s="23">
        <v>0</v>
      </c>
      <c r="AJ13" s="23">
        <v>1.74767131248534E-2</v>
      </c>
      <c r="AK13" s="23">
        <v>0</v>
      </c>
      <c r="AL13" s="23">
        <v>0</v>
      </c>
      <c r="AM13" s="23">
        <v>0</v>
      </c>
      <c r="AN13" s="23">
        <v>0.2893139531176</v>
      </c>
      <c r="AO13" s="23"/>
      <c r="AP13" s="23">
        <v>2.4313183251236499E-2</v>
      </c>
      <c r="AQ13" s="23">
        <v>4.3480357318452401E-2</v>
      </c>
      <c r="AR13" s="23"/>
      <c r="AS13" s="23">
        <v>3.4634663116967002E-2</v>
      </c>
      <c r="AT13" s="23" t="s">
        <v>88</v>
      </c>
      <c r="AU13" s="23">
        <v>0</v>
      </c>
      <c r="AV13" s="23"/>
      <c r="AW13" s="23">
        <v>3.33084662320298E-2</v>
      </c>
      <c r="AX13" s="23">
        <v>0</v>
      </c>
      <c r="AY13" s="23"/>
      <c r="AZ13" s="23">
        <v>1.83120610023959E-2</v>
      </c>
      <c r="BA13" s="23">
        <v>6.8847211380525797E-2</v>
      </c>
    </row>
    <row r="14" spans="2:53" x14ac:dyDescent="0.35">
      <c r="B14" s="16" t="s">
        <v>219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BA19"/>
  <sheetViews>
    <sheetView showGridLines="0" workbookViewId="0">
      <pane xSplit="2" topLeftCell="C1" activePane="topRight" state="frozen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193</v>
      </c>
      <c r="D7" s="10">
        <v>89</v>
      </c>
      <c r="E7" s="10">
        <v>104</v>
      </c>
      <c r="F7" s="10"/>
      <c r="G7" s="10">
        <v>5</v>
      </c>
      <c r="H7" s="10">
        <v>60</v>
      </c>
      <c r="I7" s="10">
        <v>105</v>
      </c>
      <c r="J7" s="10">
        <v>18</v>
      </c>
      <c r="K7" s="10">
        <v>5</v>
      </c>
      <c r="L7" s="10" t="s">
        <v>87</v>
      </c>
      <c r="M7" s="10"/>
      <c r="N7" s="10">
        <v>97</v>
      </c>
      <c r="O7" s="10">
        <v>43</v>
      </c>
      <c r="P7" s="10">
        <v>18</v>
      </c>
      <c r="Q7" s="10">
        <v>35</v>
      </c>
      <c r="R7" s="10"/>
      <c r="S7" s="10">
        <v>51</v>
      </c>
      <c r="T7" s="10">
        <v>34</v>
      </c>
      <c r="U7" s="10">
        <v>16</v>
      </c>
      <c r="V7" s="10">
        <v>18</v>
      </c>
      <c r="W7" s="10">
        <v>8</v>
      </c>
      <c r="X7" s="10">
        <v>14</v>
      </c>
      <c r="Y7" s="10">
        <v>17</v>
      </c>
      <c r="Z7" s="10">
        <v>9</v>
      </c>
      <c r="AA7" s="10">
        <v>26</v>
      </c>
      <c r="AB7" s="10"/>
      <c r="AC7" s="10">
        <v>14</v>
      </c>
      <c r="AD7" s="10">
        <v>28</v>
      </c>
      <c r="AE7" s="10">
        <v>70</v>
      </c>
      <c r="AF7" s="10">
        <v>41</v>
      </c>
      <c r="AG7" s="10">
        <v>21</v>
      </c>
      <c r="AH7" s="10"/>
      <c r="AI7" s="10">
        <v>82</v>
      </c>
      <c r="AJ7" s="10">
        <v>38</v>
      </c>
      <c r="AK7" s="10">
        <v>23</v>
      </c>
      <c r="AL7" s="10">
        <v>18</v>
      </c>
      <c r="AM7" s="10">
        <v>9</v>
      </c>
      <c r="AN7" s="10">
        <v>11</v>
      </c>
      <c r="AO7" s="10"/>
      <c r="AP7" s="10">
        <v>97</v>
      </c>
      <c r="AQ7" s="10">
        <v>96</v>
      </c>
      <c r="AR7" s="10"/>
      <c r="AS7" s="10">
        <v>192</v>
      </c>
      <c r="AT7" s="10" t="s">
        <v>87</v>
      </c>
      <c r="AU7" s="10">
        <v>1</v>
      </c>
      <c r="AV7" s="10"/>
      <c r="AW7" s="10">
        <v>119</v>
      </c>
      <c r="AX7" s="10">
        <v>67</v>
      </c>
      <c r="AY7" s="10"/>
      <c r="AZ7" s="10">
        <v>162</v>
      </c>
      <c r="BA7" s="10">
        <v>30</v>
      </c>
    </row>
    <row r="8" spans="2:53" ht="30" customHeight="1" x14ac:dyDescent="0.35">
      <c r="B8" s="11" t="s">
        <v>19</v>
      </c>
      <c r="C8" s="11">
        <v>182</v>
      </c>
      <c r="D8" s="11">
        <v>101</v>
      </c>
      <c r="E8" s="11">
        <v>81</v>
      </c>
      <c r="F8" s="11"/>
      <c r="G8" s="11">
        <v>4</v>
      </c>
      <c r="H8" s="11">
        <v>42</v>
      </c>
      <c r="I8" s="11">
        <v>110</v>
      </c>
      <c r="J8" s="11">
        <v>20</v>
      </c>
      <c r="K8" s="11">
        <v>5</v>
      </c>
      <c r="L8" s="11" t="s">
        <v>87</v>
      </c>
      <c r="M8" s="11"/>
      <c r="N8" s="11">
        <v>56</v>
      </c>
      <c r="O8" s="11">
        <v>45</v>
      </c>
      <c r="P8" s="11">
        <v>27</v>
      </c>
      <c r="Q8" s="11">
        <v>55</v>
      </c>
      <c r="R8" s="11"/>
      <c r="S8" s="11">
        <v>41</v>
      </c>
      <c r="T8" s="11">
        <v>37</v>
      </c>
      <c r="U8" s="11">
        <v>19</v>
      </c>
      <c r="V8" s="11">
        <v>22</v>
      </c>
      <c r="W8" s="11">
        <v>8</v>
      </c>
      <c r="X8" s="11">
        <v>9</v>
      </c>
      <c r="Y8" s="11">
        <v>14</v>
      </c>
      <c r="Z8" s="11">
        <v>9</v>
      </c>
      <c r="AA8" s="11">
        <v>23</v>
      </c>
      <c r="AB8" s="11"/>
      <c r="AC8" s="11">
        <v>16</v>
      </c>
      <c r="AD8" s="11">
        <v>33</v>
      </c>
      <c r="AE8" s="11">
        <v>65</v>
      </c>
      <c r="AF8" s="11">
        <v>32</v>
      </c>
      <c r="AG8" s="11">
        <v>12</v>
      </c>
      <c r="AH8" s="11"/>
      <c r="AI8" s="11">
        <v>68</v>
      </c>
      <c r="AJ8" s="11">
        <v>37</v>
      </c>
      <c r="AK8" s="11">
        <v>23</v>
      </c>
      <c r="AL8" s="11">
        <v>18</v>
      </c>
      <c r="AM8" s="11">
        <v>9</v>
      </c>
      <c r="AN8" s="11">
        <v>15</v>
      </c>
      <c r="AO8" s="11"/>
      <c r="AP8" s="11">
        <v>85</v>
      </c>
      <c r="AQ8" s="11">
        <v>97</v>
      </c>
      <c r="AR8" s="11"/>
      <c r="AS8" s="11">
        <v>182</v>
      </c>
      <c r="AT8" s="11" t="s">
        <v>87</v>
      </c>
      <c r="AU8" s="11">
        <v>1</v>
      </c>
      <c r="AV8" s="11"/>
      <c r="AW8" s="11">
        <v>127</v>
      </c>
      <c r="AX8" s="11">
        <v>48</v>
      </c>
      <c r="AY8" s="11"/>
      <c r="AZ8" s="11">
        <v>149</v>
      </c>
      <c r="BA8" s="11">
        <v>32</v>
      </c>
    </row>
    <row r="9" spans="2:53" x14ac:dyDescent="0.35">
      <c r="B9" s="15" t="s">
        <v>220</v>
      </c>
      <c r="C9" s="14">
        <v>0.40410790833798799</v>
      </c>
      <c r="D9" s="14">
        <v>0.481421811368615</v>
      </c>
      <c r="E9" s="14">
        <v>0.30824275680577801</v>
      </c>
      <c r="F9" s="14"/>
      <c r="G9" s="14">
        <v>0.85057966740069002</v>
      </c>
      <c r="H9" s="14">
        <v>0.39233723664415698</v>
      </c>
      <c r="I9" s="14">
        <v>0.40837806569107998</v>
      </c>
      <c r="J9" s="14">
        <v>0.31713113443783097</v>
      </c>
      <c r="K9" s="14">
        <v>0.37138493590083099</v>
      </c>
      <c r="L9" s="14" t="s">
        <v>88</v>
      </c>
      <c r="M9" s="14"/>
      <c r="N9" s="14">
        <v>0.47734860323832801</v>
      </c>
      <c r="O9" s="14">
        <v>0.39567580245269701</v>
      </c>
      <c r="P9" s="14">
        <v>0.22266677342772001</v>
      </c>
      <c r="Q9" s="14">
        <v>0.42467774664273999</v>
      </c>
      <c r="R9" s="14"/>
      <c r="S9" s="14">
        <v>0.44503649623533797</v>
      </c>
      <c r="T9" s="14">
        <v>0.55269184331479904</v>
      </c>
      <c r="U9" s="14">
        <v>0.31068198084794701</v>
      </c>
      <c r="V9" s="14">
        <v>0.30363291349182298</v>
      </c>
      <c r="W9" s="14">
        <v>0.36603113556218397</v>
      </c>
      <c r="X9" s="14">
        <v>0.34215570298623199</v>
      </c>
      <c r="Y9" s="14">
        <v>0.37686279890475999</v>
      </c>
      <c r="Z9" s="14">
        <v>0.305016180573212</v>
      </c>
      <c r="AA9" s="14">
        <v>0.35972730006916698</v>
      </c>
      <c r="AB9" s="14"/>
      <c r="AC9" s="14">
        <v>0.332644796150253</v>
      </c>
      <c r="AD9" s="14">
        <v>0.452995388954748</v>
      </c>
      <c r="AE9" s="14">
        <v>0.44134781494505398</v>
      </c>
      <c r="AF9" s="14">
        <v>0.34418856274059501</v>
      </c>
      <c r="AG9" s="14">
        <v>0.47559024561394803</v>
      </c>
      <c r="AH9" s="14"/>
      <c r="AI9" s="14">
        <v>0.42886833314441902</v>
      </c>
      <c r="AJ9" s="14">
        <v>0.409277435928318</v>
      </c>
      <c r="AK9" s="14">
        <v>0.25066881096524901</v>
      </c>
      <c r="AL9" s="14">
        <v>0.57380893283558598</v>
      </c>
      <c r="AM9" s="14">
        <v>0.44086877951859399</v>
      </c>
      <c r="AN9" s="14">
        <v>0.21514223178766601</v>
      </c>
      <c r="AO9" s="14"/>
      <c r="AP9" s="14">
        <v>0.37768937071317199</v>
      </c>
      <c r="AQ9" s="14">
        <v>0.42735492640058198</v>
      </c>
      <c r="AR9" s="14"/>
      <c r="AS9" s="14">
        <v>0.40558233672257499</v>
      </c>
      <c r="AT9" s="14" t="s">
        <v>88</v>
      </c>
      <c r="AU9" s="14">
        <v>0</v>
      </c>
      <c r="AV9" s="14"/>
      <c r="AW9" s="14">
        <v>0.40344960832432902</v>
      </c>
      <c r="AX9" s="14">
        <v>0.47376854786248701</v>
      </c>
      <c r="AY9" s="14"/>
      <c r="AZ9" s="14">
        <v>0.45194832714502797</v>
      </c>
      <c r="BA9" s="14">
        <v>0.201063926128041</v>
      </c>
    </row>
    <row r="10" spans="2:53" x14ac:dyDescent="0.35">
      <c r="B10" s="15" t="s">
        <v>221</v>
      </c>
      <c r="C10" s="14">
        <v>0.44323561252989702</v>
      </c>
      <c r="D10" s="14">
        <v>0.40982192044964</v>
      </c>
      <c r="E10" s="14">
        <v>0.48466682385104298</v>
      </c>
      <c r="F10" s="14"/>
      <c r="G10" s="14">
        <v>0.14942033259931001</v>
      </c>
      <c r="H10" s="14">
        <v>0.45974633018356298</v>
      </c>
      <c r="I10" s="14">
        <v>0.46213778670765099</v>
      </c>
      <c r="J10" s="14">
        <v>0.44290608417553801</v>
      </c>
      <c r="K10" s="14">
        <v>0.145019652620479</v>
      </c>
      <c r="L10" s="14" t="s">
        <v>88</v>
      </c>
      <c r="M10" s="14"/>
      <c r="N10" s="14">
        <v>0.41452430155193198</v>
      </c>
      <c r="O10" s="14">
        <v>0.48227790023287198</v>
      </c>
      <c r="P10" s="14">
        <v>0.57562948414495396</v>
      </c>
      <c r="Q10" s="14">
        <v>0.37632202590656499</v>
      </c>
      <c r="R10" s="14"/>
      <c r="S10" s="14">
        <v>0.50772455182038101</v>
      </c>
      <c r="T10" s="14">
        <v>0.384425343798943</v>
      </c>
      <c r="U10" s="14">
        <v>0.40496553994912998</v>
      </c>
      <c r="V10" s="14">
        <v>0.38617963104826297</v>
      </c>
      <c r="W10" s="14">
        <v>0.553496586463051</v>
      </c>
      <c r="X10" s="14">
        <v>0.52497888133320403</v>
      </c>
      <c r="Y10" s="14">
        <v>0.35519781712124798</v>
      </c>
      <c r="Z10" s="14">
        <v>0.61178888176388602</v>
      </c>
      <c r="AA10" s="14">
        <v>0.42436125457396301</v>
      </c>
      <c r="AB10" s="14"/>
      <c r="AC10" s="14">
        <v>0.49245209915689198</v>
      </c>
      <c r="AD10" s="14">
        <v>0.343633262756596</v>
      </c>
      <c r="AE10" s="14">
        <v>0.42696934103118001</v>
      </c>
      <c r="AF10" s="14">
        <v>0.52632973532304095</v>
      </c>
      <c r="AG10" s="14">
        <v>0.48559288265663397</v>
      </c>
      <c r="AH10" s="14"/>
      <c r="AI10" s="14">
        <v>0.444443091786761</v>
      </c>
      <c r="AJ10" s="14">
        <v>0.50223513359493299</v>
      </c>
      <c r="AK10" s="14">
        <v>0.48261806511362498</v>
      </c>
      <c r="AL10" s="14">
        <v>0.30626691100067499</v>
      </c>
      <c r="AM10" s="14">
        <v>0.231457904627522</v>
      </c>
      <c r="AN10" s="14">
        <v>0.63508488770427396</v>
      </c>
      <c r="AO10" s="14"/>
      <c r="AP10" s="14">
        <v>0.50929273515082296</v>
      </c>
      <c r="AQ10" s="14">
        <v>0.38510858276996401</v>
      </c>
      <c r="AR10" s="14"/>
      <c r="AS10" s="14">
        <v>0.44485280228216301</v>
      </c>
      <c r="AT10" s="14" t="s">
        <v>88</v>
      </c>
      <c r="AU10" s="14">
        <v>0</v>
      </c>
      <c r="AV10" s="14"/>
      <c r="AW10" s="14">
        <v>0.41438698695264897</v>
      </c>
      <c r="AX10" s="14">
        <v>0.44011790718066002</v>
      </c>
      <c r="AY10" s="14"/>
      <c r="AZ10" s="14">
        <v>0.42766789528190302</v>
      </c>
      <c r="BA10" s="14">
        <v>0.53316879213712698</v>
      </c>
    </row>
    <row r="11" spans="2:53" x14ac:dyDescent="0.35">
      <c r="B11" s="15" t="s">
        <v>222</v>
      </c>
      <c r="C11" s="14">
        <v>3.4097212136473702E-2</v>
      </c>
      <c r="D11" s="14">
        <v>3.7732692125783597E-2</v>
      </c>
      <c r="E11" s="14">
        <v>2.9589409187637299E-2</v>
      </c>
      <c r="F11" s="14"/>
      <c r="G11" s="14">
        <v>0</v>
      </c>
      <c r="H11" s="14">
        <v>1.6704526530573499E-2</v>
      </c>
      <c r="I11" s="14">
        <v>4.7086216554878199E-2</v>
      </c>
      <c r="J11" s="14">
        <v>1.52855687652359E-2</v>
      </c>
      <c r="K11" s="14">
        <v>0</v>
      </c>
      <c r="L11" s="14" t="s">
        <v>88</v>
      </c>
      <c r="M11" s="14"/>
      <c r="N11" s="14">
        <v>3.7287209714544099E-2</v>
      </c>
      <c r="O11" s="14">
        <v>3.7689998294645498E-2</v>
      </c>
      <c r="P11" s="14">
        <v>0</v>
      </c>
      <c r="Q11" s="14">
        <v>4.4400180315875698E-2</v>
      </c>
      <c r="R11" s="14"/>
      <c r="S11" s="14">
        <v>2.59890027363162E-2</v>
      </c>
      <c r="T11" s="14">
        <v>2.38585243558469E-2</v>
      </c>
      <c r="U11" s="14">
        <v>0.131658077095855</v>
      </c>
      <c r="V11" s="14">
        <v>3.2010539893106302E-2</v>
      </c>
      <c r="W11" s="14">
        <v>0</v>
      </c>
      <c r="X11" s="14">
        <v>0</v>
      </c>
      <c r="Y11" s="14">
        <v>0</v>
      </c>
      <c r="Z11" s="14">
        <v>0</v>
      </c>
      <c r="AA11" s="14">
        <v>4.9039965874864401E-2</v>
      </c>
      <c r="AB11" s="14"/>
      <c r="AC11" s="14">
        <v>0</v>
      </c>
      <c r="AD11" s="14">
        <v>2.4442450017349401E-2</v>
      </c>
      <c r="AE11" s="14">
        <v>2.7292891136564901E-2</v>
      </c>
      <c r="AF11" s="14">
        <v>2.8018107345265501E-2</v>
      </c>
      <c r="AG11" s="14">
        <v>2.5483435224925799E-2</v>
      </c>
      <c r="AH11" s="14"/>
      <c r="AI11" s="14">
        <v>2.7679234689797699E-2</v>
      </c>
      <c r="AJ11" s="14">
        <v>0</v>
      </c>
      <c r="AK11" s="14">
        <v>0.17903486589923301</v>
      </c>
      <c r="AL11" s="14">
        <v>1.6577489068114799E-2</v>
      </c>
      <c r="AM11" s="14">
        <v>0</v>
      </c>
      <c r="AN11" s="14">
        <v>0</v>
      </c>
      <c r="AO11" s="14"/>
      <c r="AP11" s="14">
        <v>4.4624281513285201E-2</v>
      </c>
      <c r="AQ11" s="14">
        <v>2.4833907126016401E-2</v>
      </c>
      <c r="AR11" s="14"/>
      <c r="AS11" s="14">
        <v>3.4221619247475403E-2</v>
      </c>
      <c r="AT11" s="14" t="s">
        <v>88</v>
      </c>
      <c r="AU11" s="14">
        <v>0</v>
      </c>
      <c r="AV11" s="14"/>
      <c r="AW11" s="14">
        <v>3.9717995438870002E-2</v>
      </c>
      <c r="AX11" s="14">
        <v>2.4911282731194001E-2</v>
      </c>
      <c r="AY11" s="14"/>
      <c r="AZ11" s="14">
        <v>3.63330368209566E-2</v>
      </c>
      <c r="BA11" s="14">
        <v>2.5239449505786701E-2</v>
      </c>
    </row>
    <row r="12" spans="2:53" x14ac:dyDescent="0.35">
      <c r="B12" s="15" t="s">
        <v>223</v>
      </c>
      <c r="C12" s="14">
        <v>5.9543985894559698E-3</v>
      </c>
      <c r="D12" s="14">
        <v>0</v>
      </c>
      <c r="E12" s="14">
        <v>1.33375379820598E-2</v>
      </c>
      <c r="F12" s="14"/>
      <c r="G12" s="14">
        <v>0</v>
      </c>
      <c r="H12" s="14">
        <v>2.5568838675524001E-2</v>
      </c>
      <c r="I12" s="14">
        <v>0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0</v>
      </c>
      <c r="P12" s="14">
        <v>0</v>
      </c>
      <c r="Q12" s="14">
        <v>1.9718201011363599E-2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0.115806854088843</v>
      </c>
      <c r="Y12" s="14">
        <v>0</v>
      </c>
      <c r="Z12" s="14">
        <v>0</v>
      </c>
      <c r="AA12" s="14">
        <v>0</v>
      </c>
      <c r="AB12" s="14"/>
      <c r="AC12" s="14">
        <v>6.8870461296634003E-2</v>
      </c>
      <c r="AD12" s="14">
        <v>0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7.3010644561299395E-2</v>
      </c>
      <c r="AO12" s="14"/>
      <c r="AP12" s="14">
        <v>0</v>
      </c>
      <c r="AQ12" s="14">
        <v>1.1193977461185001E-2</v>
      </c>
      <c r="AR12" s="14"/>
      <c r="AS12" s="14">
        <v>5.9761238121311304E-3</v>
      </c>
      <c r="AT12" s="14" t="s">
        <v>88</v>
      </c>
      <c r="AU12" s="14">
        <v>0</v>
      </c>
      <c r="AV12" s="14"/>
      <c r="AW12" s="14">
        <v>8.5752335827688399E-3</v>
      </c>
      <c r="AX12" s="14">
        <v>0</v>
      </c>
      <c r="AY12" s="14"/>
      <c r="AZ12" s="14">
        <v>0</v>
      </c>
      <c r="BA12" s="14">
        <v>3.3561344764746703E-2</v>
      </c>
    </row>
    <row r="13" spans="2:53" x14ac:dyDescent="0.35">
      <c r="B13" s="15" t="s">
        <v>116</v>
      </c>
      <c r="C13" s="18">
        <v>4.6161737334863097E-2</v>
      </c>
      <c r="D13" s="18">
        <v>3.7944490954731597E-2</v>
      </c>
      <c r="E13" s="18">
        <v>5.6350688332418498E-2</v>
      </c>
      <c r="F13" s="18"/>
      <c r="G13" s="18">
        <v>0</v>
      </c>
      <c r="H13" s="18">
        <v>3.1629170837121599E-2</v>
      </c>
      <c r="I13" s="18">
        <v>2.93623892699258E-2</v>
      </c>
      <c r="J13" s="18">
        <v>0.191528678208055</v>
      </c>
      <c r="K13" s="18">
        <v>0</v>
      </c>
      <c r="L13" s="18" t="s">
        <v>88</v>
      </c>
      <c r="M13" s="18"/>
      <c r="N13" s="18">
        <v>0</v>
      </c>
      <c r="O13" s="18">
        <v>1.6845138151530801E-2</v>
      </c>
      <c r="P13" s="18">
        <v>0.10101887670269601</v>
      </c>
      <c r="Q13" s="18">
        <v>9.02888326061176E-2</v>
      </c>
      <c r="R13" s="18"/>
      <c r="S13" s="18">
        <v>0</v>
      </c>
      <c r="T13" s="18">
        <v>0</v>
      </c>
      <c r="U13" s="18">
        <v>0</v>
      </c>
      <c r="V13" s="18">
        <v>0.21862574616951799</v>
      </c>
      <c r="W13" s="18">
        <v>0</v>
      </c>
      <c r="X13" s="18">
        <v>0</v>
      </c>
      <c r="Y13" s="18">
        <v>0.197169046729538</v>
      </c>
      <c r="Z13" s="18">
        <v>8.3194937662902702E-2</v>
      </c>
      <c r="AA13" s="18">
        <v>0</v>
      </c>
      <c r="AB13" s="18"/>
      <c r="AC13" s="18">
        <v>0.106032643396221</v>
      </c>
      <c r="AD13" s="18">
        <v>4.0205087864900999E-2</v>
      </c>
      <c r="AE13" s="18">
        <v>3.3329161486188599E-2</v>
      </c>
      <c r="AF13" s="18">
        <v>4.2623028710312601E-2</v>
      </c>
      <c r="AG13" s="18">
        <v>0</v>
      </c>
      <c r="AH13" s="18"/>
      <c r="AI13" s="18">
        <v>4.3082417040586303E-2</v>
      </c>
      <c r="AJ13" s="18">
        <v>4.5156765947731298E-2</v>
      </c>
      <c r="AK13" s="18">
        <v>0</v>
      </c>
      <c r="AL13" s="18">
        <v>0</v>
      </c>
      <c r="AM13" s="18">
        <v>0.15364422652597201</v>
      </c>
      <c r="AN13" s="18">
        <v>7.6762235946760599E-2</v>
      </c>
      <c r="AO13" s="18"/>
      <c r="AP13" s="18">
        <v>3.4188366310237597E-2</v>
      </c>
      <c r="AQ13" s="18">
        <v>5.6697716897113302E-2</v>
      </c>
      <c r="AR13" s="18"/>
      <c r="AS13" s="18">
        <v>4.6330163080571099E-2</v>
      </c>
      <c r="AT13" s="18" t="s">
        <v>88</v>
      </c>
      <c r="AU13" s="18">
        <v>0</v>
      </c>
      <c r="AV13" s="18"/>
      <c r="AW13" s="18">
        <v>6.6479876058992304E-2</v>
      </c>
      <c r="AX13" s="18">
        <v>0</v>
      </c>
      <c r="AY13" s="18"/>
      <c r="AZ13" s="18">
        <v>2.5765671793178201E-2</v>
      </c>
      <c r="BA13" s="18">
        <v>0.100279588245433</v>
      </c>
    </row>
    <row r="14" spans="2:53" x14ac:dyDescent="0.35">
      <c r="B14" s="26" t="s">
        <v>224</v>
      </c>
      <c r="C14" s="27">
        <v>0.847343520867886</v>
      </c>
      <c r="D14" s="27">
        <v>0.891243731818255</v>
      </c>
      <c r="E14" s="27">
        <v>0.79290958065682104</v>
      </c>
      <c r="F14" s="27"/>
      <c r="G14" s="27">
        <v>1</v>
      </c>
      <c r="H14" s="27">
        <v>0.85208356682772102</v>
      </c>
      <c r="I14" s="27">
        <v>0.87051585239872997</v>
      </c>
      <c r="J14" s="27">
        <v>0.76003721861336804</v>
      </c>
      <c r="K14" s="27">
        <v>0.51640458852130999</v>
      </c>
      <c r="L14" s="27" t="s">
        <v>88</v>
      </c>
      <c r="M14" s="27"/>
      <c r="N14" s="27">
        <v>0.89187290479026005</v>
      </c>
      <c r="O14" s="27">
        <v>0.87795370268556905</v>
      </c>
      <c r="P14" s="27">
        <v>0.79829625757267397</v>
      </c>
      <c r="Q14" s="27">
        <v>0.80099977254930499</v>
      </c>
      <c r="R14" s="27"/>
      <c r="S14" s="27">
        <v>0.95276104805571904</v>
      </c>
      <c r="T14" s="27">
        <v>0.93711718711374103</v>
      </c>
      <c r="U14" s="27">
        <v>0.71564752079707705</v>
      </c>
      <c r="V14" s="27">
        <v>0.689812544540085</v>
      </c>
      <c r="W14" s="27">
        <v>0.91952772202523503</v>
      </c>
      <c r="X14" s="27">
        <v>0.86713458431943602</v>
      </c>
      <c r="Y14" s="27">
        <v>0.73206061602600803</v>
      </c>
      <c r="Z14" s="27">
        <v>0.91680506233709702</v>
      </c>
      <c r="AA14" s="27">
        <v>0.78408855464312999</v>
      </c>
      <c r="AB14" s="27"/>
      <c r="AC14" s="27">
        <v>0.82509689530714503</v>
      </c>
      <c r="AD14" s="27">
        <v>0.796628651711344</v>
      </c>
      <c r="AE14" s="27">
        <v>0.86831715597623504</v>
      </c>
      <c r="AF14" s="27">
        <v>0.87051829806363601</v>
      </c>
      <c r="AG14" s="27">
        <v>0.96118312827058305</v>
      </c>
      <c r="AH14" s="27"/>
      <c r="AI14" s="27">
        <v>0.87331142493117897</v>
      </c>
      <c r="AJ14" s="27">
        <v>0.91151256952325099</v>
      </c>
      <c r="AK14" s="27">
        <v>0.73328687607887399</v>
      </c>
      <c r="AL14" s="27">
        <v>0.88007584383626103</v>
      </c>
      <c r="AM14" s="27">
        <v>0.67232668414611596</v>
      </c>
      <c r="AN14" s="27">
        <v>0.85022711949193996</v>
      </c>
      <c r="AO14" s="27"/>
      <c r="AP14" s="27">
        <v>0.88698210586399495</v>
      </c>
      <c r="AQ14" s="27">
        <v>0.812463509170545</v>
      </c>
      <c r="AR14" s="27"/>
      <c r="AS14" s="27">
        <v>0.85043513900473799</v>
      </c>
      <c r="AT14" s="27" t="s">
        <v>88</v>
      </c>
      <c r="AU14" s="27">
        <v>0</v>
      </c>
      <c r="AV14" s="27"/>
      <c r="AW14" s="27">
        <v>0.81783659527697805</v>
      </c>
      <c r="AX14" s="27">
        <v>0.91388645504314703</v>
      </c>
      <c r="AY14" s="27"/>
      <c r="AZ14" s="27">
        <v>0.87961622242693105</v>
      </c>
      <c r="BA14" s="27">
        <v>0.73423271826516801</v>
      </c>
    </row>
    <row r="15" spans="2:53" x14ac:dyDescent="0.35">
      <c r="B15" s="25" t="s">
        <v>219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383</v>
      </c>
      <c r="D7" s="10">
        <v>141</v>
      </c>
      <c r="E7" s="10">
        <v>242</v>
      </c>
      <c r="F7" s="10"/>
      <c r="G7" s="10">
        <v>1</v>
      </c>
      <c r="H7" s="10">
        <v>103</v>
      </c>
      <c r="I7" s="10">
        <v>197</v>
      </c>
      <c r="J7" s="10">
        <v>70</v>
      </c>
      <c r="K7" s="10">
        <v>10</v>
      </c>
      <c r="L7" s="10">
        <v>2</v>
      </c>
      <c r="M7" s="10"/>
      <c r="N7" s="10">
        <v>138</v>
      </c>
      <c r="O7" s="10">
        <v>111</v>
      </c>
      <c r="P7" s="10">
        <v>55</v>
      </c>
      <c r="Q7" s="10">
        <v>78</v>
      </c>
      <c r="R7" s="10"/>
      <c r="S7" s="10">
        <v>69</v>
      </c>
      <c r="T7" s="10">
        <v>61</v>
      </c>
      <c r="U7" s="10">
        <v>28</v>
      </c>
      <c r="V7" s="10">
        <v>26</v>
      </c>
      <c r="W7" s="10">
        <v>35</v>
      </c>
      <c r="X7" s="10">
        <v>49</v>
      </c>
      <c r="Y7" s="10">
        <v>42</v>
      </c>
      <c r="Z7" s="10">
        <v>16</v>
      </c>
      <c r="AA7" s="10">
        <v>57</v>
      </c>
      <c r="AB7" s="10"/>
      <c r="AC7" s="10">
        <v>46</v>
      </c>
      <c r="AD7" s="10">
        <v>81</v>
      </c>
      <c r="AE7" s="10">
        <v>122</v>
      </c>
      <c r="AF7" s="10">
        <v>82</v>
      </c>
      <c r="AG7" s="10">
        <v>9</v>
      </c>
      <c r="AH7" s="10"/>
      <c r="AI7" s="10">
        <v>138</v>
      </c>
      <c r="AJ7" s="10">
        <v>73</v>
      </c>
      <c r="AK7" s="10">
        <v>29</v>
      </c>
      <c r="AL7" s="10">
        <v>53</v>
      </c>
      <c r="AM7" s="10">
        <v>20</v>
      </c>
      <c r="AN7" s="10">
        <v>27</v>
      </c>
      <c r="AO7" s="10"/>
      <c r="AP7" s="10">
        <v>209</v>
      </c>
      <c r="AQ7" s="10">
        <v>174</v>
      </c>
      <c r="AR7" s="10"/>
      <c r="AS7" s="10" t="s">
        <v>87</v>
      </c>
      <c r="AT7" s="10">
        <v>383</v>
      </c>
      <c r="AU7" s="10" t="s">
        <v>87</v>
      </c>
      <c r="AV7" s="10"/>
      <c r="AW7" s="10">
        <v>294</v>
      </c>
      <c r="AX7" s="10">
        <v>72</v>
      </c>
      <c r="AY7" s="10"/>
      <c r="AZ7" s="10">
        <v>295</v>
      </c>
      <c r="BA7" s="10">
        <v>85</v>
      </c>
    </row>
    <row r="8" spans="2:53" ht="30" customHeight="1" x14ac:dyDescent="0.35">
      <c r="B8" s="11" t="s">
        <v>19</v>
      </c>
      <c r="C8" s="11">
        <v>390</v>
      </c>
      <c r="D8" s="11">
        <v>177</v>
      </c>
      <c r="E8" s="11">
        <v>213</v>
      </c>
      <c r="F8" s="11"/>
      <c r="G8" s="11">
        <v>2</v>
      </c>
      <c r="H8" s="11">
        <v>104</v>
      </c>
      <c r="I8" s="11">
        <v>198</v>
      </c>
      <c r="J8" s="11">
        <v>69</v>
      </c>
      <c r="K8" s="11">
        <v>14</v>
      </c>
      <c r="L8" s="11">
        <v>3</v>
      </c>
      <c r="M8" s="11"/>
      <c r="N8" s="11">
        <v>88</v>
      </c>
      <c r="O8" s="11">
        <v>116</v>
      </c>
      <c r="P8" s="11">
        <v>75</v>
      </c>
      <c r="Q8" s="11">
        <v>111</v>
      </c>
      <c r="R8" s="11"/>
      <c r="S8" s="11">
        <v>59</v>
      </c>
      <c r="T8" s="11">
        <v>65</v>
      </c>
      <c r="U8" s="11">
        <v>34</v>
      </c>
      <c r="V8" s="11">
        <v>32</v>
      </c>
      <c r="W8" s="11">
        <v>37</v>
      </c>
      <c r="X8" s="11">
        <v>49</v>
      </c>
      <c r="Y8" s="11">
        <v>40</v>
      </c>
      <c r="Z8" s="11">
        <v>15</v>
      </c>
      <c r="AA8" s="11">
        <v>58</v>
      </c>
      <c r="AB8" s="11"/>
      <c r="AC8" s="11">
        <v>63</v>
      </c>
      <c r="AD8" s="11">
        <v>88</v>
      </c>
      <c r="AE8" s="11">
        <v>114</v>
      </c>
      <c r="AF8" s="11">
        <v>72</v>
      </c>
      <c r="AG8" s="11">
        <v>4</v>
      </c>
      <c r="AH8" s="11"/>
      <c r="AI8" s="11">
        <v>144</v>
      </c>
      <c r="AJ8" s="11">
        <v>70</v>
      </c>
      <c r="AK8" s="11">
        <v>27</v>
      </c>
      <c r="AL8" s="11">
        <v>52</v>
      </c>
      <c r="AM8" s="11">
        <v>21</v>
      </c>
      <c r="AN8" s="11">
        <v>27</v>
      </c>
      <c r="AO8" s="11"/>
      <c r="AP8" s="11">
        <v>222</v>
      </c>
      <c r="AQ8" s="11">
        <v>168</v>
      </c>
      <c r="AR8" s="11"/>
      <c r="AS8" s="11" t="s">
        <v>87</v>
      </c>
      <c r="AT8" s="11">
        <v>390</v>
      </c>
      <c r="AU8" s="11" t="s">
        <v>87</v>
      </c>
      <c r="AV8" s="11"/>
      <c r="AW8" s="11">
        <v>311</v>
      </c>
      <c r="AX8" s="11">
        <v>58</v>
      </c>
      <c r="AY8" s="11"/>
      <c r="AZ8" s="11">
        <v>299</v>
      </c>
      <c r="BA8" s="11">
        <v>87</v>
      </c>
    </row>
    <row r="9" spans="2:53" x14ac:dyDescent="0.35">
      <c r="B9" s="15" t="s">
        <v>154</v>
      </c>
      <c r="C9" s="14">
        <v>0.816844431964456</v>
      </c>
      <c r="D9" s="14">
        <v>0.84799855028775495</v>
      </c>
      <c r="E9" s="14">
        <v>0.79091877730465199</v>
      </c>
      <c r="F9" s="14"/>
      <c r="G9" s="14">
        <v>1</v>
      </c>
      <c r="H9" s="14">
        <v>0.814695500017657</v>
      </c>
      <c r="I9" s="14">
        <v>0.81820573343682101</v>
      </c>
      <c r="J9" s="14">
        <v>0.80337000492533195</v>
      </c>
      <c r="K9" s="14">
        <v>0.89257413255097895</v>
      </c>
      <c r="L9" s="14">
        <v>0.65180798771521298</v>
      </c>
      <c r="M9" s="14"/>
      <c r="N9" s="14">
        <v>0.86063492573092903</v>
      </c>
      <c r="O9" s="14">
        <v>0.81870752384608902</v>
      </c>
      <c r="P9" s="14">
        <v>0.787462761711618</v>
      </c>
      <c r="Q9" s="14">
        <v>0.80732868225503496</v>
      </c>
      <c r="R9" s="14"/>
      <c r="S9" s="14">
        <v>0.80748928459446101</v>
      </c>
      <c r="T9" s="14">
        <v>0.76446942817333996</v>
      </c>
      <c r="U9" s="14">
        <v>0.84653134435479005</v>
      </c>
      <c r="V9" s="14">
        <v>0.88206196311199103</v>
      </c>
      <c r="W9" s="14">
        <v>0.88361872475812697</v>
      </c>
      <c r="X9" s="14">
        <v>0.82191990421901895</v>
      </c>
      <c r="Y9" s="14">
        <v>0.80194798261543299</v>
      </c>
      <c r="Z9" s="14">
        <v>0.55889372625534295</v>
      </c>
      <c r="AA9" s="14">
        <v>0.86135587240517197</v>
      </c>
      <c r="AB9" s="14"/>
      <c r="AC9" s="14">
        <v>0.77018131888061503</v>
      </c>
      <c r="AD9" s="14">
        <v>0.87136079339531203</v>
      </c>
      <c r="AE9" s="14">
        <v>0.86712122332833497</v>
      </c>
      <c r="AF9" s="14">
        <v>0.86438629289922597</v>
      </c>
      <c r="AG9" s="14">
        <v>0.83713461833361302</v>
      </c>
      <c r="AH9" s="14"/>
      <c r="AI9" s="14">
        <v>0.86244588631874297</v>
      </c>
      <c r="AJ9" s="14">
        <v>0.72956162349334097</v>
      </c>
      <c r="AK9" s="14">
        <v>0.76946095433871198</v>
      </c>
      <c r="AL9" s="14">
        <v>0.84659879792803105</v>
      </c>
      <c r="AM9" s="14">
        <v>0.81588929375183505</v>
      </c>
      <c r="AN9" s="14">
        <v>0.62516560542284705</v>
      </c>
      <c r="AO9" s="14"/>
      <c r="AP9" s="14">
        <v>0.82868690658288602</v>
      </c>
      <c r="AQ9" s="14">
        <v>0.80116781043611196</v>
      </c>
      <c r="AR9" s="14"/>
      <c r="AS9" s="14" t="s">
        <v>88</v>
      </c>
      <c r="AT9" s="14">
        <v>0.816844431964456</v>
      </c>
      <c r="AU9" s="14" t="s">
        <v>88</v>
      </c>
      <c r="AV9" s="14"/>
      <c r="AW9" s="14">
        <v>0.82359904802030504</v>
      </c>
      <c r="AX9" s="14">
        <v>0.81569878493437398</v>
      </c>
      <c r="AY9" s="14"/>
      <c r="AZ9" s="14">
        <v>0.84217223636407101</v>
      </c>
      <c r="BA9" s="14">
        <v>0.74779635990259896</v>
      </c>
    </row>
    <row r="10" spans="2:53" x14ac:dyDescent="0.35">
      <c r="B10" s="15" t="s">
        <v>155</v>
      </c>
      <c r="C10" s="14">
        <v>9.0828122968457797E-2</v>
      </c>
      <c r="D10" s="14">
        <v>5.4327480035375797E-2</v>
      </c>
      <c r="E10" s="14">
        <v>0.121203017668533</v>
      </c>
      <c r="F10" s="14"/>
      <c r="G10" s="14">
        <v>0</v>
      </c>
      <c r="H10" s="14">
        <v>8.7597293908346793E-2</v>
      </c>
      <c r="I10" s="14">
        <v>0.10555812619006</v>
      </c>
      <c r="J10" s="14">
        <v>5.6912641163465102E-2</v>
      </c>
      <c r="K10" s="14">
        <v>2.3172501302761501E-2</v>
      </c>
      <c r="L10" s="14">
        <v>0.34819201228478702</v>
      </c>
      <c r="M10" s="14"/>
      <c r="N10" s="14">
        <v>8.4289215712627305E-2</v>
      </c>
      <c r="O10" s="14">
        <v>7.9077451219719E-2</v>
      </c>
      <c r="P10" s="14">
        <v>8.9420115849769E-2</v>
      </c>
      <c r="Q10" s="14">
        <v>0.10997544657557599</v>
      </c>
      <c r="R10" s="14"/>
      <c r="S10" s="14">
        <v>8.3311310954400503E-2</v>
      </c>
      <c r="T10" s="14">
        <v>0.12477516341582701</v>
      </c>
      <c r="U10" s="14">
        <v>0.124763427411396</v>
      </c>
      <c r="V10" s="14">
        <v>4.7906833083654198E-2</v>
      </c>
      <c r="W10" s="14">
        <v>8.6990734967444402E-2</v>
      </c>
      <c r="X10" s="14">
        <v>6.2169202723413197E-2</v>
      </c>
      <c r="Y10" s="14">
        <v>0.124000570618212</v>
      </c>
      <c r="Z10" s="14">
        <v>7.9364037923568706E-2</v>
      </c>
      <c r="AA10" s="14">
        <v>7.1208293409355805E-2</v>
      </c>
      <c r="AB10" s="14"/>
      <c r="AC10" s="14">
        <v>0.119922023966629</v>
      </c>
      <c r="AD10" s="14">
        <v>5.75258221548662E-2</v>
      </c>
      <c r="AE10" s="14">
        <v>5.9142412651457803E-2</v>
      </c>
      <c r="AF10" s="14">
        <v>5.0237899584678801E-2</v>
      </c>
      <c r="AG10" s="14">
        <v>4.5555190117427202E-2</v>
      </c>
      <c r="AH10" s="14"/>
      <c r="AI10" s="14">
        <v>9.33645812701904E-2</v>
      </c>
      <c r="AJ10" s="14">
        <v>8.9404392321327006E-2</v>
      </c>
      <c r="AK10" s="14">
        <v>0.176338752801631</v>
      </c>
      <c r="AL10" s="14">
        <v>5.6579543466961001E-2</v>
      </c>
      <c r="AM10" s="14">
        <v>3.8888247941440503E-2</v>
      </c>
      <c r="AN10" s="14">
        <v>0.13015253475157801</v>
      </c>
      <c r="AO10" s="14"/>
      <c r="AP10" s="14">
        <v>9.5645705403621301E-2</v>
      </c>
      <c r="AQ10" s="14">
        <v>8.4450788927131107E-2</v>
      </c>
      <c r="AR10" s="14"/>
      <c r="AS10" s="14" t="s">
        <v>88</v>
      </c>
      <c r="AT10" s="14">
        <v>9.0828122968457797E-2</v>
      </c>
      <c r="AU10" s="14" t="s">
        <v>88</v>
      </c>
      <c r="AV10" s="14"/>
      <c r="AW10" s="14">
        <v>8.6655025575367195E-2</v>
      </c>
      <c r="AX10" s="14">
        <v>8.7190693930928903E-2</v>
      </c>
      <c r="AY10" s="14"/>
      <c r="AZ10" s="14">
        <v>8.3984434186283E-2</v>
      </c>
      <c r="BA10" s="14">
        <v>0.11919543441154</v>
      </c>
    </row>
    <row r="11" spans="2:53" x14ac:dyDescent="0.35">
      <c r="B11" s="15" t="s">
        <v>116</v>
      </c>
      <c r="C11" s="23">
        <v>9.2327445067086095E-2</v>
      </c>
      <c r="D11" s="23">
        <v>9.7673969676869601E-2</v>
      </c>
      <c r="E11" s="23">
        <v>8.7878205026814094E-2</v>
      </c>
      <c r="F11" s="23"/>
      <c r="G11" s="23">
        <v>0</v>
      </c>
      <c r="H11" s="23">
        <v>9.7707206073996106E-2</v>
      </c>
      <c r="I11" s="23">
        <v>7.6236140373118502E-2</v>
      </c>
      <c r="J11" s="23">
        <v>0.13971735391120299</v>
      </c>
      <c r="K11" s="23">
        <v>8.4253366146259404E-2</v>
      </c>
      <c r="L11" s="23">
        <v>0</v>
      </c>
      <c r="M11" s="23"/>
      <c r="N11" s="23">
        <v>5.5075858556444098E-2</v>
      </c>
      <c r="O11" s="23">
        <v>0.102215024934192</v>
      </c>
      <c r="P11" s="23">
        <v>0.123117122438613</v>
      </c>
      <c r="Q11" s="23">
        <v>8.2695871169388896E-2</v>
      </c>
      <c r="R11" s="23"/>
      <c r="S11" s="23">
        <v>0.109199404451139</v>
      </c>
      <c r="T11" s="23">
        <v>0.11075540841083301</v>
      </c>
      <c r="U11" s="23">
        <v>2.87052282338137E-2</v>
      </c>
      <c r="V11" s="23">
        <v>7.0031203804354999E-2</v>
      </c>
      <c r="W11" s="23">
        <v>2.9390540274429E-2</v>
      </c>
      <c r="X11" s="23">
        <v>0.11591089305756801</v>
      </c>
      <c r="Y11" s="23">
        <v>7.4051446766354403E-2</v>
      </c>
      <c r="Z11" s="23">
        <v>0.361742235821089</v>
      </c>
      <c r="AA11" s="23">
        <v>6.7435834185472304E-2</v>
      </c>
      <c r="AB11" s="23"/>
      <c r="AC11" s="23">
        <v>0.109896657152756</v>
      </c>
      <c r="AD11" s="23">
        <v>7.1113384449821404E-2</v>
      </c>
      <c r="AE11" s="23">
        <v>7.3736364020207196E-2</v>
      </c>
      <c r="AF11" s="23">
        <v>8.5375807516094998E-2</v>
      </c>
      <c r="AG11" s="23">
        <v>0.11731019154896</v>
      </c>
      <c r="AH11" s="23"/>
      <c r="AI11" s="23">
        <v>4.4189532411066101E-2</v>
      </c>
      <c r="AJ11" s="23">
        <v>0.18103398418533201</v>
      </c>
      <c r="AK11" s="23">
        <v>5.4200292859657301E-2</v>
      </c>
      <c r="AL11" s="23">
        <v>9.6821658605007604E-2</v>
      </c>
      <c r="AM11" s="23">
        <v>0.14522245830672401</v>
      </c>
      <c r="AN11" s="23">
        <v>0.244681859825575</v>
      </c>
      <c r="AO11" s="23"/>
      <c r="AP11" s="23">
        <v>7.5667388013493E-2</v>
      </c>
      <c r="AQ11" s="23">
        <v>0.114381400636757</v>
      </c>
      <c r="AR11" s="23"/>
      <c r="AS11" s="23" t="s">
        <v>88</v>
      </c>
      <c r="AT11" s="23">
        <v>9.2327445067086095E-2</v>
      </c>
      <c r="AU11" s="23" t="s">
        <v>88</v>
      </c>
      <c r="AV11" s="23"/>
      <c r="AW11" s="23">
        <v>8.9745926404327298E-2</v>
      </c>
      <c r="AX11" s="23">
        <v>9.7110521134697605E-2</v>
      </c>
      <c r="AY11" s="23"/>
      <c r="AZ11" s="23">
        <v>7.3843329449645403E-2</v>
      </c>
      <c r="BA11" s="23">
        <v>0.133008205685861</v>
      </c>
    </row>
    <row r="12" spans="2:53" x14ac:dyDescent="0.35">
      <c r="B12" s="16" t="s">
        <v>320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313</v>
      </c>
      <c r="D7" s="10">
        <v>119</v>
      </c>
      <c r="E7" s="10">
        <v>194</v>
      </c>
      <c r="F7" s="10"/>
      <c r="G7" s="10">
        <v>1</v>
      </c>
      <c r="H7" s="10">
        <v>83</v>
      </c>
      <c r="I7" s="10">
        <v>163</v>
      </c>
      <c r="J7" s="10">
        <v>57</v>
      </c>
      <c r="K7" s="10">
        <v>8</v>
      </c>
      <c r="L7" s="10">
        <v>1</v>
      </c>
      <c r="M7" s="10"/>
      <c r="N7" s="10">
        <v>118</v>
      </c>
      <c r="O7" s="10">
        <v>90</v>
      </c>
      <c r="P7" s="10">
        <v>43</v>
      </c>
      <c r="Q7" s="10">
        <v>62</v>
      </c>
      <c r="R7" s="10"/>
      <c r="S7" s="10">
        <v>57</v>
      </c>
      <c r="T7" s="10">
        <v>47</v>
      </c>
      <c r="U7" s="10">
        <v>24</v>
      </c>
      <c r="V7" s="10">
        <v>23</v>
      </c>
      <c r="W7" s="10">
        <v>30</v>
      </c>
      <c r="X7" s="10">
        <v>40</v>
      </c>
      <c r="Y7" s="10">
        <v>33</v>
      </c>
      <c r="Z7" s="10">
        <v>10</v>
      </c>
      <c r="AA7" s="10">
        <v>49</v>
      </c>
      <c r="AB7" s="10"/>
      <c r="AC7" s="10">
        <v>35</v>
      </c>
      <c r="AD7" s="10">
        <v>70</v>
      </c>
      <c r="AE7" s="10">
        <v>105</v>
      </c>
      <c r="AF7" s="10">
        <v>71</v>
      </c>
      <c r="AG7" s="10">
        <v>7</v>
      </c>
      <c r="AH7" s="10"/>
      <c r="AI7" s="10">
        <v>120</v>
      </c>
      <c r="AJ7" s="10">
        <v>56</v>
      </c>
      <c r="AK7" s="10">
        <v>24</v>
      </c>
      <c r="AL7" s="10">
        <v>44</v>
      </c>
      <c r="AM7" s="10">
        <v>16</v>
      </c>
      <c r="AN7" s="10">
        <v>15</v>
      </c>
      <c r="AO7" s="10"/>
      <c r="AP7" s="10">
        <v>175</v>
      </c>
      <c r="AQ7" s="10">
        <v>138</v>
      </c>
      <c r="AR7" s="10"/>
      <c r="AS7" s="10" t="s">
        <v>87</v>
      </c>
      <c r="AT7" s="10">
        <v>313</v>
      </c>
      <c r="AU7" s="10" t="s">
        <v>87</v>
      </c>
      <c r="AV7" s="10"/>
      <c r="AW7" s="10">
        <v>240</v>
      </c>
      <c r="AX7" s="10">
        <v>61</v>
      </c>
      <c r="AY7" s="10"/>
      <c r="AZ7" s="10">
        <v>247</v>
      </c>
      <c r="BA7" s="10">
        <v>65</v>
      </c>
    </row>
    <row r="8" spans="2:53" ht="30" customHeight="1" x14ac:dyDescent="0.35">
      <c r="B8" s="11" t="s">
        <v>19</v>
      </c>
      <c r="C8" s="11">
        <v>319</v>
      </c>
      <c r="D8" s="11">
        <v>150</v>
      </c>
      <c r="E8" s="11">
        <v>168</v>
      </c>
      <c r="F8" s="11"/>
      <c r="G8" s="11">
        <v>2</v>
      </c>
      <c r="H8" s="11">
        <v>84</v>
      </c>
      <c r="I8" s="11">
        <v>162</v>
      </c>
      <c r="J8" s="11">
        <v>55</v>
      </c>
      <c r="K8" s="11">
        <v>13</v>
      </c>
      <c r="L8" s="11">
        <v>2</v>
      </c>
      <c r="M8" s="11"/>
      <c r="N8" s="11">
        <v>75</v>
      </c>
      <c r="O8" s="11">
        <v>95</v>
      </c>
      <c r="P8" s="11">
        <v>59</v>
      </c>
      <c r="Q8" s="11">
        <v>90</v>
      </c>
      <c r="R8" s="11"/>
      <c r="S8" s="11">
        <v>48</v>
      </c>
      <c r="T8" s="11">
        <v>50</v>
      </c>
      <c r="U8" s="11">
        <v>29</v>
      </c>
      <c r="V8" s="11">
        <v>29</v>
      </c>
      <c r="W8" s="11">
        <v>33</v>
      </c>
      <c r="X8" s="11">
        <v>41</v>
      </c>
      <c r="Y8" s="11">
        <v>32</v>
      </c>
      <c r="Z8" s="11">
        <v>8</v>
      </c>
      <c r="AA8" s="11">
        <v>50</v>
      </c>
      <c r="AB8" s="11"/>
      <c r="AC8" s="11">
        <v>49</v>
      </c>
      <c r="AD8" s="11">
        <v>76</v>
      </c>
      <c r="AE8" s="11">
        <v>99</v>
      </c>
      <c r="AF8" s="11">
        <v>63</v>
      </c>
      <c r="AG8" s="11">
        <v>4</v>
      </c>
      <c r="AH8" s="11"/>
      <c r="AI8" s="11">
        <v>125</v>
      </c>
      <c r="AJ8" s="11">
        <v>51</v>
      </c>
      <c r="AK8" s="11">
        <v>21</v>
      </c>
      <c r="AL8" s="11">
        <v>44</v>
      </c>
      <c r="AM8" s="11">
        <v>17</v>
      </c>
      <c r="AN8" s="11">
        <v>17</v>
      </c>
      <c r="AO8" s="11"/>
      <c r="AP8" s="11">
        <v>184</v>
      </c>
      <c r="AQ8" s="11">
        <v>135</v>
      </c>
      <c r="AR8" s="11"/>
      <c r="AS8" s="11" t="s">
        <v>87</v>
      </c>
      <c r="AT8" s="11">
        <v>319</v>
      </c>
      <c r="AU8" s="11" t="s">
        <v>87</v>
      </c>
      <c r="AV8" s="11"/>
      <c r="AW8" s="11">
        <v>257</v>
      </c>
      <c r="AX8" s="11">
        <v>48</v>
      </c>
      <c r="AY8" s="11"/>
      <c r="AZ8" s="11">
        <v>251</v>
      </c>
      <c r="BA8" s="11">
        <v>65</v>
      </c>
    </row>
    <row r="9" spans="2:53" x14ac:dyDescent="0.35">
      <c r="B9" s="15" t="s">
        <v>214</v>
      </c>
      <c r="C9" s="14">
        <v>0.27431174872575198</v>
      </c>
      <c r="D9" s="14">
        <v>0.26627310767384599</v>
      </c>
      <c r="E9" s="14">
        <v>0.28148407647217699</v>
      </c>
      <c r="F9" s="14"/>
      <c r="G9" s="14">
        <v>0</v>
      </c>
      <c r="H9" s="14">
        <v>0.26967563212783902</v>
      </c>
      <c r="I9" s="14">
        <v>0.28402968175021398</v>
      </c>
      <c r="J9" s="14">
        <v>0.293010484607094</v>
      </c>
      <c r="K9" s="14">
        <v>0.19203987062115599</v>
      </c>
      <c r="L9" s="14">
        <v>0</v>
      </c>
      <c r="M9" s="14"/>
      <c r="N9" s="14">
        <v>0.32077686123182098</v>
      </c>
      <c r="O9" s="14">
        <v>0.31629230072687498</v>
      </c>
      <c r="P9" s="14">
        <v>0.27560964574910402</v>
      </c>
      <c r="Q9" s="14">
        <v>0.190046682976314</v>
      </c>
      <c r="R9" s="14"/>
      <c r="S9" s="14">
        <v>0.42554836924395201</v>
      </c>
      <c r="T9" s="14">
        <v>0.19777931065617799</v>
      </c>
      <c r="U9" s="14">
        <v>0.27285844204785797</v>
      </c>
      <c r="V9" s="14">
        <v>0.29237961125628897</v>
      </c>
      <c r="W9" s="14">
        <v>0.38621319276902499</v>
      </c>
      <c r="X9" s="14">
        <v>0.23873496754599999</v>
      </c>
      <c r="Y9" s="14">
        <v>0.117665669984848</v>
      </c>
      <c r="Z9" s="14">
        <v>0.25377635432858803</v>
      </c>
      <c r="AA9" s="14">
        <v>0.256395408673462</v>
      </c>
      <c r="AB9" s="14"/>
      <c r="AC9" s="14">
        <v>0.137185982862782</v>
      </c>
      <c r="AD9" s="14">
        <v>0.271603475830622</v>
      </c>
      <c r="AE9" s="14">
        <v>0.344772834145056</v>
      </c>
      <c r="AF9" s="14">
        <v>0.35025694627581799</v>
      </c>
      <c r="AG9" s="14">
        <v>0.27229664127727399</v>
      </c>
      <c r="AH9" s="14"/>
      <c r="AI9" s="14">
        <v>0.33087126434122299</v>
      </c>
      <c r="AJ9" s="14">
        <v>0.25386151762146097</v>
      </c>
      <c r="AK9" s="14">
        <v>0.30528951578455699</v>
      </c>
      <c r="AL9" s="14">
        <v>0.18956888858075999</v>
      </c>
      <c r="AM9" s="14">
        <v>0.15592418762570401</v>
      </c>
      <c r="AN9" s="14">
        <v>0.341656233835959</v>
      </c>
      <c r="AO9" s="14"/>
      <c r="AP9" s="14">
        <v>0.30588755816155999</v>
      </c>
      <c r="AQ9" s="14">
        <v>0.23107714442268601</v>
      </c>
      <c r="AR9" s="14"/>
      <c r="AS9" s="14" t="s">
        <v>88</v>
      </c>
      <c r="AT9" s="14">
        <v>0.27431174872575198</v>
      </c>
      <c r="AU9" s="14" t="s">
        <v>88</v>
      </c>
      <c r="AV9" s="14"/>
      <c r="AW9" s="14">
        <v>0.27071507850436599</v>
      </c>
      <c r="AX9" s="14">
        <v>0.31792170946943199</v>
      </c>
      <c r="AY9" s="14"/>
      <c r="AZ9" s="14">
        <v>0.28387061640586603</v>
      </c>
      <c r="BA9" s="14">
        <v>0.24685613092030601</v>
      </c>
    </row>
    <row r="10" spans="2:53" x14ac:dyDescent="0.35">
      <c r="B10" s="15" t="s">
        <v>215</v>
      </c>
      <c r="C10" s="14">
        <v>0.54710803055813395</v>
      </c>
      <c r="D10" s="14">
        <v>0.55218704683780295</v>
      </c>
      <c r="E10" s="14">
        <v>0.542576372887143</v>
      </c>
      <c r="F10" s="14"/>
      <c r="G10" s="14">
        <v>0</v>
      </c>
      <c r="H10" s="14">
        <v>0.560256738468074</v>
      </c>
      <c r="I10" s="14">
        <v>0.550239088835493</v>
      </c>
      <c r="J10" s="14">
        <v>0.499841279731986</v>
      </c>
      <c r="K10" s="14">
        <v>0.80796012937884398</v>
      </c>
      <c r="L10" s="14">
        <v>0</v>
      </c>
      <c r="M10" s="14"/>
      <c r="N10" s="14">
        <v>0.53479800110311504</v>
      </c>
      <c r="O10" s="14">
        <v>0.58290978103125901</v>
      </c>
      <c r="P10" s="14">
        <v>0.59283742057547195</v>
      </c>
      <c r="Q10" s="14">
        <v>0.48959663462189001</v>
      </c>
      <c r="R10" s="14"/>
      <c r="S10" s="14">
        <v>0.45228372119596599</v>
      </c>
      <c r="T10" s="14">
        <v>0.57207336616530202</v>
      </c>
      <c r="U10" s="14">
        <v>0.64631091000290497</v>
      </c>
      <c r="V10" s="14">
        <v>0.34127455356522401</v>
      </c>
      <c r="W10" s="14">
        <v>0.54466960050173197</v>
      </c>
      <c r="X10" s="14">
        <v>0.624975780631575</v>
      </c>
      <c r="Y10" s="14">
        <v>0.68989943671059595</v>
      </c>
      <c r="Z10" s="14">
        <v>0.74622364567141197</v>
      </c>
      <c r="AA10" s="14">
        <v>0.48707465110772902</v>
      </c>
      <c r="AB10" s="14"/>
      <c r="AC10" s="14">
        <v>0.54666074422512601</v>
      </c>
      <c r="AD10" s="14">
        <v>0.47828930881918702</v>
      </c>
      <c r="AE10" s="14">
        <v>0.54895819412809099</v>
      </c>
      <c r="AF10" s="14">
        <v>0.54892674971447897</v>
      </c>
      <c r="AG10" s="14">
        <v>0.45360952271615901</v>
      </c>
      <c r="AH10" s="14"/>
      <c r="AI10" s="14">
        <v>0.54805901001228996</v>
      </c>
      <c r="AJ10" s="14">
        <v>0.66062833483421302</v>
      </c>
      <c r="AK10" s="14">
        <v>0.556595916590096</v>
      </c>
      <c r="AL10" s="14">
        <v>0.57526955847033201</v>
      </c>
      <c r="AM10" s="14">
        <v>0.55552677232410697</v>
      </c>
      <c r="AN10" s="14">
        <v>0.40699166001540799</v>
      </c>
      <c r="AO10" s="14"/>
      <c r="AP10" s="14">
        <v>0.49771336061440502</v>
      </c>
      <c r="AQ10" s="14">
        <v>0.61474078638785101</v>
      </c>
      <c r="AR10" s="14"/>
      <c r="AS10" s="14" t="s">
        <v>88</v>
      </c>
      <c r="AT10" s="14">
        <v>0.54710803055813395</v>
      </c>
      <c r="AU10" s="14" t="s">
        <v>88</v>
      </c>
      <c r="AV10" s="14"/>
      <c r="AW10" s="14">
        <v>0.53785080534966301</v>
      </c>
      <c r="AX10" s="14">
        <v>0.56512652335765201</v>
      </c>
      <c r="AY10" s="14"/>
      <c r="AZ10" s="14">
        <v>0.55604910073598501</v>
      </c>
      <c r="BA10" s="14">
        <v>0.53149188901520505</v>
      </c>
    </row>
    <row r="11" spans="2:53" x14ac:dyDescent="0.35">
      <c r="B11" s="15" t="s">
        <v>216</v>
      </c>
      <c r="C11" s="14">
        <v>7.76530780006153E-2</v>
      </c>
      <c r="D11" s="14">
        <v>9.5828539406605504E-2</v>
      </c>
      <c r="E11" s="14">
        <v>6.1436361107234598E-2</v>
      </c>
      <c r="F11" s="14"/>
      <c r="G11" s="14">
        <v>1</v>
      </c>
      <c r="H11" s="14">
        <v>5.18159603763617E-2</v>
      </c>
      <c r="I11" s="14">
        <v>0.102647552318097</v>
      </c>
      <c r="J11" s="14">
        <v>3.11600250762178E-2</v>
      </c>
      <c r="K11" s="14">
        <v>0</v>
      </c>
      <c r="L11" s="14">
        <v>0</v>
      </c>
      <c r="M11" s="14"/>
      <c r="N11" s="14">
        <v>4.7983941537856498E-2</v>
      </c>
      <c r="O11" s="14">
        <v>5.96964848559308E-2</v>
      </c>
      <c r="P11" s="14">
        <v>8.6057705500998796E-2</v>
      </c>
      <c r="Q11" s="14">
        <v>0.11604536111720599</v>
      </c>
      <c r="R11" s="14"/>
      <c r="S11" s="14">
        <v>5.1681317757724499E-2</v>
      </c>
      <c r="T11" s="14">
        <v>0.102814276906152</v>
      </c>
      <c r="U11" s="14">
        <v>0</v>
      </c>
      <c r="V11" s="14">
        <v>0.235767903101372</v>
      </c>
      <c r="W11" s="14">
        <v>0</v>
      </c>
      <c r="X11" s="14">
        <v>6.7978027135829594E-2</v>
      </c>
      <c r="Y11" s="14">
        <v>6.0512349672623103E-2</v>
      </c>
      <c r="Z11" s="14">
        <v>0</v>
      </c>
      <c r="AA11" s="14">
        <v>0.114073484512316</v>
      </c>
      <c r="AB11" s="14"/>
      <c r="AC11" s="14">
        <v>7.6435670942742895E-2</v>
      </c>
      <c r="AD11" s="14">
        <v>9.4327918764954694E-2</v>
      </c>
      <c r="AE11" s="14">
        <v>7.5670695284591E-2</v>
      </c>
      <c r="AF11" s="14">
        <v>6.3376414493260202E-2</v>
      </c>
      <c r="AG11" s="14">
        <v>0</v>
      </c>
      <c r="AH11" s="14"/>
      <c r="AI11" s="14">
        <v>6.8011259271714405E-2</v>
      </c>
      <c r="AJ11" s="14">
        <v>4.4798747764799002E-2</v>
      </c>
      <c r="AK11" s="14">
        <v>5.5402673421650998E-2</v>
      </c>
      <c r="AL11" s="14">
        <v>9.6041667671023706E-2</v>
      </c>
      <c r="AM11" s="14">
        <v>0.147813142485645</v>
      </c>
      <c r="AN11" s="14">
        <v>0.20315445666528301</v>
      </c>
      <c r="AO11" s="14"/>
      <c r="AP11" s="14">
        <v>9.3221205898039006E-2</v>
      </c>
      <c r="AQ11" s="14">
        <v>5.6336701273900697E-2</v>
      </c>
      <c r="AR11" s="14"/>
      <c r="AS11" s="14" t="s">
        <v>88</v>
      </c>
      <c r="AT11" s="14">
        <v>7.76530780006153E-2</v>
      </c>
      <c r="AU11" s="14" t="s">
        <v>88</v>
      </c>
      <c r="AV11" s="14"/>
      <c r="AW11" s="14">
        <v>7.5837222564051801E-2</v>
      </c>
      <c r="AX11" s="14">
        <v>8.55498215295971E-2</v>
      </c>
      <c r="AY11" s="14"/>
      <c r="AZ11" s="14">
        <v>8.4272811348880497E-2</v>
      </c>
      <c r="BA11" s="14">
        <v>5.4748414878527801E-2</v>
      </c>
    </row>
    <row r="12" spans="2:53" x14ac:dyDescent="0.35">
      <c r="B12" s="15" t="s">
        <v>217</v>
      </c>
      <c r="C12" s="14">
        <v>0</v>
      </c>
      <c r="D12" s="14">
        <v>0</v>
      </c>
      <c r="E12" s="14">
        <v>0</v>
      </c>
      <c r="F12" s="14"/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/>
      <c r="N12" s="14">
        <v>0</v>
      </c>
      <c r="O12" s="14">
        <v>0</v>
      </c>
      <c r="P12" s="14">
        <v>0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0</v>
      </c>
      <c r="AQ12" s="14">
        <v>0</v>
      </c>
      <c r="AR12" s="14"/>
      <c r="AS12" s="14" t="s">
        <v>88</v>
      </c>
      <c r="AT12" s="14">
        <v>0</v>
      </c>
      <c r="AU12" s="14" t="s">
        <v>88</v>
      </c>
      <c r="AV12" s="14"/>
      <c r="AW12" s="14">
        <v>0</v>
      </c>
      <c r="AX12" s="14">
        <v>0</v>
      </c>
      <c r="AY12" s="14"/>
      <c r="AZ12" s="14">
        <v>0</v>
      </c>
      <c r="BA12" s="14">
        <v>0</v>
      </c>
    </row>
    <row r="13" spans="2:53" x14ac:dyDescent="0.35">
      <c r="B13" s="15" t="s">
        <v>116</v>
      </c>
      <c r="C13" s="23">
        <v>6.5678034709201194E-2</v>
      </c>
      <c r="D13" s="23">
        <v>7.1225207722454206E-2</v>
      </c>
      <c r="E13" s="23">
        <v>6.07286729128136E-2</v>
      </c>
      <c r="F13" s="23"/>
      <c r="G13" s="23">
        <v>0</v>
      </c>
      <c r="H13" s="23">
        <v>5.8598435936436599E-2</v>
      </c>
      <c r="I13" s="23">
        <v>3.10089022583208E-2</v>
      </c>
      <c r="J13" s="23">
        <v>0.15787937151409301</v>
      </c>
      <c r="K13" s="23">
        <v>0</v>
      </c>
      <c r="L13" s="23">
        <v>1</v>
      </c>
      <c r="M13" s="23"/>
      <c r="N13" s="23">
        <v>4.3923141000091002E-2</v>
      </c>
      <c r="O13" s="23">
        <v>3.17922247114426E-2</v>
      </c>
      <c r="P13" s="23">
        <v>1.9644085331609999E-2</v>
      </c>
      <c r="Q13" s="23">
        <v>0.149977200211422</v>
      </c>
      <c r="R13" s="23"/>
      <c r="S13" s="23">
        <v>2.2110648213670401E-2</v>
      </c>
      <c r="T13" s="23">
        <v>8.2294804835359905E-2</v>
      </c>
      <c r="U13" s="23">
        <v>2.79357457034718E-2</v>
      </c>
      <c r="V13" s="23">
        <v>0.13057793207711499</v>
      </c>
      <c r="W13" s="23">
        <v>6.9117206729242694E-2</v>
      </c>
      <c r="X13" s="23">
        <v>3.4407327504775598E-2</v>
      </c>
      <c r="Y13" s="23">
        <v>0.10002354652319501</v>
      </c>
      <c r="Z13" s="23">
        <v>0</v>
      </c>
      <c r="AA13" s="23">
        <v>8.7472946807063801E-2</v>
      </c>
      <c r="AB13" s="23"/>
      <c r="AC13" s="23">
        <v>0.19761173114756</v>
      </c>
      <c r="AD13" s="23">
        <v>7.4016728239600899E-2</v>
      </c>
      <c r="AE13" s="23">
        <v>2.44336270202405E-2</v>
      </c>
      <c r="AF13" s="23">
        <v>0</v>
      </c>
      <c r="AG13" s="23">
        <v>0.274093836006567</v>
      </c>
      <c r="AH13" s="23"/>
      <c r="AI13" s="23">
        <v>3.21784108520171E-2</v>
      </c>
      <c r="AJ13" s="23">
        <v>1.0801756045795899E-2</v>
      </c>
      <c r="AK13" s="23">
        <v>0</v>
      </c>
      <c r="AL13" s="23">
        <v>0.119849527375065</v>
      </c>
      <c r="AM13" s="23">
        <v>0.14073589756454399</v>
      </c>
      <c r="AN13" s="23">
        <v>4.8197649483350299E-2</v>
      </c>
      <c r="AO13" s="23"/>
      <c r="AP13" s="23">
        <v>6.9638482293475704E-2</v>
      </c>
      <c r="AQ13" s="23">
        <v>6.0255263694661103E-2</v>
      </c>
      <c r="AR13" s="23"/>
      <c r="AS13" s="23" t="s">
        <v>88</v>
      </c>
      <c r="AT13" s="23">
        <v>6.5678034709201194E-2</v>
      </c>
      <c r="AU13" s="23" t="s">
        <v>88</v>
      </c>
      <c r="AV13" s="23"/>
      <c r="AW13" s="23">
        <v>7.7621191005755097E-2</v>
      </c>
      <c r="AX13" s="23">
        <v>0</v>
      </c>
      <c r="AY13" s="23"/>
      <c r="AZ13" s="23">
        <v>4.90147009962019E-2</v>
      </c>
      <c r="BA13" s="23">
        <v>9.7737252096106994E-2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BA19"/>
  <sheetViews>
    <sheetView showGridLines="0" workbookViewId="0">
      <pane xSplit="2" topLeftCell="C1" activePane="topRight" state="frozen"/>
      <selection pane="topRight" activeCell="I14" sqref="I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313</v>
      </c>
      <c r="D7" s="10">
        <v>119</v>
      </c>
      <c r="E7" s="10">
        <v>194</v>
      </c>
      <c r="F7" s="10"/>
      <c r="G7" s="10">
        <v>1</v>
      </c>
      <c r="H7" s="10">
        <v>83</v>
      </c>
      <c r="I7" s="10">
        <v>163</v>
      </c>
      <c r="J7" s="10">
        <v>57</v>
      </c>
      <c r="K7" s="10">
        <v>8</v>
      </c>
      <c r="L7" s="10">
        <v>1</v>
      </c>
      <c r="M7" s="10"/>
      <c r="N7" s="10">
        <v>118</v>
      </c>
      <c r="O7" s="10">
        <v>90</v>
      </c>
      <c r="P7" s="10">
        <v>43</v>
      </c>
      <c r="Q7" s="10">
        <v>62</v>
      </c>
      <c r="R7" s="10"/>
      <c r="S7" s="10">
        <v>57</v>
      </c>
      <c r="T7" s="10">
        <v>47</v>
      </c>
      <c r="U7" s="10">
        <v>24</v>
      </c>
      <c r="V7" s="10">
        <v>23</v>
      </c>
      <c r="W7" s="10">
        <v>30</v>
      </c>
      <c r="X7" s="10">
        <v>40</v>
      </c>
      <c r="Y7" s="10">
        <v>33</v>
      </c>
      <c r="Z7" s="10">
        <v>10</v>
      </c>
      <c r="AA7" s="10">
        <v>49</v>
      </c>
      <c r="AB7" s="10"/>
      <c r="AC7" s="10">
        <v>35</v>
      </c>
      <c r="AD7" s="10">
        <v>70</v>
      </c>
      <c r="AE7" s="10">
        <v>105</v>
      </c>
      <c r="AF7" s="10">
        <v>71</v>
      </c>
      <c r="AG7" s="10">
        <v>7</v>
      </c>
      <c r="AH7" s="10"/>
      <c r="AI7" s="10">
        <v>120</v>
      </c>
      <c r="AJ7" s="10">
        <v>56</v>
      </c>
      <c r="AK7" s="10">
        <v>24</v>
      </c>
      <c r="AL7" s="10">
        <v>44</v>
      </c>
      <c r="AM7" s="10">
        <v>16</v>
      </c>
      <c r="AN7" s="10">
        <v>15</v>
      </c>
      <c r="AO7" s="10"/>
      <c r="AP7" s="10">
        <v>175</v>
      </c>
      <c r="AQ7" s="10">
        <v>138</v>
      </c>
      <c r="AR7" s="10"/>
      <c r="AS7" s="10" t="s">
        <v>87</v>
      </c>
      <c r="AT7" s="10">
        <v>313</v>
      </c>
      <c r="AU7" s="10" t="s">
        <v>87</v>
      </c>
      <c r="AV7" s="10"/>
      <c r="AW7" s="10">
        <v>240</v>
      </c>
      <c r="AX7" s="10">
        <v>61</v>
      </c>
      <c r="AY7" s="10"/>
      <c r="AZ7" s="10">
        <v>247</v>
      </c>
      <c r="BA7" s="10">
        <v>65</v>
      </c>
    </row>
    <row r="8" spans="2:53" ht="30" customHeight="1" x14ac:dyDescent="0.35">
      <c r="B8" s="11" t="s">
        <v>19</v>
      </c>
      <c r="C8" s="11">
        <v>319</v>
      </c>
      <c r="D8" s="11">
        <v>150</v>
      </c>
      <c r="E8" s="11">
        <v>168</v>
      </c>
      <c r="F8" s="11"/>
      <c r="G8" s="11">
        <v>2</v>
      </c>
      <c r="H8" s="11">
        <v>84</v>
      </c>
      <c r="I8" s="11">
        <v>162</v>
      </c>
      <c r="J8" s="11">
        <v>55</v>
      </c>
      <c r="K8" s="11">
        <v>13</v>
      </c>
      <c r="L8" s="11">
        <v>2</v>
      </c>
      <c r="M8" s="11"/>
      <c r="N8" s="11">
        <v>75</v>
      </c>
      <c r="O8" s="11">
        <v>95</v>
      </c>
      <c r="P8" s="11">
        <v>59</v>
      </c>
      <c r="Q8" s="11">
        <v>90</v>
      </c>
      <c r="R8" s="11"/>
      <c r="S8" s="11">
        <v>48</v>
      </c>
      <c r="T8" s="11">
        <v>50</v>
      </c>
      <c r="U8" s="11">
        <v>29</v>
      </c>
      <c r="V8" s="11">
        <v>29</v>
      </c>
      <c r="W8" s="11">
        <v>33</v>
      </c>
      <c r="X8" s="11">
        <v>41</v>
      </c>
      <c r="Y8" s="11">
        <v>32</v>
      </c>
      <c r="Z8" s="11">
        <v>8</v>
      </c>
      <c r="AA8" s="11">
        <v>50</v>
      </c>
      <c r="AB8" s="11"/>
      <c r="AC8" s="11">
        <v>49</v>
      </c>
      <c r="AD8" s="11">
        <v>76</v>
      </c>
      <c r="AE8" s="11">
        <v>99</v>
      </c>
      <c r="AF8" s="11">
        <v>63</v>
      </c>
      <c r="AG8" s="11">
        <v>4</v>
      </c>
      <c r="AH8" s="11"/>
      <c r="AI8" s="11">
        <v>125</v>
      </c>
      <c r="AJ8" s="11">
        <v>51</v>
      </c>
      <c r="AK8" s="11">
        <v>21</v>
      </c>
      <c r="AL8" s="11">
        <v>44</v>
      </c>
      <c r="AM8" s="11">
        <v>17</v>
      </c>
      <c r="AN8" s="11">
        <v>17</v>
      </c>
      <c r="AO8" s="11"/>
      <c r="AP8" s="11">
        <v>184</v>
      </c>
      <c r="AQ8" s="11">
        <v>135</v>
      </c>
      <c r="AR8" s="11"/>
      <c r="AS8" s="11" t="s">
        <v>87</v>
      </c>
      <c r="AT8" s="11">
        <v>319</v>
      </c>
      <c r="AU8" s="11" t="s">
        <v>87</v>
      </c>
      <c r="AV8" s="11"/>
      <c r="AW8" s="11">
        <v>257</v>
      </c>
      <c r="AX8" s="11">
        <v>48</v>
      </c>
      <c r="AY8" s="11"/>
      <c r="AZ8" s="11">
        <v>251</v>
      </c>
      <c r="BA8" s="11">
        <v>65</v>
      </c>
    </row>
    <row r="9" spans="2:53" x14ac:dyDescent="0.35">
      <c r="B9" s="15" t="s">
        <v>220</v>
      </c>
      <c r="C9" s="14">
        <v>0.27880919075919902</v>
      </c>
      <c r="D9" s="14">
        <v>0.29100083741041699</v>
      </c>
      <c r="E9" s="14">
        <v>0.26793142112294699</v>
      </c>
      <c r="F9" s="14"/>
      <c r="G9" s="14">
        <v>0</v>
      </c>
      <c r="H9" s="14">
        <v>0.27407298406736302</v>
      </c>
      <c r="I9" s="14">
        <v>0.30324194663526599</v>
      </c>
      <c r="J9" s="14">
        <v>0.22165008125147201</v>
      </c>
      <c r="K9" s="14">
        <v>0.33979204690646803</v>
      </c>
      <c r="L9" s="14">
        <v>0</v>
      </c>
      <c r="M9" s="14"/>
      <c r="N9" s="14">
        <v>0.38261701374790802</v>
      </c>
      <c r="O9" s="14">
        <v>0.335421437480319</v>
      </c>
      <c r="P9" s="14">
        <v>0.20283022636829201</v>
      </c>
      <c r="Q9" s="14">
        <v>0.18160435877524</v>
      </c>
      <c r="R9" s="14"/>
      <c r="S9" s="14">
        <v>0.35587263336020297</v>
      </c>
      <c r="T9" s="14">
        <v>0.35216942319560401</v>
      </c>
      <c r="U9" s="14">
        <v>0.17541249598531999</v>
      </c>
      <c r="V9" s="14">
        <v>0.438014176794078</v>
      </c>
      <c r="W9" s="14">
        <v>0.19201024200636299</v>
      </c>
      <c r="X9" s="14">
        <v>0.175778575068953</v>
      </c>
      <c r="Y9" s="14">
        <v>0.28586512113055401</v>
      </c>
      <c r="Z9" s="14">
        <v>0.57863368540048099</v>
      </c>
      <c r="AA9" s="14">
        <v>0.18589223792072601</v>
      </c>
      <c r="AB9" s="14"/>
      <c r="AC9" s="14">
        <v>0.19139090684722501</v>
      </c>
      <c r="AD9" s="14">
        <v>0.219673736605075</v>
      </c>
      <c r="AE9" s="14">
        <v>0.29579959548210399</v>
      </c>
      <c r="AF9" s="14">
        <v>0.42788305187376402</v>
      </c>
      <c r="AG9" s="14">
        <v>0.360938475225689</v>
      </c>
      <c r="AH9" s="14"/>
      <c r="AI9" s="14">
        <v>0.29972921208081199</v>
      </c>
      <c r="AJ9" s="14">
        <v>0.30508976806649601</v>
      </c>
      <c r="AK9" s="14">
        <v>0.34154562214030798</v>
      </c>
      <c r="AL9" s="14">
        <v>0.29038196789680298</v>
      </c>
      <c r="AM9" s="14">
        <v>0.22562278490031401</v>
      </c>
      <c r="AN9" s="14">
        <v>0.31579413719462301</v>
      </c>
      <c r="AO9" s="14"/>
      <c r="AP9" s="14">
        <v>0.302228614614798</v>
      </c>
      <c r="AQ9" s="14">
        <v>0.24674256945971901</v>
      </c>
      <c r="AR9" s="14"/>
      <c r="AS9" s="14" t="s">
        <v>88</v>
      </c>
      <c r="AT9" s="14">
        <v>0.27880919075919902</v>
      </c>
      <c r="AU9" s="14" t="s">
        <v>88</v>
      </c>
      <c r="AV9" s="14"/>
      <c r="AW9" s="14">
        <v>0.25216729898626999</v>
      </c>
      <c r="AX9" s="14">
        <v>0.38442047736260099</v>
      </c>
      <c r="AY9" s="14"/>
      <c r="AZ9" s="14">
        <v>0.29139308331651997</v>
      </c>
      <c r="BA9" s="14">
        <v>0.23981326688401</v>
      </c>
    </row>
    <row r="10" spans="2:53" x14ac:dyDescent="0.35">
      <c r="B10" s="15" t="s">
        <v>221</v>
      </c>
      <c r="C10" s="14">
        <v>0.50127680515183803</v>
      </c>
      <c r="D10" s="14">
        <v>0.54916901824971998</v>
      </c>
      <c r="E10" s="14">
        <v>0.45854587008188402</v>
      </c>
      <c r="F10" s="14"/>
      <c r="G10" s="14">
        <v>1</v>
      </c>
      <c r="H10" s="14">
        <v>0.48699348662094</v>
      </c>
      <c r="I10" s="14">
        <v>0.48508013373418502</v>
      </c>
      <c r="J10" s="14">
        <v>0.53640066650081797</v>
      </c>
      <c r="K10" s="14">
        <v>0.66020795309353197</v>
      </c>
      <c r="L10" s="14">
        <v>0</v>
      </c>
      <c r="M10" s="14"/>
      <c r="N10" s="14">
        <v>0.41919275818969098</v>
      </c>
      <c r="O10" s="14">
        <v>0.52707874156988099</v>
      </c>
      <c r="P10" s="14">
        <v>0.42822459301260202</v>
      </c>
      <c r="Q10" s="14">
        <v>0.59087041916792205</v>
      </c>
      <c r="R10" s="14"/>
      <c r="S10" s="14">
        <v>0.54591278869415405</v>
      </c>
      <c r="T10" s="14">
        <v>0.41584185427881398</v>
      </c>
      <c r="U10" s="14">
        <v>0.57564677360036198</v>
      </c>
      <c r="V10" s="14">
        <v>0.36746159767488101</v>
      </c>
      <c r="W10" s="14">
        <v>0.57567914154722499</v>
      </c>
      <c r="X10" s="14">
        <v>0.51052909279103698</v>
      </c>
      <c r="Y10" s="14">
        <v>0.51957417828608699</v>
      </c>
      <c r="Z10" s="14">
        <v>0.42136631459951901</v>
      </c>
      <c r="AA10" s="14">
        <v>0.52334261986393704</v>
      </c>
      <c r="AB10" s="14"/>
      <c r="AC10" s="14">
        <v>0.56934758339160596</v>
      </c>
      <c r="AD10" s="14">
        <v>0.430716811502732</v>
      </c>
      <c r="AE10" s="14">
        <v>0.546351938101028</v>
      </c>
      <c r="AF10" s="14">
        <v>0.41408313983008499</v>
      </c>
      <c r="AG10" s="14">
        <v>0.36496768876774399</v>
      </c>
      <c r="AH10" s="14"/>
      <c r="AI10" s="14">
        <v>0.53357015351876702</v>
      </c>
      <c r="AJ10" s="14">
        <v>0.48819791564869203</v>
      </c>
      <c r="AK10" s="14">
        <v>0.50692799688828905</v>
      </c>
      <c r="AL10" s="14">
        <v>0.43635835911691201</v>
      </c>
      <c r="AM10" s="14">
        <v>0.60772069945618201</v>
      </c>
      <c r="AN10" s="14">
        <v>0.37418408256626901</v>
      </c>
      <c r="AO10" s="14"/>
      <c r="AP10" s="14">
        <v>0.51399214499083101</v>
      </c>
      <c r="AQ10" s="14">
        <v>0.48386655672620499</v>
      </c>
      <c r="AR10" s="14"/>
      <c r="AS10" s="14" t="s">
        <v>88</v>
      </c>
      <c r="AT10" s="14">
        <v>0.50127680515183803</v>
      </c>
      <c r="AU10" s="14" t="s">
        <v>88</v>
      </c>
      <c r="AV10" s="14"/>
      <c r="AW10" s="14">
        <v>0.50190161537627198</v>
      </c>
      <c r="AX10" s="14">
        <v>0.48973943730663899</v>
      </c>
      <c r="AY10" s="14"/>
      <c r="AZ10" s="14">
        <v>0.53126744145950899</v>
      </c>
      <c r="BA10" s="14">
        <v>0.40268572545082798</v>
      </c>
    </row>
    <row r="11" spans="2:53" x14ac:dyDescent="0.35">
      <c r="B11" s="15" t="s">
        <v>222</v>
      </c>
      <c r="C11" s="14">
        <v>0.117125331076408</v>
      </c>
      <c r="D11" s="14">
        <v>0.105558799763805</v>
      </c>
      <c r="E11" s="14">
        <v>0.127445353195522</v>
      </c>
      <c r="F11" s="14"/>
      <c r="G11" s="14">
        <v>0</v>
      </c>
      <c r="H11" s="14">
        <v>0.111552762118132</v>
      </c>
      <c r="I11" s="14">
        <v>0.12540632474539101</v>
      </c>
      <c r="J11" s="14">
        <v>0.137382349203617</v>
      </c>
      <c r="K11" s="14">
        <v>0</v>
      </c>
      <c r="L11" s="14">
        <v>0</v>
      </c>
      <c r="M11" s="14"/>
      <c r="N11" s="14">
        <v>0.12759643597129799</v>
      </c>
      <c r="O11" s="14">
        <v>9.5975558183858403E-2</v>
      </c>
      <c r="P11" s="14">
        <v>0.183532757729366</v>
      </c>
      <c r="Q11" s="14">
        <v>8.7125295955607598E-2</v>
      </c>
      <c r="R11" s="14"/>
      <c r="S11" s="14">
        <v>7.1178724276570696E-2</v>
      </c>
      <c r="T11" s="14">
        <v>0.114959120097266</v>
      </c>
      <c r="U11" s="14">
        <v>9.0256035529535497E-2</v>
      </c>
      <c r="V11" s="14">
        <v>5.4312318305948903E-2</v>
      </c>
      <c r="W11" s="14">
        <v>6.6523123264874903E-2</v>
      </c>
      <c r="X11" s="14">
        <v>0.195698107138606</v>
      </c>
      <c r="Y11" s="14">
        <v>0.102716692617389</v>
      </c>
      <c r="Z11" s="14">
        <v>0</v>
      </c>
      <c r="AA11" s="14">
        <v>0.21262591655215499</v>
      </c>
      <c r="AB11" s="14"/>
      <c r="AC11" s="14">
        <v>0.14271964133401399</v>
      </c>
      <c r="AD11" s="14">
        <v>0.14492752153911001</v>
      </c>
      <c r="AE11" s="14">
        <v>9.2546871996440405E-2</v>
      </c>
      <c r="AF11" s="14">
        <v>0.125770530521219</v>
      </c>
      <c r="AG11" s="14">
        <v>0</v>
      </c>
      <c r="AH11" s="14"/>
      <c r="AI11" s="14">
        <v>9.68283479571872E-2</v>
      </c>
      <c r="AJ11" s="14">
        <v>8.5863455127302105E-2</v>
      </c>
      <c r="AK11" s="14">
        <v>8.46138331258217E-2</v>
      </c>
      <c r="AL11" s="14">
        <v>0.162151041061423</v>
      </c>
      <c r="AM11" s="14">
        <v>9.3389770115746396E-2</v>
      </c>
      <c r="AN11" s="14">
        <v>0.22945169799062101</v>
      </c>
      <c r="AO11" s="14"/>
      <c r="AP11" s="14">
        <v>0.111661701705854</v>
      </c>
      <c r="AQ11" s="14">
        <v>0.124606306484965</v>
      </c>
      <c r="AR11" s="14"/>
      <c r="AS11" s="14" t="s">
        <v>88</v>
      </c>
      <c r="AT11" s="14">
        <v>0.117125331076408</v>
      </c>
      <c r="AU11" s="14" t="s">
        <v>88</v>
      </c>
      <c r="AV11" s="14"/>
      <c r="AW11" s="14">
        <v>0.12730583739429199</v>
      </c>
      <c r="AX11" s="14">
        <v>9.8297182556906504E-2</v>
      </c>
      <c r="AY11" s="14"/>
      <c r="AZ11" s="14">
        <v>0.101668513754573</v>
      </c>
      <c r="BA11" s="14">
        <v>0.18094609231714301</v>
      </c>
    </row>
    <row r="12" spans="2:53" x14ac:dyDescent="0.35">
      <c r="B12" s="15" t="s">
        <v>223</v>
      </c>
      <c r="C12" s="14">
        <v>3.3646345567274402E-2</v>
      </c>
      <c r="D12" s="14">
        <v>7.6049937474708101E-3</v>
      </c>
      <c r="E12" s="14">
        <v>5.6881256667990598E-2</v>
      </c>
      <c r="F12" s="14"/>
      <c r="G12" s="14">
        <v>0</v>
      </c>
      <c r="H12" s="14">
        <v>4.0926940895078402E-2</v>
      </c>
      <c r="I12" s="14">
        <v>3.6427725901886802E-2</v>
      </c>
      <c r="J12" s="14">
        <v>2.4692258259708201E-2</v>
      </c>
      <c r="K12" s="14">
        <v>0</v>
      </c>
      <c r="L12" s="14">
        <v>0</v>
      </c>
      <c r="M12" s="14"/>
      <c r="N12" s="14">
        <v>1.73837558750458E-2</v>
      </c>
      <c r="O12" s="14">
        <v>2.6787990581718601E-2</v>
      </c>
      <c r="P12" s="14">
        <v>9.5853730319008096E-2</v>
      </c>
      <c r="Q12" s="14">
        <v>1.3747560171160699E-2</v>
      </c>
      <c r="R12" s="14"/>
      <c r="S12" s="14">
        <v>1.35179272325007E-2</v>
      </c>
      <c r="T12" s="14">
        <v>0</v>
      </c>
      <c r="U12" s="14">
        <v>0.105789792639018</v>
      </c>
      <c r="V12" s="14">
        <v>4.7011149724464497E-2</v>
      </c>
      <c r="W12" s="14">
        <v>9.6670286452294196E-2</v>
      </c>
      <c r="X12" s="14">
        <v>6.2546562225337499E-2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7.1021221945926402E-2</v>
      </c>
      <c r="AE12" s="14">
        <v>4.6515978636288903E-2</v>
      </c>
      <c r="AF12" s="14">
        <v>0</v>
      </c>
      <c r="AG12" s="14">
        <v>0</v>
      </c>
      <c r="AH12" s="14"/>
      <c r="AI12" s="14">
        <v>3.3498422017913899E-2</v>
      </c>
      <c r="AJ12" s="14">
        <v>7.6635343383522903E-2</v>
      </c>
      <c r="AK12" s="14">
        <v>0</v>
      </c>
      <c r="AL12" s="14">
        <v>1.5756439228640898E-2</v>
      </c>
      <c r="AM12" s="14">
        <v>7.3266745527757804E-2</v>
      </c>
      <c r="AN12" s="14">
        <v>0</v>
      </c>
      <c r="AO12" s="14"/>
      <c r="AP12" s="14">
        <v>3.5121155393189299E-3</v>
      </c>
      <c r="AQ12" s="14">
        <v>7.4907093415554502E-2</v>
      </c>
      <c r="AR12" s="14"/>
      <c r="AS12" s="14" t="s">
        <v>88</v>
      </c>
      <c r="AT12" s="14">
        <v>3.3646345567274402E-2</v>
      </c>
      <c r="AU12" s="14" t="s">
        <v>88</v>
      </c>
      <c r="AV12" s="14"/>
      <c r="AW12" s="14">
        <v>3.9221610023019597E-2</v>
      </c>
      <c r="AX12" s="14">
        <v>1.39389231241077E-2</v>
      </c>
      <c r="AY12" s="14"/>
      <c r="AZ12" s="14">
        <v>3.01901960062585E-2</v>
      </c>
      <c r="BA12" s="14">
        <v>4.8175033445558603E-2</v>
      </c>
    </row>
    <row r="13" spans="2:53" x14ac:dyDescent="0.35">
      <c r="B13" s="15" t="s">
        <v>116</v>
      </c>
      <c r="C13" s="18">
        <v>2.3073383605050499E-2</v>
      </c>
      <c r="D13" s="18">
        <v>1.49910889234023E-2</v>
      </c>
      <c r="E13" s="18">
        <v>3.0284660489497E-2</v>
      </c>
      <c r="F13" s="18"/>
      <c r="G13" s="18">
        <v>0</v>
      </c>
      <c r="H13" s="18">
        <v>1.6563547495424099E-2</v>
      </c>
      <c r="I13" s="18">
        <v>8.1345811630514006E-3</v>
      </c>
      <c r="J13" s="18">
        <v>4.3233323313475999E-2</v>
      </c>
      <c r="K13" s="18">
        <v>0</v>
      </c>
      <c r="L13" s="18">
        <v>1</v>
      </c>
      <c r="M13" s="18"/>
      <c r="N13" s="18">
        <v>0</v>
      </c>
      <c r="O13" s="18">
        <v>1.47362721842233E-2</v>
      </c>
      <c r="P13" s="18">
        <v>1.9644085331609999E-2</v>
      </c>
      <c r="Q13" s="18">
        <v>5.3518580772002097E-2</v>
      </c>
      <c r="R13" s="18"/>
      <c r="S13" s="18">
        <v>0</v>
      </c>
      <c r="T13" s="18">
        <v>2.4532338609760201E-2</v>
      </c>
      <c r="U13" s="18">
        <v>0</v>
      </c>
      <c r="V13" s="18">
        <v>4.61896178082149E-2</v>
      </c>
      <c r="W13" s="18">
        <v>6.9117206729242694E-2</v>
      </c>
      <c r="X13" s="18">
        <v>3.4407327504775598E-2</v>
      </c>
      <c r="Y13" s="18">
        <v>0</v>
      </c>
      <c r="Z13" s="18">
        <v>0</v>
      </c>
      <c r="AA13" s="18">
        <v>2.3155716763752499E-2</v>
      </c>
      <c r="AB13" s="18"/>
      <c r="AC13" s="18">
        <v>2.3816093003866098E-2</v>
      </c>
      <c r="AD13" s="18">
        <v>5.1709469929471501E-2</v>
      </c>
      <c r="AE13" s="18">
        <v>0</v>
      </c>
      <c r="AF13" s="18">
        <v>0</v>
      </c>
      <c r="AG13" s="18">
        <v>0</v>
      </c>
      <c r="AH13" s="18"/>
      <c r="AI13" s="18">
        <v>1.8080914994830999E-2</v>
      </c>
      <c r="AJ13" s="18">
        <v>0</v>
      </c>
      <c r="AK13" s="18">
        <v>0</v>
      </c>
      <c r="AL13" s="18">
        <v>5.5821279657939399E-2</v>
      </c>
      <c r="AM13" s="18">
        <v>0</v>
      </c>
      <c r="AN13" s="18">
        <v>0</v>
      </c>
      <c r="AO13" s="18"/>
      <c r="AP13" s="18">
        <v>2.3900065091423901E-2</v>
      </c>
      <c r="AQ13" s="18">
        <v>2.1941464975357601E-2</v>
      </c>
      <c r="AR13" s="18"/>
      <c r="AS13" s="18" t="s">
        <v>88</v>
      </c>
      <c r="AT13" s="18">
        <v>2.3073383605050499E-2</v>
      </c>
      <c r="AU13" s="18" t="s">
        <v>88</v>
      </c>
      <c r="AV13" s="18"/>
      <c r="AW13" s="18">
        <v>2.8668721098648899E-2</v>
      </c>
      <c r="AX13" s="18">
        <v>0</v>
      </c>
      <c r="AY13" s="18"/>
      <c r="AZ13" s="18">
        <v>4.5973721380093103E-3</v>
      </c>
      <c r="BA13" s="18">
        <v>6.06652327567751E-2</v>
      </c>
    </row>
    <row r="14" spans="2:53" x14ac:dyDescent="0.35">
      <c r="B14" s="26" t="s">
        <v>224</v>
      </c>
      <c r="C14" s="27">
        <v>0.780085995911037</v>
      </c>
      <c r="D14" s="27">
        <v>0.84016985566013702</v>
      </c>
      <c r="E14" s="27">
        <v>0.72647729120483095</v>
      </c>
      <c r="F14" s="27"/>
      <c r="G14" s="27">
        <v>1</v>
      </c>
      <c r="H14" s="27">
        <v>0.76106647068830302</v>
      </c>
      <c r="I14" s="27">
        <v>0.78832208036945195</v>
      </c>
      <c r="J14" s="27">
        <v>0.75805074775228998</v>
      </c>
      <c r="K14" s="27">
        <v>1</v>
      </c>
      <c r="L14" s="27">
        <v>0</v>
      </c>
      <c r="M14" s="27"/>
      <c r="N14" s="27">
        <v>0.80180977193759895</v>
      </c>
      <c r="O14" s="27">
        <v>0.86250017905020004</v>
      </c>
      <c r="P14" s="27">
        <v>0.63105481938089403</v>
      </c>
      <c r="Q14" s="27">
        <v>0.77247477794316199</v>
      </c>
      <c r="R14" s="27"/>
      <c r="S14" s="27">
        <v>0.90178542205435697</v>
      </c>
      <c r="T14" s="27">
        <v>0.768011277474418</v>
      </c>
      <c r="U14" s="27">
        <v>0.75105926958568103</v>
      </c>
      <c r="V14" s="27">
        <v>0.80547577446896002</v>
      </c>
      <c r="W14" s="27">
        <v>0.76768938355358796</v>
      </c>
      <c r="X14" s="27">
        <v>0.68630766785998998</v>
      </c>
      <c r="Y14" s="27">
        <v>0.80543929941664105</v>
      </c>
      <c r="Z14" s="27">
        <v>1</v>
      </c>
      <c r="AA14" s="27">
        <v>0.709234857784663</v>
      </c>
      <c r="AB14" s="27"/>
      <c r="AC14" s="27">
        <v>0.760738490238831</v>
      </c>
      <c r="AD14" s="27">
        <v>0.65039054810780705</v>
      </c>
      <c r="AE14" s="27">
        <v>0.84215153358313199</v>
      </c>
      <c r="AF14" s="27">
        <v>0.84196619170384801</v>
      </c>
      <c r="AG14" s="27">
        <v>0.725906163993433</v>
      </c>
      <c r="AH14" s="27"/>
      <c r="AI14" s="27">
        <v>0.83329936559957996</v>
      </c>
      <c r="AJ14" s="27">
        <v>0.79328768371518898</v>
      </c>
      <c r="AK14" s="27">
        <v>0.84847361902859697</v>
      </c>
      <c r="AL14" s="27">
        <v>0.72674032701371405</v>
      </c>
      <c r="AM14" s="27">
        <v>0.83334348435649597</v>
      </c>
      <c r="AN14" s="27">
        <v>0.68997821976089202</v>
      </c>
      <c r="AO14" s="27"/>
      <c r="AP14" s="27">
        <v>0.81622075960562901</v>
      </c>
      <c r="AQ14" s="27">
        <v>0.730609126185924</v>
      </c>
      <c r="AR14" s="27"/>
      <c r="AS14" s="27" t="s">
        <v>88</v>
      </c>
      <c r="AT14" s="27">
        <v>0.780085995911037</v>
      </c>
      <c r="AU14" s="27" t="s">
        <v>88</v>
      </c>
      <c r="AV14" s="27"/>
      <c r="AW14" s="27">
        <v>0.75406891436254297</v>
      </c>
      <c r="AX14" s="27">
        <v>0.87415991466924003</v>
      </c>
      <c r="AY14" s="27"/>
      <c r="AZ14" s="27">
        <v>0.82266052477602902</v>
      </c>
      <c r="BA14" s="27">
        <v>0.64249899233483798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BA18"/>
  <sheetViews>
    <sheetView showGridLines="0" workbookViewId="0">
      <pane xSplit="2" topLeftCell="C1" activePane="topRight" state="frozen"/>
      <selection pane="topRight" activeCell="B9" sqref="B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313</v>
      </c>
      <c r="D7" s="10">
        <v>119</v>
      </c>
      <c r="E7" s="10">
        <v>194</v>
      </c>
      <c r="F7" s="10"/>
      <c r="G7" s="10">
        <v>1</v>
      </c>
      <c r="H7" s="10">
        <v>83</v>
      </c>
      <c r="I7" s="10">
        <v>163</v>
      </c>
      <c r="J7" s="10">
        <v>57</v>
      </c>
      <c r="K7" s="10">
        <v>8</v>
      </c>
      <c r="L7" s="10">
        <v>1</v>
      </c>
      <c r="M7" s="10"/>
      <c r="N7" s="10">
        <v>118</v>
      </c>
      <c r="O7" s="10">
        <v>90</v>
      </c>
      <c r="P7" s="10">
        <v>43</v>
      </c>
      <c r="Q7" s="10">
        <v>62</v>
      </c>
      <c r="R7" s="10"/>
      <c r="S7" s="10">
        <v>57</v>
      </c>
      <c r="T7" s="10">
        <v>47</v>
      </c>
      <c r="U7" s="10">
        <v>24</v>
      </c>
      <c r="V7" s="10">
        <v>23</v>
      </c>
      <c r="W7" s="10">
        <v>30</v>
      </c>
      <c r="X7" s="10">
        <v>40</v>
      </c>
      <c r="Y7" s="10">
        <v>33</v>
      </c>
      <c r="Z7" s="10">
        <v>10</v>
      </c>
      <c r="AA7" s="10">
        <v>49</v>
      </c>
      <c r="AB7" s="10"/>
      <c r="AC7" s="10">
        <v>35</v>
      </c>
      <c r="AD7" s="10">
        <v>70</v>
      </c>
      <c r="AE7" s="10">
        <v>105</v>
      </c>
      <c r="AF7" s="10">
        <v>71</v>
      </c>
      <c r="AG7" s="10">
        <v>7</v>
      </c>
      <c r="AH7" s="10"/>
      <c r="AI7" s="10">
        <v>120</v>
      </c>
      <c r="AJ7" s="10">
        <v>56</v>
      </c>
      <c r="AK7" s="10">
        <v>24</v>
      </c>
      <c r="AL7" s="10">
        <v>44</v>
      </c>
      <c r="AM7" s="10">
        <v>16</v>
      </c>
      <c r="AN7" s="10">
        <v>15</v>
      </c>
      <c r="AO7" s="10"/>
      <c r="AP7" s="10">
        <v>175</v>
      </c>
      <c r="AQ7" s="10">
        <v>138</v>
      </c>
      <c r="AR7" s="10"/>
      <c r="AS7" s="10" t="s">
        <v>87</v>
      </c>
      <c r="AT7" s="10">
        <v>313</v>
      </c>
      <c r="AU7" s="10" t="s">
        <v>87</v>
      </c>
      <c r="AV7" s="10"/>
      <c r="AW7" s="10">
        <v>240</v>
      </c>
      <c r="AX7" s="10">
        <v>61</v>
      </c>
      <c r="AY7" s="10"/>
      <c r="AZ7" s="10">
        <v>247</v>
      </c>
      <c r="BA7" s="10">
        <v>65</v>
      </c>
    </row>
    <row r="8" spans="2:53" ht="30" customHeight="1" x14ac:dyDescent="0.35">
      <c r="B8" s="11" t="s">
        <v>19</v>
      </c>
      <c r="C8" s="11">
        <v>319</v>
      </c>
      <c r="D8" s="11">
        <v>150</v>
      </c>
      <c r="E8" s="11">
        <v>168</v>
      </c>
      <c r="F8" s="11"/>
      <c r="G8" s="11">
        <v>2</v>
      </c>
      <c r="H8" s="11">
        <v>84</v>
      </c>
      <c r="I8" s="11">
        <v>162</v>
      </c>
      <c r="J8" s="11">
        <v>55</v>
      </c>
      <c r="K8" s="11">
        <v>13</v>
      </c>
      <c r="L8" s="11">
        <v>2</v>
      </c>
      <c r="M8" s="11"/>
      <c r="N8" s="11">
        <v>75</v>
      </c>
      <c r="O8" s="11">
        <v>95</v>
      </c>
      <c r="P8" s="11">
        <v>59</v>
      </c>
      <c r="Q8" s="11">
        <v>90</v>
      </c>
      <c r="R8" s="11"/>
      <c r="S8" s="11">
        <v>48</v>
      </c>
      <c r="T8" s="11">
        <v>50</v>
      </c>
      <c r="U8" s="11">
        <v>29</v>
      </c>
      <c r="V8" s="11">
        <v>29</v>
      </c>
      <c r="W8" s="11">
        <v>33</v>
      </c>
      <c r="X8" s="11">
        <v>41</v>
      </c>
      <c r="Y8" s="11">
        <v>32</v>
      </c>
      <c r="Z8" s="11">
        <v>8</v>
      </c>
      <c r="AA8" s="11">
        <v>50</v>
      </c>
      <c r="AB8" s="11"/>
      <c r="AC8" s="11">
        <v>49</v>
      </c>
      <c r="AD8" s="11">
        <v>76</v>
      </c>
      <c r="AE8" s="11">
        <v>99</v>
      </c>
      <c r="AF8" s="11">
        <v>63</v>
      </c>
      <c r="AG8" s="11">
        <v>4</v>
      </c>
      <c r="AH8" s="11"/>
      <c r="AI8" s="11">
        <v>125</v>
      </c>
      <c r="AJ8" s="11">
        <v>51</v>
      </c>
      <c r="AK8" s="11">
        <v>21</v>
      </c>
      <c r="AL8" s="11">
        <v>44</v>
      </c>
      <c r="AM8" s="11">
        <v>17</v>
      </c>
      <c r="AN8" s="11">
        <v>17</v>
      </c>
      <c r="AO8" s="11"/>
      <c r="AP8" s="11">
        <v>184</v>
      </c>
      <c r="AQ8" s="11">
        <v>135</v>
      </c>
      <c r="AR8" s="11"/>
      <c r="AS8" s="11" t="s">
        <v>87</v>
      </c>
      <c r="AT8" s="11">
        <v>319</v>
      </c>
      <c r="AU8" s="11" t="s">
        <v>87</v>
      </c>
      <c r="AV8" s="11"/>
      <c r="AW8" s="11">
        <v>257</v>
      </c>
      <c r="AX8" s="11">
        <v>48</v>
      </c>
      <c r="AY8" s="11"/>
      <c r="AZ8" s="11">
        <v>251</v>
      </c>
      <c r="BA8" s="11">
        <v>65</v>
      </c>
    </row>
    <row r="9" spans="2:53" x14ac:dyDescent="0.35">
      <c r="B9" s="15" t="s">
        <v>226</v>
      </c>
      <c r="C9" s="14">
        <v>0.27681467065433302</v>
      </c>
      <c r="D9" s="14">
        <v>0.25157490110208602</v>
      </c>
      <c r="E9" s="14">
        <v>0.299334384907533</v>
      </c>
      <c r="F9" s="14"/>
      <c r="G9" s="14">
        <v>0</v>
      </c>
      <c r="H9" s="14">
        <v>0.36086921366035901</v>
      </c>
      <c r="I9" s="14">
        <v>0.28250351837716697</v>
      </c>
      <c r="J9" s="14">
        <v>0.10395245006076199</v>
      </c>
      <c r="K9" s="14">
        <v>0.488680821396413</v>
      </c>
      <c r="L9" s="14">
        <v>0</v>
      </c>
      <c r="M9" s="14"/>
      <c r="N9" s="14">
        <v>0.319280256111792</v>
      </c>
      <c r="O9" s="14">
        <v>0.30664103310742502</v>
      </c>
      <c r="P9" s="14">
        <v>0.16082210503716399</v>
      </c>
      <c r="Q9" s="14">
        <v>0.28570532571892898</v>
      </c>
      <c r="R9" s="14"/>
      <c r="S9" s="14">
        <v>0.324133625613933</v>
      </c>
      <c r="T9" s="14">
        <v>0.229239083271744</v>
      </c>
      <c r="U9" s="14">
        <v>0.29899538330521003</v>
      </c>
      <c r="V9" s="14">
        <v>0.42267775556456</v>
      </c>
      <c r="W9" s="14">
        <v>0.176949988942082</v>
      </c>
      <c r="X9" s="14">
        <v>0.220514833883689</v>
      </c>
      <c r="Y9" s="14">
        <v>0.31524841896314698</v>
      </c>
      <c r="Z9" s="14">
        <v>0.38090639652484198</v>
      </c>
      <c r="AA9" s="14">
        <v>0.25192865179700202</v>
      </c>
      <c r="AB9" s="14"/>
      <c r="AC9" s="14">
        <v>0.20415267700121101</v>
      </c>
      <c r="AD9" s="14">
        <v>0.20270320413791601</v>
      </c>
      <c r="AE9" s="14">
        <v>0.27044290353772799</v>
      </c>
      <c r="AF9" s="14">
        <v>0.429187640839236</v>
      </c>
      <c r="AG9" s="14">
        <v>0.59772404612090002</v>
      </c>
      <c r="AH9" s="14"/>
      <c r="AI9" s="14">
        <v>0.333154283469903</v>
      </c>
      <c r="AJ9" s="14">
        <v>0.18761165248504799</v>
      </c>
      <c r="AK9" s="14">
        <v>0.37889159008922502</v>
      </c>
      <c r="AL9" s="14">
        <v>0.26778256202992301</v>
      </c>
      <c r="AM9" s="14">
        <v>0.32495205949114098</v>
      </c>
      <c r="AN9" s="14">
        <v>0.218380320653005</v>
      </c>
      <c r="AO9" s="14"/>
      <c r="AP9" s="14">
        <v>0.32144931557958301</v>
      </c>
      <c r="AQ9" s="14">
        <v>0.21569949273706901</v>
      </c>
      <c r="AR9" s="14"/>
      <c r="AS9" s="14" t="s">
        <v>88</v>
      </c>
      <c r="AT9" s="14">
        <v>0.27681467065433302</v>
      </c>
      <c r="AU9" s="14" t="s">
        <v>88</v>
      </c>
      <c r="AV9" s="14"/>
      <c r="AW9" s="14">
        <v>0.25657302822920602</v>
      </c>
      <c r="AX9" s="14">
        <v>0.34362572048987</v>
      </c>
      <c r="AY9" s="14"/>
      <c r="AZ9" s="14">
        <v>0.28176756208051201</v>
      </c>
      <c r="BA9" s="14">
        <v>0.26725455443408802</v>
      </c>
    </row>
    <row r="10" spans="2:53" x14ac:dyDescent="0.35">
      <c r="B10" s="15" t="s">
        <v>227</v>
      </c>
      <c r="C10" s="14">
        <v>0.36999700275561298</v>
      </c>
      <c r="D10" s="14">
        <v>0.45703151848826601</v>
      </c>
      <c r="E10" s="14">
        <v>0.29234207724578498</v>
      </c>
      <c r="F10" s="14"/>
      <c r="G10" s="14">
        <v>0</v>
      </c>
      <c r="H10" s="14">
        <v>0.31297605910323401</v>
      </c>
      <c r="I10" s="14">
        <v>0.37677217830910098</v>
      </c>
      <c r="J10" s="14">
        <v>0.43328138649276599</v>
      </c>
      <c r="K10" s="14">
        <v>0.511319178603587</v>
      </c>
      <c r="L10" s="14">
        <v>0</v>
      </c>
      <c r="M10" s="14"/>
      <c r="N10" s="14">
        <v>0.35533075020175198</v>
      </c>
      <c r="O10" s="14">
        <v>0.401458584271218</v>
      </c>
      <c r="P10" s="14">
        <v>0.42104992569059702</v>
      </c>
      <c r="Q10" s="14">
        <v>0.31556103734386998</v>
      </c>
      <c r="R10" s="14"/>
      <c r="S10" s="14">
        <v>0.437788040071804</v>
      </c>
      <c r="T10" s="14">
        <v>0.390517401314532</v>
      </c>
      <c r="U10" s="14">
        <v>0.36966520022086902</v>
      </c>
      <c r="V10" s="14">
        <v>0.37536596763035301</v>
      </c>
      <c r="W10" s="14">
        <v>0.308502317351185</v>
      </c>
      <c r="X10" s="14">
        <v>0.3916673368736</v>
      </c>
      <c r="Y10" s="14">
        <v>0.30815986659828398</v>
      </c>
      <c r="Z10" s="14">
        <v>0.48970253057815999</v>
      </c>
      <c r="AA10" s="14">
        <v>0.32382950196402499</v>
      </c>
      <c r="AB10" s="14"/>
      <c r="AC10" s="14">
        <v>0.33251856031633598</v>
      </c>
      <c r="AD10" s="14">
        <v>0.31390376193710101</v>
      </c>
      <c r="AE10" s="14">
        <v>0.467287515245848</v>
      </c>
      <c r="AF10" s="14">
        <v>0.34568562977929801</v>
      </c>
      <c r="AG10" s="14">
        <v>0.128182117872534</v>
      </c>
      <c r="AH10" s="14"/>
      <c r="AI10" s="14">
        <v>0.41439327600555298</v>
      </c>
      <c r="AJ10" s="14">
        <v>0.40300522669547401</v>
      </c>
      <c r="AK10" s="14">
        <v>0.28599728184255702</v>
      </c>
      <c r="AL10" s="14">
        <v>0.34726896556515402</v>
      </c>
      <c r="AM10" s="14">
        <v>0.269253284812627</v>
      </c>
      <c r="AN10" s="14">
        <v>0.24984516163763801</v>
      </c>
      <c r="AO10" s="14"/>
      <c r="AP10" s="14">
        <v>0.364327852486796</v>
      </c>
      <c r="AQ10" s="14">
        <v>0.37775938392608499</v>
      </c>
      <c r="AR10" s="14"/>
      <c r="AS10" s="14" t="s">
        <v>88</v>
      </c>
      <c r="AT10" s="14">
        <v>0.36999700275561298</v>
      </c>
      <c r="AU10" s="14" t="s">
        <v>88</v>
      </c>
      <c r="AV10" s="14"/>
      <c r="AW10" s="14">
        <v>0.34775716637698001</v>
      </c>
      <c r="AX10" s="14">
        <v>0.466881408113899</v>
      </c>
      <c r="AY10" s="14"/>
      <c r="AZ10" s="14">
        <v>0.39842548819567603</v>
      </c>
      <c r="BA10" s="14">
        <v>0.272897830469293</v>
      </c>
    </row>
    <row r="11" spans="2:53" x14ac:dyDescent="0.35">
      <c r="B11" s="15" t="s">
        <v>228</v>
      </c>
      <c r="C11" s="14">
        <v>0.20927841996816099</v>
      </c>
      <c r="D11" s="14">
        <v>0.22252092885417599</v>
      </c>
      <c r="E11" s="14">
        <v>0.19746303807684801</v>
      </c>
      <c r="F11" s="14"/>
      <c r="G11" s="14">
        <v>0</v>
      </c>
      <c r="H11" s="14">
        <v>0.20191253991260999</v>
      </c>
      <c r="I11" s="14">
        <v>0.203923922732415</v>
      </c>
      <c r="J11" s="14">
        <v>0.30078744308027899</v>
      </c>
      <c r="K11" s="14">
        <v>0</v>
      </c>
      <c r="L11" s="14">
        <v>0</v>
      </c>
      <c r="M11" s="14"/>
      <c r="N11" s="14">
        <v>0.20353745044264801</v>
      </c>
      <c r="O11" s="14">
        <v>0.178314536482018</v>
      </c>
      <c r="P11" s="14">
        <v>0.26311689274132599</v>
      </c>
      <c r="Q11" s="14">
        <v>0.21151772922952999</v>
      </c>
      <c r="R11" s="14"/>
      <c r="S11" s="14">
        <v>0.19752455341269001</v>
      </c>
      <c r="T11" s="14">
        <v>0.14380560318058</v>
      </c>
      <c r="U11" s="14">
        <v>0.15082734541484899</v>
      </c>
      <c r="V11" s="14">
        <v>7.55502570100587E-2</v>
      </c>
      <c r="W11" s="14">
        <v>0.31549864070497802</v>
      </c>
      <c r="X11" s="14">
        <v>0.27357284950528699</v>
      </c>
      <c r="Y11" s="14">
        <v>0.28746751410626697</v>
      </c>
      <c r="Z11" s="14">
        <v>0</v>
      </c>
      <c r="AA11" s="14">
        <v>0.25939412834372699</v>
      </c>
      <c r="AB11" s="14"/>
      <c r="AC11" s="14">
        <v>0.26407157470387099</v>
      </c>
      <c r="AD11" s="14">
        <v>0.25523001600919598</v>
      </c>
      <c r="AE11" s="14">
        <v>0.16463762154631201</v>
      </c>
      <c r="AF11" s="14">
        <v>0.13053673083870701</v>
      </c>
      <c r="AG11" s="14">
        <v>0.274093836006567</v>
      </c>
      <c r="AH11" s="14"/>
      <c r="AI11" s="14">
        <v>0.14489506289821799</v>
      </c>
      <c r="AJ11" s="14">
        <v>0.28045153801302602</v>
      </c>
      <c r="AK11" s="14">
        <v>0.21578534495667201</v>
      </c>
      <c r="AL11" s="14">
        <v>0.19287856292694699</v>
      </c>
      <c r="AM11" s="14">
        <v>0.27715090171232998</v>
      </c>
      <c r="AN11" s="14">
        <v>0.41160321241306103</v>
      </c>
      <c r="AO11" s="14"/>
      <c r="AP11" s="14">
        <v>0.20290025091051</v>
      </c>
      <c r="AQ11" s="14">
        <v>0.218011612254052</v>
      </c>
      <c r="AR11" s="14"/>
      <c r="AS11" s="14" t="s">
        <v>88</v>
      </c>
      <c r="AT11" s="14">
        <v>0.20927841996816099</v>
      </c>
      <c r="AU11" s="14" t="s">
        <v>88</v>
      </c>
      <c r="AV11" s="14"/>
      <c r="AW11" s="14">
        <v>0.22515043073308999</v>
      </c>
      <c r="AX11" s="14">
        <v>0.14478025804815201</v>
      </c>
      <c r="AY11" s="14"/>
      <c r="AZ11" s="14">
        <v>0.21065951405507299</v>
      </c>
      <c r="BA11" s="14">
        <v>0.211188754734459</v>
      </c>
    </row>
    <row r="12" spans="2:53" x14ac:dyDescent="0.35">
      <c r="B12" s="15" t="s">
        <v>229</v>
      </c>
      <c r="C12" s="14">
        <v>8.5540824723633793E-2</v>
      </c>
      <c r="D12" s="14">
        <v>3.4829439835933201E-2</v>
      </c>
      <c r="E12" s="14">
        <v>0.130787113311613</v>
      </c>
      <c r="F12" s="14"/>
      <c r="G12" s="14">
        <v>1</v>
      </c>
      <c r="H12" s="14">
        <v>4.3888372146194697E-2</v>
      </c>
      <c r="I12" s="14">
        <v>9.24954207212592E-2</v>
      </c>
      <c r="J12" s="14">
        <v>0.118745397052717</v>
      </c>
      <c r="K12" s="14">
        <v>0</v>
      </c>
      <c r="L12" s="14">
        <v>0</v>
      </c>
      <c r="M12" s="14"/>
      <c r="N12" s="14">
        <v>9.3820147989425201E-2</v>
      </c>
      <c r="O12" s="14">
        <v>0.104276637464847</v>
      </c>
      <c r="P12" s="14">
        <v>6.5452383960181507E-2</v>
      </c>
      <c r="Q12" s="14">
        <v>7.1956508021788795E-2</v>
      </c>
      <c r="R12" s="14"/>
      <c r="S12" s="14">
        <v>2.7035854465001501E-2</v>
      </c>
      <c r="T12" s="14">
        <v>0.101772258835667</v>
      </c>
      <c r="U12" s="14">
        <v>0.12761716881330601</v>
      </c>
      <c r="V12" s="14">
        <v>3.3205262294401502E-2</v>
      </c>
      <c r="W12" s="14">
        <v>0.129931846272513</v>
      </c>
      <c r="X12" s="14">
        <v>9.3204644466132594E-2</v>
      </c>
      <c r="Y12" s="14">
        <v>5.7225203223564197E-2</v>
      </c>
      <c r="Z12" s="14">
        <v>0.129391072896999</v>
      </c>
      <c r="AA12" s="14">
        <v>0.10671153637693299</v>
      </c>
      <c r="AB12" s="14"/>
      <c r="AC12" s="14">
        <v>0.102715319551428</v>
      </c>
      <c r="AD12" s="14">
        <v>0.12611355989715201</v>
      </c>
      <c r="AE12" s="14">
        <v>7.8846343885972198E-2</v>
      </c>
      <c r="AF12" s="14">
        <v>6.23267207678272E-2</v>
      </c>
      <c r="AG12" s="14">
        <v>0</v>
      </c>
      <c r="AH12" s="14"/>
      <c r="AI12" s="14">
        <v>7.9385024846104796E-2</v>
      </c>
      <c r="AJ12" s="14">
        <v>0.10435386860783499</v>
      </c>
      <c r="AK12" s="14">
        <v>5.2413235265963698E-2</v>
      </c>
      <c r="AL12" s="14">
        <v>0.116978271917218</v>
      </c>
      <c r="AM12" s="14">
        <v>0.12864375398390299</v>
      </c>
      <c r="AN12" s="14">
        <v>3.9601223047807901E-2</v>
      </c>
      <c r="AO12" s="14"/>
      <c r="AP12" s="14">
        <v>5.7564986932106099E-2</v>
      </c>
      <c r="AQ12" s="14">
        <v>0.123846233154171</v>
      </c>
      <c r="AR12" s="14"/>
      <c r="AS12" s="14" t="s">
        <v>88</v>
      </c>
      <c r="AT12" s="14">
        <v>8.5540824723633793E-2</v>
      </c>
      <c r="AU12" s="14" t="s">
        <v>88</v>
      </c>
      <c r="AV12" s="14"/>
      <c r="AW12" s="14">
        <v>0.100517627043156</v>
      </c>
      <c r="AX12" s="14">
        <v>3.1108633698334501E-2</v>
      </c>
      <c r="AY12" s="14"/>
      <c r="AZ12" s="14">
        <v>7.1764748372141002E-2</v>
      </c>
      <c r="BA12" s="14">
        <v>0.14176886233032901</v>
      </c>
    </row>
    <row r="13" spans="2:53" x14ac:dyDescent="0.35">
      <c r="B13" s="26" t="s">
        <v>116</v>
      </c>
      <c r="C13" s="23">
        <v>1.8688674645044201E-2</v>
      </c>
      <c r="D13" s="23">
        <v>1.49910889234023E-2</v>
      </c>
      <c r="E13" s="23">
        <v>2.1987776631919202E-2</v>
      </c>
      <c r="F13" s="23"/>
      <c r="G13" s="23">
        <v>0</v>
      </c>
      <c r="H13" s="23">
        <v>0</v>
      </c>
      <c r="I13" s="23">
        <v>8.1345811630514006E-3</v>
      </c>
      <c r="J13" s="23">
        <v>4.3233323313475999E-2</v>
      </c>
      <c r="K13" s="23">
        <v>0</v>
      </c>
      <c r="L13" s="23">
        <v>1</v>
      </c>
      <c r="M13" s="23"/>
      <c r="N13" s="23">
        <v>0</v>
      </c>
      <c r="O13" s="23">
        <v>0</v>
      </c>
      <c r="P13" s="23">
        <v>1.9644085331609999E-2</v>
      </c>
      <c r="Q13" s="23">
        <v>5.3518580772002097E-2</v>
      </c>
      <c r="R13" s="23"/>
      <c r="S13" s="23">
        <v>0</v>
      </c>
      <c r="T13" s="23">
        <v>2.4532338609760201E-2</v>
      </c>
      <c r="U13" s="23">
        <v>0</v>
      </c>
      <c r="V13" s="23">
        <v>4.61896178082149E-2</v>
      </c>
      <c r="W13" s="23">
        <v>6.9117206729242694E-2</v>
      </c>
      <c r="X13" s="23">
        <v>0</v>
      </c>
      <c r="Y13" s="23">
        <v>0</v>
      </c>
      <c r="Z13" s="23">
        <v>0</v>
      </c>
      <c r="AA13" s="23">
        <v>2.3155716763752499E-2</v>
      </c>
      <c r="AB13" s="23"/>
      <c r="AC13" s="23">
        <v>2.3816093003866098E-2</v>
      </c>
      <c r="AD13" s="23">
        <v>3.3392050654886103E-2</v>
      </c>
      <c r="AE13" s="23">
        <v>0</v>
      </c>
      <c r="AF13" s="23">
        <v>0</v>
      </c>
      <c r="AG13" s="23">
        <v>0</v>
      </c>
      <c r="AH13" s="23"/>
      <c r="AI13" s="23">
        <v>1.8080914994830999E-2</v>
      </c>
      <c r="AJ13" s="23">
        <v>0</v>
      </c>
      <c r="AK13" s="23">
        <v>0</v>
      </c>
      <c r="AL13" s="23">
        <v>5.5821279657939399E-2</v>
      </c>
      <c r="AM13" s="23">
        <v>0</v>
      </c>
      <c r="AN13" s="23">
        <v>0</v>
      </c>
      <c r="AO13" s="23"/>
      <c r="AP13" s="23">
        <v>2.0106554049195102E-2</v>
      </c>
      <c r="AQ13" s="23">
        <v>1.6747268990422601E-2</v>
      </c>
      <c r="AR13" s="23"/>
      <c r="AS13" s="23" t="s">
        <v>88</v>
      </c>
      <c r="AT13" s="23">
        <v>1.8688674645044201E-2</v>
      </c>
      <c r="AU13" s="23" t="s">
        <v>88</v>
      </c>
      <c r="AV13" s="23"/>
      <c r="AW13" s="23">
        <v>2.3220712240266599E-2</v>
      </c>
      <c r="AX13" s="23">
        <v>0</v>
      </c>
      <c r="AY13" s="23"/>
      <c r="AZ13" s="23">
        <v>4.5973721380093103E-3</v>
      </c>
      <c r="BA13" s="23">
        <v>3.9175348886145399E-2</v>
      </c>
    </row>
    <row r="14" spans="2:53" x14ac:dyDescent="0.35">
      <c r="B14" s="25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313</v>
      </c>
      <c r="D7" s="10">
        <v>119</v>
      </c>
      <c r="E7" s="10">
        <v>194</v>
      </c>
      <c r="F7" s="10"/>
      <c r="G7" s="10">
        <v>1</v>
      </c>
      <c r="H7" s="10">
        <v>83</v>
      </c>
      <c r="I7" s="10">
        <v>163</v>
      </c>
      <c r="J7" s="10">
        <v>57</v>
      </c>
      <c r="K7" s="10">
        <v>8</v>
      </c>
      <c r="L7" s="10">
        <v>1</v>
      </c>
      <c r="M7" s="10"/>
      <c r="N7" s="10">
        <v>118</v>
      </c>
      <c r="O7" s="10">
        <v>90</v>
      </c>
      <c r="P7" s="10">
        <v>43</v>
      </c>
      <c r="Q7" s="10">
        <v>62</v>
      </c>
      <c r="R7" s="10"/>
      <c r="S7" s="10">
        <v>57</v>
      </c>
      <c r="T7" s="10">
        <v>47</v>
      </c>
      <c r="U7" s="10">
        <v>24</v>
      </c>
      <c r="V7" s="10">
        <v>23</v>
      </c>
      <c r="W7" s="10">
        <v>30</v>
      </c>
      <c r="X7" s="10">
        <v>40</v>
      </c>
      <c r="Y7" s="10">
        <v>33</v>
      </c>
      <c r="Z7" s="10">
        <v>10</v>
      </c>
      <c r="AA7" s="10">
        <v>49</v>
      </c>
      <c r="AB7" s="10"/>
      <c r="AC7" s="10">
        <v>35</v>
      </c>
      <c r="AD7" s="10">
        <v>70</v>
      </c>
      <c r="AE7" s="10">
        <v>105</v>
      </c>
      <c r="AF7" s="10">
        <v>71</v>
      </c>
      <c r="AG7" s="10">
        <v>7</v>
      </c>
      <c r="AH7" s="10"/>
      <c r="AI7" s="10">
        <v>120</v>
      </c>
      <c r="AJ7" s="10">
        <v>56</v>
      </c>
      <c r="AK7" s="10">
        <v>24</v>
      </c>
      <c r="AL7" s="10">
        <v>44</v>
      </c>
      <c r="AM7" s="10">
        <v>16</v>
      </c>
      <c r="AN7" s="10">
        <v>15</v>
      </c>
      <c r="AO7" s="10"/>
      <c r="AP7" s="10">
        <v>175</v>
      </c>
      <c r="AQ7" s="10">
        <v>138</v>
      </c>
      <c r="AR7" s="10"/>
      <c r="AS7" s="10" t="s">
        <v>87</v>
      </c>
      <c r="AT7" s="10">
        <v>313</v>
      </c>
      <c r="AU7" s="10" t="s">
        <v>87</v>
      </c>
      <c r="AV7" s="10"/>
      <c r="AW7" s="10">
        <v>240</v>
      </c>
      <c r="AX7" s="10">
        <v>61</v>
      </c>
      <c r="AY7" s="10"/>
      <c r="AZ7" s="10">
        <v>247</v>
      </c>
      <c r="BA7" s="10">
        <v>65</v>
      </c>
    </row>
    <row r="8" spans="2:53" ht="30" customHeight="1" x14ac:dyDescent="0.35">
      <c r="B8" s="11" t="s">
        <v>19</v>
      </c>
      <c r="C8" s="11">
        <v>319</v>
      </c>
      <c r="D8" s="11">
        <v>150</v>
      </c>
      <c r="E8" s="11">
        <v>168</v>
      </c>
      <c r="F8" s="11"/>
      <c r="G8" s="11">
        <v>2</v>
      </c>
      <c r="H8" s="11">
        <v>84</v>
      </c>
      <c r="I8" s="11">
        <v>162</v>
      </c>
      <c r="J8" s="11">
        <v>55</v>
      </c>
      <c r="K8" s="11">
        <v>13</v>
      </c>
      <c r="L8" s="11">
        <v>2</v>
      </c>
      <c r="M8" s="11"/>
      <c r="N8" s="11">
        <v>75</v>
      </c>
      <c r="O8" s="11">
        <v>95</v>
      </c>
      <c r="P8" s="11">
        <v>59</v>
      </c>
      <c r="Q8" s="11">
        <v>90</v>
      </c>
      <c r="R8" s="11"/>
      <c r="S8" s="11">
        <v>48</v>
      </c>
      <c r="T8" s="11">
        <v>50</v>
      </c>
      <c r="U8" s="11">
        <v>29</v>
      </c>
      <c r="V8" s="11">
        <v>29</v>
      </c>
      <c r="W8" s="11">
        <v>33</v>
      </c>
      <c r="X8" s="11">
        <v>41</v>
      </c>
      <c r="Y8" s="11">
        <v>32</v>
      </c>
      <c r="Z8" s="11">
        <v>8</v>
      </c>
      <c r="AA8" s="11">
        <v>50</v>
      </c>
      <c r="AB8" s="11"/>
      <c r="AC8" s="11">
        <v>49</v>
      </c>
      <c r="AD8" s="11">
        <v>76</v>
      </c>
      <c r="AE8" s="11">
        <v>99</v>
      </c>
      <c r="AF8" s="11">
        <v>63</v>
      </c>
      <c r="AG8" s="11">
        <v>4</v>
      </c>
      <c r="AH8" s="11"/>
      <c r="AI8" s="11">
        <v>125</v>
      </c>
      <c r="AJ8" s="11">
        <v>51</v>
      </c>
      <c r="AK8" s="11">
        <v>21</v>
      </c>
      <c r="AL8" s="11">
        <v>44</v>
      </c>
      <c r="AM8" s="11">
        <v>17</v>
      </c>
      <c r="AN8" s="11">
        <v>17</v>
      </c>
      <c r="AO8" s="11"/>
      <c r="AP8" s="11">
        <v>184</v>
      </c>
      <c r="AQ8" s="11">
        <v>135</v>
      </c>
      <c r="AR8" s="11"/>
      <c r="AS8" s="11" t="s">
        <v>87</v>
      </c>
      <c r="AT8" s="11">
        <v>319</v>
      </c>
      <c r="AU8" s="11" t="s">
        <v>87</v>
      </c>
      <c r="AV8" s="11"/>
      <c r="AW8" s="11">
        <v>257</v>
      </c>
      <c r="AX8" s="11">
        <v>48</v>
      </c>
      <c r="AY8" s="11"/>
      <c r="AZ8" s="11">
        <v>251</v>
      </c>
      <c r="BA8" s="11">
        <v>65</v>
      </c>
    </row>
    <row r="9" spans="2:53" ht="29" x14ac:dyDescent="0.35">
      <c r="B9" s="15" t="s">
        <v>231</v>
      </c>
      <c r="C9" s="14">
        <v>9.0189754978073494E-2</v>
      </c>
      <c r="D9" s="14">
        <v>9.3187635512817696E-2</v>
      </c>
      <c r="E9" s="14">
        <v>8.7514951911115205E-2</v>
      </c>
      <c r="F9" s="14"/>
      <c r="G9" s="14">
        <v>0</v>
      </c>
      <c r="H9" s="14">
        <v>0.12708042361791899</v>
      </c>
      <c r="I9" s="14">
        <v>7.7699983398927697E-2</v>
      </c>
      <c r="J9" s="14">
        <v>9.8277208177341605E-2</v>
      </c>
      <c r="K9" s="14">
        <v>0</v>
      </c>
      <c r="L9" s="14">
        <v>0</v>
      </c>
      <c r="M9" s="14"/>
      <c r="N9" s="14">
        <v>4.2903395061237103E-2</v>
      </c>
      <c r="O9" s="14">
        <v>0.118274375537472</v>
      </c>
      <c r="P9" s="14">
        <v>0.124695359789187</v>
      </c>
      <c r="Q9" s="14">
        <v>7.7579651131397906E-2</v>
      </c>
      <c r="R9" s="14"/>
      <c r="S9" s="14">
        <v>0.101963076252352</v>
      </c>
      <c r="T9" s="14">
        <v>0.101837791719515</v>
      </c>
      <c r="U9" s="14">
        <v>0.257155700984459</v>
      </c>
      <c r="V9" s="14">
        <v>7.55502570100587E-2</v>
      </c>
      <c r="W9" s="14">
        <v>3.7831058989414898E-2</v>
      </c>
      <c r="X9" s="14">
        <v>8.08415890463582E-2</v>
      </c>
      <c r="Y9" s="14">
        <v>6.5554624209167994E-2</v>
      </c>
      <c r="Z9" s="14">
        <v>0</v>
      </c>
      <c r="AA9" s="14">
        <v>5.2029578721401001E-2</v>
      </c>
      <c r="AB9" s="14"/>
      <c r="AC9" s="14">
        <v>7.3421447103598797E-2</v>
      </c>
      <c r="AD9" s="14">
        <v>0.123384077859077</v>
      </c>
      <c r="AE9" s="14">
        <v>5.3804258705359098E-2</v>
      </c>
      <c r="AF9" s="14">
        <v>0.13351486623051301</v>
      </c>
      <c r="AG9" s="14">
        <v>0.23678557089520999</v>
      </c>
      <c r="AH9" s="14"/>
      <c r="AI9" s="14">
        <v>0.109239097626111</v>
      </c>
      <c r="AJ9" s="14">
        <v>8.4384341601566396E-2</v>
      </c>
      <c r="AK9" s="14">
        <v>0.111029968095883</v>
      </c>
      <c r="AL9" s="14">
        <v>3.9814676207453499E-2</v>
      </c>
      <c r="AM9" s="14">
        <v>0</v>
      </c>
      <c r="AN9" s="14">
        <v>0.16908309608942901</v>
      </c>
      <c r="AO9" s="14"/>
      <c r="AP9" s="14">
        <v>0.10143698137584101</v>
      </c>
      <c r="AQ9" s="14">
        <v>7.4789694251109706E-2</v>
      </c>
      <c r="AR9" s="14"/>
      <c r="AS9" s="14" t="s">
        <v>88</v>
      </c>
      <c r="AT9" s="14">
        <v>9.0189754978073494E-2</v>
      </c>
      <c r="AU9" s="14" t="s">
        <v>88</v>
      </c>
      <c r="AV9" s="14"/>
      <c r="AW9" s="14">
        <v>8.6766244583440497E-2</v>
      </c>
      <c r="AX9" s="14">
        <v>0.13644577775675301</v>
      </c>
      <c r="AY9" s="14"/>
      <c r="AZ9" s="14">
        <v>9.2857944198236397E-2</v>
      </c>
      <c r="BA9" s="14">
        <v>8.2997873251823201E-2</v>
      </c>
    </row>
    <row r="10" spans="2:53" ht="29" x14ac:dyDescent="0.35">
      <c r="B10" s="15" t="s">
        <v>232</v>
      </c>
      <c r="C10" s="14">
        <v>0.78130796561536497</v>
      </c>
      <c r="D10" s="14">
        <v>0.77680168202052002</v>
      </c>
      <c r="E10" s="14">
        <v>0.78532861321635605</v>
      </c>
      <c r="F10" s="14"/>
      <c r="G10" s="14">
        <v>1</v>
      </c>
      <c r="H10" s="14">
        <v>0.77773117434856798</v>
      </c>
      <c r="I10" s="14">
        <v>0.77586741433850803</v>
      </c>
      <c r="J10" s="14">
        <v>0.82058772577946604</v>
      </c>
      <c r="K10" s="14">
        <v>0.80796012937884398</v>
      </c>
      <c r="L10" s="14">
        <v>0</v>
      </c>
      <c r="M10" s="14"/>
      <c r="N10" s="14">
        <v>0.81095255682587097</v>
      </c>
      <c r="O10" s="14">
        <v>0.79656971726278603</v>
      </c>
      <c r="P10" s="14">
        <v>0.76436716171173202</v>
      </c>
      <c r="Q10" s="14">
        <v>0.75138542981103695</v>
      </c>
      <c r="R10" s="14"/>
      <c r="S10" s="14">
        <v>0.80910626603341995</v>
      </c>
      <c r="T10" s="14">
        <v>0.80712971978953696</v>
      </c>
      <c r="U10" s="14">
        <v>0.59731693056815705</v>
      </c>
      <c r="V10" s="14">
        <v>0.72872636484124398</v>
      </c>
      <c r="W10" s="14">
        <v>0.80015510246737698</v>
      </c>
      <c r="X10" s="14">
        <v>0.84491228667987806</v>
      </c>
      <c r="Y10" s="14">
        <v>0.83326014502842705</v>
      </c>
      <c r="Z10" s="14">
        <v>0.85799803628098203</v>
      </c>
      <c r="AA10" s="14">
        <v>0.75469108595205203</v>
      </c>
      <c r="AB10" s="14"/>
      <c r="AC10" s="14">
        <v>0.75990756187483399</v>
      </c>
      <c r="AD10" s="14">
        <v>0.78510717037436295</v>
      </c>
      <c r="AE10" s="14">
        <v>0.81978955563206002</v>
      </c>
      <c r="AF10" s="14">
        <v>0.756367565568973</v>
      </c>
      <c r="AG10" s="14">
        <v>0.76321442910478998</v>
      </c>
      <c r="AH10" s="14"/>
      <c r="AI10" s="14">
        <v>0.76668803454843604</v>
      </c>
      <c r="AJ10" s="14">
        <v>0.81199508222245798</v>
      </c>
      <c r="AK10" s="14">
        <v>0.62956371131190003</v>
      </c>
      <c r="AL10" s="14">
        <v>0.82162211671760799</v>
      </c>
      <c r="AM10" s="14">
        <v>0.87498292876341599</v>
      </c>
      <c r="AN10" s="14">
        <v>0.66416110099834902</v>
      </c>
      <c r="AO10" s="14"/>
      <c r="AP10" s="14">
        <v>0.753147736257886</v>
      </c>
      <c r="AQ10" s="14">
        <v>0.81986584885282598</v>
      </c>
      <c r="AR10" s="14"/>
      <c r="AS10" s="14" t="s">
        <v>88</v>
      </c>
      <c r="AT10" s="14">
        <v>0.78130796561536497</v>
      </c>
      <c r="AU10" s="14" t="s">
        <v>88</v>
      </c>
      <c r="AV10" s="14"/>
      <c r="AW10" s="14">
        <v>0.78702021486355001</v>
      </c>
      <c r="AX10" s="14">
        <v>0.74296398824490795</v>
      </c>
      <c r="AY10" s="14"/>
      <c r="AZ10" s="14">
        <v>0.79326444546326902</v>
      </c>
      <c r="BA10" s="14">
        <v>0.762146539038144</v>
      </c>
    </row>
    <row r="11" spans="2:53" ht="29" x14ac:dyDescent="0.35">
      <c r="B11" s="15" t="s">
        <v>233</v>
      </c>
      <c r="C11" s="14">
        <v>8.3348024889772401E-2</v>
      </c>
      <c r="D11" s="14">
        <v>7.2061812248159204E-2</v>
      </c>
      <c r="E11" s="14">
        <v>9.3417937896064202E-2</v>
      </c>
      <c r="F11" s="14"/>
      <c r="G11" s="14">
        <v>0</v>
      </c>
      <c r="H11" s="14">
        <v>7.2049993580062102E-2</v>
      </c>
      <c r="I11" s="14">
        <v>9.6918442771857696E-2</v>
      </c>
      <c r="J11" s="14">
        <v>4.2063260265989701E-2</v>
      </c>
      <c r="K11" s="14">
        <v>0.19203987062115599</v>
      </c>
      <c r="L11" s="14">
        <v>0</v>
      </c>
      <c r="M11" s="14"/>
      <c r="N11" s="14">
        <v>0.107711967300614</v>
      </c>
      <c r="O11" s="14">
        <v>6.0185097921729998E-2</v>
      </c>
      <c r="P11" s="14">
        <v>6.99650219739235E-2</v>
      </c>
      <c r="Q11" s="14">
        <v>9.6151772330215005E-2</v>
      </c>
      <c r="R11" s="14"/>
      <c r="S11" s="14">
        <v>8.8930657714227604E-2</v>
      </c>
      <c r="T11" s="14">
        <v>5.0906073044871498E-2</v>
      </c>
      <c r="U11" s="14">
        <v>0.14552736844738401</v>
      </c>
      <c r="V11" s="14">
        <v>9.5221438658868604E-2</v>
      </c>
      <c r="W11" s="14">
        <v>5.4392733064784503E-2</v>
      </c>
      <c r="X11" s="14">
        <v>7.42461242737638E-2</v>
      </c>
      <c r="Y11" s="14">
        <v>7.3139217013910698E-2</v>
      </c>
      <c r="Z11" s="14">
        <v>0.14200196371901799</v>
      </c>
      <c r="AA11" s="14">
        <v>9.1010931544262597E-2</v>
      </c>
      <c r="AB11" s="14"/>
      <c r="AC11" s="14">
        <v>6.9502897061675104E-2</v>
      </c>
      <c r="AD11" s="14">
        <v>4.9347712210596598E-2</v>
      </c>
      <c r="AE11" s="14">
        <v>8.3936661622209294E-2</v>
      </c>
      <c r="AF11" s="14">
        <v>0.11011756820051399</v>
      </c>
      <c r="AG11" s="14">
        <v>0</v>
      </c>
      <c r="AH11" s="14"/>
      <c r="AI11" s="14">
        <v>9.1425240032833796E-2</v>
      </c>
      <c r="AJ11" s="14">
        <v>8.3984772600606203E-2</v>
      </c>
      <c r="AK11" s="14">
        <v>0.25940632059221702</v>
      </c>
      <c r="AL11" s="14">
        <v>6.2481372281536003E-2</v>
      </c>
      <c r="AM11" s="14">
        <v>5.1750325708826601E-2</v>
      </c>
      <c r="AN11" s="14">
        <v>7.3672583623661594E-2</v>
      </c>
      <c r="AO11" s="14"/>
      <c r="AP11" s="14">
        <v>9.7233104603510895E-2</v>
      </c>
      <c r="AQ11" s="14">
        <v>6.4336131359048407E-2</v>
      </c>
      <c r="AR11" s="14"/>
      <c r="AS11" s="14" t="s">
        <v>88</v>
      </c>
      <c r="AT11" s="14">
        <v>8.3348024889772401E-2</v>
      </c>
      <c r="AU11" s="14" t="s">
        <v>88</v>
      </c>
      <c r="AV11" s="14"/>
      <c r="AW11" s="14">
        <v>7.0109297182484903E-2</v>
      </c>
      <c r="AX11" s="14">
        <v>0.120590233998338</v>
      </c>
      <c r="AY11" s="14"/>
      <c r="AZ11" s="14">
        <v>7.0848501981896198E-2</v>
      </c>
      <c r="BA11" s="14">
        <v>0.13456436114036699</v>
      </c>
    </row>
    <row r="12" spans="2:53" x14ac:dyDescent="0.35">
      <c r="B12" s="15" t="s">
        <v>116</v>
      </c>
      <c r="C12" s="23">
        <v>4.5154254516788998E-2</v>
      </c>
      <c r="D12" s="23">
        <v>5.7948870218503402E-2</v>
      </c>
      <c r="E12" s="23">
        <v>3.3738496976464701E-2</v>
      </c>
      <c r="F12" s="23"/>
      <c r="G12" s="23">
        <v>0</v>
      </c>
      <c r="H12" s="23">
        <v>2.3138408453451598E-2</v>
      </c>
      <c r="I12" s="23">
        <v>4.9514159490706602E-2</v>
      </c>
      <c r="J12" s="23">
        <v>3.9071805777203102E-2</v>
      </c>
      <c r="K12" s="23">
        <v>0</v>
      </c>
      <c r="L12" s="23">
        <v>1</v>
      </c>
      <c r="M12" s="23"/>
      <c r="N12" s="23">
        <v>3.8432080812278398E-2</v>
      </c>
      <c r="O12" s="23">
        <v>2.4970809278011898E-2</v>
      </c>
      <c r="P12" s="23">
        <v>4.09724565251567E-2</v>
      </c>
      <c r="Q12" s="23">
        <v>7.4883146727350594E-2</v>
      </c>
      <c r="R12" s="23"/>
      <c r="S12" s="23">
        <v>0</v>
      </c>
      <c r="T12" s="23">
        <v>4.01264154460763E-2</v>
      </c>
      <c r="U12" s="23">
        <v>0</v>
      </c>
      <c r="V12" s="23">
        <v>0.100501939489829</v>
      </c>
      <c r="W12" s="23">
        <v>0.107621105478424</v>
      </c>
      <c r="X12" s="23">
        <v>0</v>
      </c>
      <c r="Y12" s="23">
        <v>2.8046013748494601E-2</v>
      </c>
      <c r="Z12" s="23">
        <v>0</v>
      </c>
      <c r="AA12" s="23">
        <v>0.10226840378228499</v>
      </c>
      <c r="AB12" s="23"/>
      <c r="AC12" s="23">
        <v>9.7168093959891996E-2</v>
      </c>
      <c r="AD12" s="23">
        <v>4.2161039555964001E-2</v>
      </c>
      <c r="AE12" s="23">
        <v>4.2469524040371097E-2</v>
      </c>
      <c r="AF12" s="23">
        <v>0</v>
      </c>
      <c r="AG12" s="23">
        <v>0</v>
      </c>
      <c r="AH12" s="23"/>
      <c r="AI12" s="23">
        <v>3.26476277926196E-2</v>
      </c>
      <c r="AJ12" s="23">
        <v>1.96358035753692E-2</v>
      </c>
      <c r="AK12" s="23">
        <v>0</v>
      </c>
      <c r="AL12" s="23">
        <v>7.6081834793402497E-2</v>
      </c>
      <c r="AM12" s="23">
        <v>7.3266745527757804E-2</v>
      </c>
      <c r="AN12" s="23">
        <v>9.3083219288560407E-2</v>
      </c>
      <c r="AO12" s="23"/>
      <c r="AP12" s="23">
        <v>4.8182177762762499E-2</v>
      </c>
      <c r="AQ12" s="23">
        <v>4.1008325537015701E-2</v>
      </c>
      <c r="AR12" s="23"/>
      <c r="AS12" s="23" t="s">
        <v>88</v>
      </c>
      <c r="AT12" s="23">
        <v>4.5154254516788998E-2</v>
      </c>
      <c r="AU12" s="23" t="s">
        <v>88</v>
      </c>
      <c r="AV12" s="23"/>
      <c r="AW12" s="23">
        <v>5.6104243370524901E-2</v>
      </c>
      <c r="AX12" s="23">
        <v>0</v>
      </c>
      <c r="AY12" s="23"/>
      <c r="AZ12" s="23">
        <v>4.3029108356598497E-2</v>
      </c>
      <c r="BA12" s="23">
        <v>2.0291226569666702E-2</v>
      </c>
    </row>
    <row r="13" spans="2:53" x14ac:dyDescent="0.35">
      <c r="B13" s="16" t="s">
        <v>328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313</v>
      </c>
      <c r="D7" s="10">
        <v>119</v>
      </c>
      <c r="E7" s="10">
        <v>194</v>
      </c>
      <c r="F7" s="10"/>
      <c r="G7" s="10">
        <v>1</v>
      </c>
      <c r="H7" s="10">
        <v>83</v>
      </c>
      <c r="I7" s="10">
        <v>163</v>
      </c>
      <c r="J7" s="10">
        <v>57</v>
      </c>
      <c r="K7" s="10">
        <v>8</v>
      </c>
      <c r="L7" s="10">
        <v>1</v>
      </c>
      <c r="M7" s="10"/>
      <c r="N7" s="10">
        <v>118</v>
      </c>
      <c r="O7" s="10">
        <v>90</v>
      </c>
      <c r="P7" s="10">
        <v>43</v>
      </c>
      <c r="Q7" s="10">
        <v>62</v>
      </c>
      <c r="R7" s="10"/>
      <c r="S7" s="10">
        <v>57</v>
      </c>
      <c r="T7" s="10">
        <v>47</v>
      </c>
      <c r="U7" s="10">
        <v>24</v>
      </c>
      <c r="V7" s="10">
        <v>23</v>
      </c>
      <c r="W7" s="10">
        <v>30</v>
      </c>
      <c r="X7" s="10">
        <v>40</v>
      </c>
      <c r="Y7" s="10">
        <v>33</v>
      </c>
      <c r="Z7" s="10">
        <v>10</v>
      </c>
      <c r="AA7" s="10">
        <v>49</v>
      </c>
      <c r="AB7" s="10"/>
      <c r="AC7" s="10">
        <v>35</v>
      </c>
      <c r="AD7" s="10">
        <v>70</v>
      </c>
      <c r="AE7" s="10">
        <v>105</v>
      </c>
      <c r="AF7" s="10">
        <v>71</v>
      </c>
      <c r="AG7" s="10">
        <v>7</v>
      </c>
      <c r="AH7" s="10"/>
      <c r="AI7" s="10">
        <v>120</v>
      </c>
      <c r="AJ7" s="10">
        <v>56</v>
      </c>
      <c r="AK7" s="10">
        <v>24</v>
      </c>
      <c r="AL7" s="10">
        <v>44</v>
      </c>
      <c r="AM7" s="10">
        <v>16</v>
      </c>
      <c r="AN7" s="10">
        <v>15</v>
      </c>
      <c r="AO7" s="10"/>
      <c r="AP7" s="10">
        <v>175</v>
      </c>
      <c r="AQ7" s="10">
        <v>138</v>
      </c>
      <c r="AR7" s="10"/>
      <c r="AS7" s="10" t="s">
        <v>87</v>
      </c>
      <c r="AT7" s="10">
        <v>313</v>
      </c>
      <c r="AU7" s="10" t="s">
        <v>87</v>
      </c>
      <c r="AV7" s="10"/>
      <c r="AW7" s="10">
        <v>240</v>
      </c>
      <c r="AX7" s="10">
        <v>61</v>
      </c>
      <c r="AY7" s="10"/>
      <c r="AZ7" s="10">
        <v>247</v>
      </c>
      <c r="BA7" s="10">
        <v>65</v>
      </c>
    </row>
    <row r="8" spans="2:53" ht="30" customHeight="1" x14ac:dyDescent="0.35">
      <c r="B8" s="11" t="s">
        <v>19</v>
      </c>
      <c r="C8" s="11">
        <v>319</v>
      </c>
      <c r="D8" s="11">
        <v>150</v>
      </c>
      <c r="E8" s="11">
        <v>168</v>
      </c>
      <c r="F8" s="11"/>
      <c r="G8" s="11">
        <v>2</v>
      </c>
      <c r="H8" s="11">
        <v>84</v>
      </c>
      <c r="I8" s="11">
        <v>162</v>
      </c>
      <c r="J8" s="11">
        <v>55</v>
      </c>
      <c r="K8" s="11">
        <v>13</v>
      </c>
      <c r="L8" s="11">
        <v>2</v>
      </c>
      <c r="M8" s="11"/>
      <c r="N8" s="11">
        <v>75</v>
      </c>
      <c r="O8" s="11">
        <v>95</v>
      </c>
      <c r="P8" s="11">
        <v>59</v>
      </c>
      <c r="Q8" s="11">
        <v>90</v>
      </c>
      <c r="R8" s="11"/>
      <c r="S8" s="11">
        <v>48</v>
      </c>
      <c r="T8" s="11">
        <v>50</v>
      </c>
      <c r="U8" s="11">
        <v>29</v>
      </c>
      <c r="V8" s="11">
        <v>29</v>
      </c>
      <c r="W8" s="11">
        <v>33</v>
      </c>
      <c r="X8" s="11">
        <v>41</v>
      </c>
      <c r="Y8" s="11">
        <v>32</v>
      </c>
      <c r="Z8" s="11">
        <v>8</v>
      </c>
      <c r="AA8" s="11">
        <v>50</v>
      </c>
      <c r="AB8" s="11"/>
      <c r="AC8" s="11">
        <v>49</v>
      </c>
      <c r="AD8" s="11">
        <v>76</v>
      </c>
      <c r="AE8" s="11">
        <v>99</v>
      </c>
      <c r="AF8" s="11">
        <v>63</v>
      </c>
      <c r="AG8" s="11">
        <v>4</v>
      </c>
      <c r="AH8" s="11"/>
      <c r="AI8" s="11">
        <v>125</v>
      </c>
      <c r="AJ8" s="11">
        <v>51</v>
      </c>
      <c r="AK8" s="11">
        <v>21</v>
      </c>
      <c r="AL8" s="11">
        <v>44</v>
      </c>
      <c r="AM8" s="11">
        <v>17</v>
      </c>
      <c r="AN8" s="11">
        <v>17</v>
      </c>
      <c r="AO8" s="11"/>
      <c r="AP8" s="11">
        <v>184</v>
      </c>
      <c r="AQ8" s="11">
        <v>135</v>
      </c>
      <c r="AR8" s="11"/>
      <c r="AS8" s="11" t="s">
        <v>87</v>
      </c>
      <c r="AT8" s="11">
        <v>319</v>
      </c>
      <c r="AU8" s="11" t="s">
        <v>87</v>
      </c>
      <c r="AV8" s="11"/>
      <c r="AW8" s="11">
        <v>257</v>
      </c>
      <c r="AX8" s="11">
        <v>48</v>
      </c>
      <c r="AY8" s="11"/>
      <c r="AZ8" s="11">
        <v>251</v>
      </c>
      <c r="BA8" s="11">
        <v>65</v>
      </c>
    </row>
    <row r="9" spans="2:53" x14ac:dyDescent="0.35">
      <c r="B9" s="15" t="s">
        <v>235</v>
      </c>
      <c r="C9" s="14">
        <v>0.51828894005125603</v>
      </c>
      <c r="D9" s="14">
        <v>0.50513393369816495</v>
      </c>
      <c r="E9" s="14">
        <v>0.53002624943743804</v>
      </c>
      <c r="F9" s="14"/>
      <c r="G9" s="14">
        <v>0</v>
      </c>
      <c r="H9" s="14">
        <v>0.52971496660953099</v>
      </c>
      <c r="I9" s="14">
        <v>0.53825744181600699</v>
      </c>
      <c r="J9" s="14">
        <v>0.52332661290451299</v>
      </c>
      <c r="K9" s="14">
        <v>0.33979204690646803</v>
      </c>
      <c r="L9" s="14">
        <v>0</v>
      </c>
      <c r="M9" s="14"/>
      <c r="N9" s="14">
        <v>0.61483899856078605</v>
      </c>
      <c r="O9" s="14">
        <v>0.64388574941688603</v>
      </c>
      <c r="P9" s="14">
        <v>0.36215967782537201</v>
      </c>
      <c r="Q9" s="14">
        <v>0.40682716801702301</v>
      </c>
      <c r="R9" s="14"/>
      <c r="S9" s="14">
        <v>0.58178995358369201</v>
      </c>
      <c r="T9" s="14">
        <v>0.61228883318680905</v>
      </c>
      <c r="U9" s="14">
        <v>0.36873519632486301</v>
      </c>
      <c r="V9" s="14">
        <v>0.61315344211982503</v>
      </c>
      <c r="W9" s="14">
        <v>0.37944921518039998</v>
      </c>
      <c r="X9" s="14">
        <v>0.34158816936115399</v>
      </c>
      <c r="Y9" s="14">
        <v>0.59555207443043101</v>
      </c>
      <c r="Z9" s="14">
        <v>0.57863368540048099</v>
      </c>
      <c r="AA9" s="14">
        <v>0.56981741699232802</v>
      </c>
      <c r="AB9" s="14"/>
      <c r="AC9" s="14">
        <v>0.33975972607232602</v>
      </c>
      <c r="AD9" s="14">
        <v>0.46025239601245799</v>
      </c>
      <c r="AE9" s="14">
        <v>0.56879591454485001</v>
      </c>
      <c r="AF9" s="14">
        <v>0.71324495381979103</v>
      </c>
      <c r="AG9" s="14">
        <v>0.360938475225689</v>
      </c>
      <c r="AH9" s="14"/>
      <c r="AI9" s="14">
        <v>0.542948840252784</v>
      </c>
      <c r="AJ9" s="14">
        <v>0.52289748378282297</v>
      </c>
      <c r="AK9" s="14">
        <v>0.61636169098813498</v>
      </c>
      <c r="AL9" s="14">
        <v>0.48943377609761202</v>
      </c>
      <c r="AM9" s="14">
        <v>0.46713452475079698</v>
      </c>
      <c r="AN9" s="14">
        <v>0.49352341412300899</v>
      </c>
      <c r="AO9" s="14"/>
      <c r="AP9" s="14">
        <v>0.49968379908348798</v>
      </c>
      <c r="AQ9" s="14">
        <v>0.54376369183488105</v>
      </c>
      <c r="AR9" s="14"/>
      <c r="AS9" s="14" t="s">
        <v>88</v>
      </c>
      <c r="AT9" s="14">
        <v>0.51828894005125603</v>
      </c>
      <c r="AU9" s="14" t="s">
        <v>88</v>
      </c>
      <c r="AV9" s="14"/>
      <c r="AW9" s="14">
        <v>0.51474113909530705</v>
      </c>
      <c r="AX9" s="14">
        <v>0.55123991862103305</v>
      </c>
      <c r="AY9" s="14"/>
      <c r="AZ9" s="14">
        <v>0.54861611951948097</v>
      </c>
      <c r="BA9" s="14">
        <v>0.41898600279403297</v>
      </c>
    </row>
    <row r="10" spans="2:53" x14ac:dyDescent="0.35">
      <c r="B10" s="15" t="s">
        <v>236</v>
      </c>
      <c r="C10" s="14">
        <v>0.40554987516775598</v>
      </c>
      <c r="D10" s="14">
        <v>0.39206014203073097</v>
      </c>
      <c r="E10" s="14">
        <v>0.417585838292098</v>
      </c>
      <c r="F10" s="14"/>
      <c r="G10" s="14">
        <v>0</v>
      </c>
      <c r="H10" s="14">
        <v>0.41137579953356701</v>
      </c>
      <c r="I10" s="14">
        <v>0.39708467870102798</v>
      </c>
      <c r="J10" s="14">
        <v>0.39409049091968901</v>
      </c>
      <c r="K10" s="14">
        <v>0.66020795309353197</v>
      </c>
      <c r="L10" s="14">
        <v>0</v>
      </c>
      <c r="M10" s="14"/>
      <c r="N10" s="14">
        <v>0.35184438469603102</v>
      </c>
      <c r="O10" s="14">
        <v>0.32253385935114698</v>
      </c>
      <c r="P10" s="14">
        <v>0.48122316170304602</v>
      </c>
      <c r="Q10" s="14">
        <v>0.48878617979125</v>
      </c>
      <c r="R10" s="14"/>
      <c r="S10" s="14">
        <v>0.41407231921658</v>
      </c>
      <c r="T10" s="14">
        <v>0.28305548393455698</v>
      </c>
      <c r="U10" s="14">
        <v>0.57836990142937295</v>
      </c>
      <c r="V10" s="14">
        <v>0.25698397918850202</v>
      </c>
      <c r="W10" s="14">
        <v>0.47827341260244199</v>
      </c>
      <c r="X10" s="14">
        <v>0.55200389396209204</v>
      </c>
      <c r="Y10" s="14">
        <v>0.40444792556956999</v>
      </c>
      <c r="Z10" s="14">
        <v>0.42136631459951901</v>
      </c>
      <c r="AA10" s="14">
        <v>0.33710293081742199</v>
      </c>
      <c r="AB10" s="14"/>
      <c r="AC10" s="14">
        <v>0.53762005466143903</v>
      </c>
      <c r="AD10" s="14">
        <v>0.48789792370306501</v>
      </c>
      <c r="AE10" s="14">
        <v>0.38499122586645401</v>
      </c>
      <c r="AF10" s="14">
        <v>0.25465104266448801</v>
      </c>
      <c r="AG10" s="14">
        <v>0.639061524774311</v>
      </c>
      <c r="AH10" s="14"/>
      <c r="AI10" s="14">
        <v>0.37102971767877402</v>
      </c>
      <c r="AJ10" s="14">
        <v>0.40486068694085903</v>
      </c>
      <c r="AK10" s="14">
        <v>0.31923711329214899</v>
      </c>
      <c r="AL10" s="14">
        <v>0.44801267006801798</v>
      </c>
      <c r="AM10" s="14">
        <v>0.53286547524920302</v>
      </c>
      <c r="AN10" s="14">
        <v>0.244310270499002</v>
      </c>
      <c r="AO10" s="14"/>
      <c r="AP10" s="14">
        <v>0.41190126071454503</v>
      </c>
      <c r="AQ10" s="14">
        <v>0.39685335571827401</v>
      </c>
      <c r="AR10" s="14"/>
      <c r="AS10" s="14" t="s">
        <v>88</v>
      </c>
      <c r="AT10" s="14">
        <v>0.40554987516775598</v>
      </c>
      <c r="AU10" s="14" t="s">
        <v>88</v>
      </c>
      <c r="AV10" s="14"/>
      <c r="AW10" s="14">
        <v>0.40888899081900698</v>
      </c>
      <c r="AX10" s="14">
        <v>0.41056900942024799</v>
      </c>
      <c r="AY10" s="14"/>
      <c r="AZ10" s="14">
        <v>0.37731633508845103</v>
      </c>
      <c r="BA10" s="14">
        <v>0.52876345152455395</v>
      </c>
    </row>
    <row r="11" spans="2:53" x14ac:dyDescent="0.35">
      <c r="B11" s="15" t="s">
        <v>237</v>
      </c>
      <c r="C11" s="14">
        <v>4.8550476738960603E-2</v>
      </c>
      <c r="D11" s="14">
        <v>6.41247122676213E-2</v>
      </c>
      <c r="E11" s="14">
        <v>3.4654655182767002E-2</v>
      </c>
      <c r="F11" s="14"/>
      <c r="G11" s="14">
        <v>0</v>
      </c>
      <c r="H11" s="14">
        <v>3.7207976163703402E-2</v>
      </c>
      <c r="I11" s="14">
        <v>5.5092786506718797E-2</v>
      </c>
      <c r="J11" s="14">
        <v>6.1619929469203298E-2</v>
      </c>
      <c r="K11" s="14">
        <v>0</v>
      </c>
      <c r="L11" s="14">
        <v>0</v>
      </c>
      <c r="M11" s="14"/>
      <c r="N11" s="14">
        <v>3.0688457707043901E-2</v>
      </c>
      <c r="O11" s="14">
        <v>0</v>
      </c>
      <c r="P11" s="14">
        <v>0.13697307513997301</v>
      </c>
      <c r="Q11" s="14">
        <v>5.6876415443422597E-2</v>
      </c>
      <c r="R11" s="14"/>
      <c r="S11" s="14">
        <v>0</v>
      </c>
      <c r="T11" s="14">
        <v>6.4529260996776E-2</v>
      </c>
      <c r="U11" s="14">
        <v>5.2894902245764999E-2</v>
      </c>
      <c r="V11" s="14">
        <v>7.55502570100587E-2</v>
      </c>
      <c r="W11" s="14">
        <v>7.3160165487915596E-2</v>
      </c>
      <c r="X11" s="14">
        <v>0.10640793667675399</v>
      </c>
      <c r="Y11" s="14">
        <v>0</v>
      </c>
      <c r="Z11" s="14">
        <v>0</v>
      </c>
      <c r="AA11" s="14">
        <v>3.7212895006818902E-2</v>
      </c>
      <c r="AB11" s="14"/>
      <c r="AC11" s="14">
        <v>6.6836496342122798E-2</v>
      </c>
      <c r="AD11" s="14">
        <v>4.1147833816253802E-2</v>
      </c>
      <c r="AE11" s="14">
        <v>3.5968781713791802E-2</v>
      </c>
      <c r="AF11" s="14">
        <v>0</v>
      </c>
      <c r="AG11" s="14">
        <v>0</v>
      </c>
      <c r="AH11" s="14"/>
      <c r="AI11" s="14">
        <v>3.8714643226427502E-2</v>
      </c>
      <c r="AJ11" s="14">
        <v>6.8348046591961101E-2</v>
      </c>
      <c r="AK11" s="14">
        <v>6.4401195719715906E-2</v>
      </c>
      <c r="AL11" s="14">
        <v>3.6487434712861103E-2</v>
      </c>
      <c r="AM11" s="14">
        <v>0</v>
      </c>
      <c r="AN11" s="14">
        <v>0.16908309608942901</v>
      </c>
      <c r="AO11" s="14"/>
      <c r="AP11" s="14">
        <v>5.7302939912791603E-2</v>
      </c>
      <c r="AQ11" s="14">
        <v>3.65663253028106E-2</v>
      </c>
      <c r="AR11" s="14"/>
      <c r="AS11" s="14" t="s">
        <v>88</v>
      </c>
      <c r="AT11" s="14">
        <v>4.8550476738960603E-2</v>
      </c>
      <c r="AU11" s="14" t="s">
        <v>88</v>
      </c>
      <c r="AV11" s="14"/>
      <c r="AW11" s="14">
        <v>4.28354612782346E-2</v>
      </c>
      <c r="AX11" s="14">
        <v>3.40270045712074E-2</v>
      </c>
      <c r="AY11" s="14"/>
      <c r="AZ11" s="14">
        <v>4.8028530726416899E-2</v>
      </c>
      <c r="BA11" s="14">
        <v>5.2250545681412297E-2</v>
      </c>
    </row>
    <row r="12" spans="2:53" x14ac:dyDescent="0.35">
      <c r="B12" s="15" t="s">
        <v>238</v>
      </c>
      <c r="C12" s="14">
        <v>0</v>
      </c>
      <c r="D12" s="14">
        <v>0</v>
      </c>
      <c r="E12" s="14">
        <v>0</v>
      </c>
      <c r="F12" s="14"/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/>
      <c r="N12" s="14">
        <v>0</v>
      </c>
      <c r="O12" s="14">
        <v>0</v>
      </c>
      <c r="P12" s="14">
        <v>0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0</v>
      </c>
      <c r="AQ12" s="14">
        <v>0</v>
      </c>
      <c r="AR12" s="14"/>
      <c r="AS12" s="14" t="s">
        <v>88</v>
      </c>
      <c r="AT12" s="14">
        <v>0</v>
      </c>
      <c r="AU12" s="14" t="s">
        <v>88</v>
      </c>
      <c r="AV12" s="14"/>
      <c r="AW12" s="14">
        <v>0</v>
      </c>
      <c r="AX12" s="14">
        <v>0</v>
      </c>
      <c r="AY12" s="14"/>
      <c r="AZ12" s="14">
        <v>0</v>
      </c>
      <c r="BA12" s="14">
        <v>0</v>
      </c>
    </row>
    <row r="13" spans="2:53" x14ac:dyDescent="0.35">
      <c r="B13" s="15" t="s">
        <v>116</v>
      </c>
      <c r="C13" s="23">
        <v>2.7610708042027001E-2</v>
      </c>
      <c r="D13" s="23">
        <v>3.8681212003482297E-2</v>
      </c>
      <c r="E13" s="23">
        <v>1.77332570876979E-2</v>
      </c>
      <c r="F13" s="23"/>
      <c r="G13" s="23">
        <v>1</v>
      </c>
      <c r="H13" s="23">
        <v>2.1701257693198899E-2</v>
      </c>
      <c r="I13" s="23">
        <v>9.5650929762459893E-3</v>
      </c>
      <c r="J13" s="23">
        <v>2.0962966706594099E-2</v>
      </c>
      <c r="K13" s="23">
        <v>0</v>
      </c>
      <c r="L13" s="23">
        <v>1</v>
      </c>
      <c r="M13" s="23"/>
      <c r="N13" s="23">
        <v>2.6281590361383E-3</v>
      </c>
      <c r="O13" s="23">
        <v>3.3580391231967398E-2</v>
      </c>
      <c r="P13" s="23">
        <v>1.9644085331609999E-2</v>
      </c>
      <c r="Q13" s="23">
        <v>4.7510236748305297E-2</v>
      </c>
      <c r="R13" s="23"/>
      <c r="S13" s="23">
        <v>4.13772719972788E-3</v>
      </c>
      <c r="T13" s="23">
        <v>4.01264218818582E-2</v>
      </c>
      <c r="U13" s="23">
        <v>0</v>
      </c>
      <c r="V13" s="23">
        <v>5.4312321681613797E-2</v>
      </c>
      <c r="W13" s="23">
        <v>6.9117206729242694E-2</v>
      </c>
      <c r="X13" s="23">
        <v>0</v>
      </c>
      <c r="Y13" s="23">
        <v>0</v>
      </c>
      <c r="Z13" s="23">
        <v>0</v>
      </c>
      <c r="AA13" s="23">
        <v>5.5866757183430302E-2</v>
      </c>
      <c r="AB13" s="23"/>
      <c r="AC13" s="23">
        <v>5.5783722924112301E-2</v>
      </c>
      <c r="AD13" s="23">
        <v>1.07018464682233E-2</v>
      </c>
      <c r="AE13" s="23">
        <v>1.02440778749044E-2</v>
      </c>
      <c r="AF13" s="23">
        <v>3.2104003515721201E-2</v>
      </c>
      <c r="AG13" s="23">
        <v>0</v>
      </c>
      <c r="AH13" s="23"/>
      <c r="AI13" s="23">
        <v>4.7306798842014101E-2</v>
      </c>
      <c r="AJ13" s="23">
        <v>3.8937826843569601E-3</v>
      </c>
      <c r="AK13" s="23">
        <v>0</v>
      </c>
      <c r="AL13" s="23">
        <v>2.6066119121508701E-2</v>
      </c>
      <c r="AM13" s="23">
        <v>0</v>
      </c>
      <c r="AN13" s="23">
        <v>9.3083219288560407E-2</v>
      </c>
      <c r="AO13" s="23"/>
      <c r="AP13" s="23">
        <v>3.1112000289175702E-2</v>
      </c>
      <c r="AQ13" s="23">
        <v>2.2816627144034301E-2</v>
      </c>
      <c r="AR13" s="23"/>
      <c r="AS13" s="23" t="s">
        <v>88</v>
      </c>
      <c r="AT13" s="23">
        <v>2.7610708042027001E-2</v>
      </c>
      <c r="AU13" s="23" t="s">
        <v>88</v>
      </c>
      <c r="AV13" s="23"/>
      <c r="AW13" s="23">
        <v>3.3534408807451198E-2</v>
      </c>
      <c r="AX13" s="23">
        <v>4.1640673875106698E-3</v>
      </c>
      <c r="AY13" s="23"/>
      <c r="AZ13" s="23">
        <v>2.6039014665650499E-2</v>
      </c>
      <c r="BA13" s="23">
        <v>0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BA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289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313</v>
      </c>
      <c r="D7" s="10">
        <v>119</v>
      </c>
      <c r="E7" s="10">
        <v>194</v>
      </c>
      <c r="F7" s="10"/>
      <c r="G7" s="10">
        <v>1</v>
      </c>
      <c r="H7" s="10">
        <v>83</v>
      </c>
      <c r="I7" s="10">
        <v>163</v>
      </c>
      <c r="J7" s="10">
        <v>57</v>
      </c>
      <c r="K7" s="10">
        <v>8</v>
      </c>
      <c r="L7" s="10">
        <v>1</v>
      </c>
      <c r="M7" s="10"/>
      <c r="N7" s="10">
        <v>118</v>
      </c>
      <c r="O7" s="10">
        <v>90</v>
      </c>
      <c r="P7" s="10">
        <v>43</v>
      </c>
      <c r="Q7" s="10">
        <v>62</v>
      </c>
      <c r="R7" s="10"/>
      <c r="S7" s="10">
        <v>57</v>
      </c>
      <c r="T7" s="10">
        <v>47</v>
      </c>
      <c r="U7" s="10">
        <v>24</v>
      </c>
      <c r="V7" s="10">
        <v>23</v>
      </c>
      <c r="W7" s="10">
        <v>30</v>
      </c>
      <c r="X7" s="10">
        <v>40</v>
      </c>
      <c r="Y7" s="10">
        <v>33</v>
      </c>
      <c r="Z7" s="10">
        <v>10</v>
      </c>
      <c r="AA7" s="10">
        <v>49</v>
      </c>
      <c r="AB7" s="10"/>
      <c r="AC7" s="10">
        <v>35</v>
      </c>
      <c r="AD7" s="10">
        <v>70</v>
      </c>
      <c r="AE7" s="10">
        <v>105</v>
      </c>
      <c r="AF7" s="10">
        <v>71</v>
      </c>
      <c r="AG7" s="10">
        <v>7</v>
      </c>
      <c r="AH7" s="10"/>
      <c r="AI7" s="10">
        <v>120</v>
      </c>
      <c r="AJ7" s="10">
        <v>56</v>
      </c>
      <c r="AK7" s="10">
        <v>24</v>
      </c>
      <c r="AL7" s="10">
        <v>44</v>
      </c>
      <c r="AM7" s="10">
        <v>16</v>
      </c>
      <c r="AN7" s="10">
        <v>15</v>
      </c>
      <c r="AO7" s="10"/>
      <c r="AP7" s="10">
        <v>175</v>
      </c>
      <c r="AQ7" s="10">
        <v>138</v>
      </c>
      <c r="AR7" s="10"/>
      <c r="AS7" s="10" t="s">
        <v>87</v>
      </c>
      <c r="AT7" s="10">
        <v>313</v>
      </c>
      <c r="AU7" s="10" t="s">
        <v>87</v>
      </c>
      <c r="AV7" s="10"/>
      <c r="AW7" s="10">
        <v>240</v>
      </c>
      <c r="AX7" s="10">
        <v>61</v>
      </c>
      <c r="AY7" s="10"/>
      <c r="AZ7" s="10">
        <v>247</v>
      </c>
      <c r="BA7" s="10">
        <v>65</v>
      </c>
    </row>
    <row r="8" spans="2:53" ht="30" customHeight="1" x14ac:dyDescent="0.35">
      <c r="B8" s="11" t="s">
        <v>19</v>
      </c>
      <c r="C8" s="11">
        <v>319</v>
      </c>
      <c r="D8" s="11">
        <v>150</v>
      </c>
      <c r="E8" s="11">
        <v>168</v>
      </c>
      <c r="F8" s="11"/>
      <c r="G8" s="11">
        <v>2</v>
      </c>
      <c r="H8" s="11">
        <v>84</v>
      </c>
      <c r="I8" s="11">
        <v>162</v>
      </c>
      <c r="J8" s="11">
        <v>55</v>
      </c>
      <c r="K8" s="11">
        <v>13</v>
      </c>
      <c r="L8" s="11">
        <v>2</v>
      </c>
      <c r="M8" s="11"/>
      <c r="N8" s="11">
        <v>75</v>
      </c>
      <c r="O8" s="11">
        <v>95</v>
      </c>
      <c r="P8" s="11">
        <v>59</v>
      </c>
      <c r="Q8" s="11">
        <v>90</v>
      </c>
      <c r="R8" s="11"/>
      <c r="S8" s="11">
        <v>48</v>
      </c>
      <c r="T8" s="11">
        <v>50</v>
      </c>
      <c r="U8" s="11">
        <v>29</v>
      </c>
      <c r="V8" s="11">
        <v>29</v>
      </c>
      <c r="W8" s="11">
        <v>33</v>
      </c>
      <c r="X8" s="11">
        <v>41</v>
      </c>
      <c r="Y8" s="11">
        <v>32</v>
      </c>
      <c r="Z8" s="11">
        <v>8</v>
      </c>
      <c r="AA8" s="11">
        <v>50</v>
      </c>
      <c r="AB8" s="11"/>
      <c r="AC8" s="11">
        <v>49</v>
      </c>
      <c r="AD8" s="11">
        <v>76</v>
      </c>
      <c r="AE8" s="11">
        <v>99</v>
      </c>
      <c r="AF8" s="11">
        <v>63</v>
      </c>
      <c r="AG8" s="11">
        <v>4</v>
      </c>
      <c r="AH8" s="11"/>
      <c r="AI8" s="11">
        <v>125</v>
      </c>
      <c r="AJ8" s="11">
        <v>51</v>
      </c>
      <c r="AK8" s="11">
        <v>21</v>
      </c>
      <c r="AL8" s="11">
        <v>44</v>
      </c>
      <c r="AM8" s="11">
        <v>17</v>
      </c>
      <c r="AN8" s="11">
        <v>17</v>
      </c>
      <c r="AO8" s="11"/>
      <c r="AP8" s="11">
        <v>184</v>
      </c>
      <c r="AQ8" s="11">
        <v>135</v>
      </c>
      <c r="AR8" s="11"/>
      <c r="AS8" s="11" t="s">
        <v>87</v>
      </c>
      <c r="AT8" s="11">
        <v>319</v>
      </c>
      <c r="AU8" s="11" t="s">
        <v>87</v>
      </c>
      <c r="AV8" s="11"/>
      <c r="AW8" s="11">
        <v>257</v>
      </c>
      <c r="AX8" s="11">
        <v>48</v>
      </c>
      <c r="AY8" s="11"/>
      <c r="AZ8" s="11">
        <v>251</v>
      </c>
      <c r="BA8" s="11">
        <v>65</v>
      </c>
    </row>
    <row r="9" spans="2:53" x14ac:dyDescent="0.35">
      <c r="B9" s="15" t="s">
        <v>220</v>
      </c>
      <c r="C9" s="14">
        <v>0.34515647701638502</v>
      </c>
      <c r="D9" s="14">
        <v>0.349947606337489</v>
      </c>
      <c r="E9" s="14">
        <v>0.34088168112183298</v>
      </c>
      <c r="F9" s="14"/>
      <c r="G9" s="14">
        <v>0</v>
      </c>
      <c r="H9" s="14">
        <v>0.38894656138447498</v>
      </c>
      <c r="I9" s="14">
        <v>0.366763510356655</v>
      </c>
      <c r="J9" s="14">
        <v>0.242505610786836</v>
      </c>
      <c r="K9" s="14">
        <v>0.33979204690646803</v>
      </c>
      <c r="L9" s="14">
        <v>0</v>
      </c>
      <c r="M9" s="14"/>
      <c r="N9" s="14">
        <v>0.46734635769899202</v>
      </c>
      <c r="O9" s="14">
        <v>0.36322225078213199</v>
      </c>
      <c r="P9" s="14">
        <v>0.18956663052884901</v>
      </c>
      <c r="Q9" s="14">
        <v>0.32549187400990998</v>
      </c>
      <c r="R9" s="14"/>
      <c r="S9" s="14">
        <v>0.32082972060764497</v>
      </c>
      <c r="T9" s="14">
        <v>0.419801038777387</v>
      </c>
      <c r="U9" s="14">
        <v>0.34901443283632799</v>
      </c>
      <c r="V9" s="14">
        <v>0.41012889538964298</v>
      </c>
      <c r="W9" s="14">
        <v>0.41121508585620797</v>
      </c>
      <c r="X9" s="14">
        <v>0.18919407975625499</v>
      </c>
      <c r="Y9" s="14">
        <v>0.40384291418694201</v>
      </c>
      <c r="Z9" s="14">
        <v>0.35632580054891899</v>
      </c>
      <c r="AA9" s="14">
        <v>0.29846237779774198</v>
      </c>
      <c r="AB9" s="14"/>
      <c r="AC9" s="14">
        <v>0.25619842960316502</v>
      </c>
      <c r="AD9" s="14">
        <v>0.22561259434779199</v>
      </c>
      <c r="AE9" s="14">
        <v>0.400312321614962</v>
      </c>
      <c r="AF9" s="14">
        <v>0.51765380873045097</v>
      </c>
      <c r="AG9" s="14">
        <v>0.92623588132973</v>
      </c>
      <c r="AH9" s="14"/>
      <c r="AI9" s="14">
        <v>0.38478834873446699</v>
      </c>
      <c r="AJ9" s="14">
        <v>0.28588957866867698</v>
      </c>
      <c r="AK9" s="14">
        <v>0.45388646348450401</v>
      </c>
      <c r="AL9" s="14">
        <v>0.26485598091170798</v>
      </c>
      <c r="AM9" s="14">
        <v>0.28634087138054598</v>
      </c>
      <c r="AN9" s="14">
        <v>0.60913793296793906</v>
      </c>
      <c r="AO9" s="14"/>
      <c r="AP9" s="14">
        <v>0.37088285440623298</v>
      </c>
      <c r="AQ9" s="14">
        <v>0.30993110143693797</v>
      </c>
      <c r="AR9" s="14"/>
      <c r="AS9" s="14" t="s">
        <v>88</v>
      </c>
      <c r="AT9" s="14">
        <v>0.34515647701638502</v>
      </c>
      <c r="AU9" s="14" t="s">
        <v>88</v>
      </c>
      <c r="AV9" s="14"/>
      <c r="AW9" s="14">
        <v>0.29384223188957698</v>
      </c>
      <c r="AX9" s="14">
        <v>0.60819728857194499</v>
      </c>
      <c r="AY9" s="14"/>
      <c r="AZ9" s="14">
        <v>0.38105596954645599</v>
      </c>
      <c r="BA9" s="14">
        <v>0.218310429527561</v>
      </c>
    </row>
    <row r="10" spans="2:53" x14ac:dyDescent="0.35">
      <c r="B10" s="15" t="s">
        <v>221</v>
      </c>
      <c r="C10" s="14">
        <v>0.46007051382980402</v>
      </c>
      <c r="D10" s="14">
        <v>0.50631446122756696</v>
      </c>
      <c r="E10" s="14">
        <v>0.41881021312928102</v>
      </c>
      <c r="F10" s="14"/>
      <c r="G10" s="14">
        <v>0</v>
      </c>
      <c r="H10" s="14">
        <v>0.47315854664156698</v>
      </c>
      <c r="I10" s="14">
        <v>0.411438197576173</v>
      </c>
      <c r="J10" s="14">
        <v>0.572460632061077</v>
      </c>
      <c r="K10" s="14">
        <v>0.66020795309353197</v>
      </c>
      <c r="L10" s="14">
        <v>0</v>
      </c>
      <c r="M10" s="14"/>
      <c r="N10" s="14">
        <v>0.36952476727150402</v>
      </c>
      <c r="O10" s="14">
        <v>0.49528951330728899</v>
      </c>
      <c r="P10" s="14">
        <v>0.53822447178578803</v>
      </c>
      <c r="Q10" s="14">
        <v>0.44761959619450398</v>
      </c>
      <c r="R10" s="14"/>
      <c r="S10" s="14">
        <v>0.55679059352297899</v>
      </c>
      <c r="T10" s="14">
        <v>0.37960450787160199</v>
      </c>
      <c r="U10" s="14">
        <v>0.39349393248276299</v>
      </c>
      <c r="V10" s="14">
        <v>0.49667033707767699</v>
      </c>
      <c r="W10" s="14">
        <v>0.38604961509192998</v>
      </c>
      <c r="X10" s="14">
        <v>0.53152091560851</v>
      </c>
      <c r="Y10" s="14">
        <v>0.48854893551568102</v>
      </c>
      <c r="Z10" s="14">
        <v>0.51654415725482705</v>
      </c>
      <c r="AA10" s="14">
        <v>0.42796913038242002</v>
      </c>
      <c r="AB10" s="14"/>
      <c r="AC10" s="14">
        <v>0.53236816223406502</v>
      </c>
      <c r="AD10" s="14">
        <v>0.52516447186745396</v>
      </c>
      <c r="AE10" s="14">
        <v>0.44366741976285101</v>
      </c>
      <c r="AF10" s="14">
        <v>0.34832281117890701</v>
      </c>
      <c r="AG10" s="14">
        <v>7.3764118670269996E-2</v>
      </c>
      <c r="AH10" s="14"/>
      <c r="AI10" s="14">
        <v>0.405485243072429</v>
      </c>
      <c r="AJ10" s="14">
        <v>0.56101869910847002</v>
      </c>
      <c r="AK10" s="14">
        <v>0.34658721132612103</v>
      </c>
      <c r="AL10" s="14">
        <v>0.54188147537431797</v>
      </c>
      <c r="AM10" s="14">
        <v>0.65590852036555503</v>
      </c>
      <c r="AN10" s="14">
        <v>0.351260843984254</v>
      </c>
      <c r="AO10" s="14"/>
      <c r="AP10" s="14">
        <v>0.47573881653772998</v>
      </c>
      <c r="AQ10" s="14">
        <v>0.43861697456092302</v>
      </c>
      <c r="AR10" s="14"/>
      <c r="AS10" s="14" t="s">
        <v>88</v>
      </c>
      <c r="AT10" s="14">
        <v>0.46007051382980402</v>
      </c>
      <c r="AU10" s="14" t="s">
        <v>88</v>
      </c>
      <c r="AV10" s="14"/>
      <c r="AW10" s="14">
        <v>0.48380871044405799</v>
      </c>
      <c r="AX10" s="14">
        <v>0.28576931191608002</v>
      </c>
      <c r="AY10" s="14"/>
      <c r="AZ10" s="14">
        <v>0.49415836242948302</v>
      </c>
      <c r="BA10" s="14">
        <v>0.34421019964156901</v>
      </c>
    </row>
    <row r="11" spans="2:53" x14ac:dyDescent="0.35">
      <c r="B11" s="15" t="s">
        <v>222</v>
      </c>
      <c r="C11" s="14">
        <v>0.11721329504193501</v>
      </c>
      <c r="D11" s="14">
        <v>8.4437315865028395E-2</v>
      </c>
      <c r="E11" s="14">
        <v>0.146457051959162</v>
      </c>
      <c r="F11" s="14"/>
      <c r="G11" s="14">
        <v>1</v>
      </c>
      <c r="H11" s="14">
        <v>0.100903307260878</v>
      </c>
      <c r="I11" s="14">
        <v>0.13357401497636201</v>
      </c>
      <c r="J11" s="14">
        <v>9.3731401572322501E-2</v>
      </c>
      <c r="K11" s="14">
        <v>0</v>
      </c>
      <c r="L11" s="14">
        <v>0</v>
      </c>
      <c r="M11" s="14"/>
      <c r="N11" s="14">
        <v>7.1633672093500703E-2</v>
      </c>
      <c r="O11" s="14">
        <v>0.111703786726284</v>
      </c>
      <c r="P11" s="14">
        <v>0.209902140948939</v>
      </c>
      <c r="Q11" s="14">
        <v>0.100517170239232</v>
      </c>
      <c r="R11" s="14"/>
      <c r="S11" s="14">
        <v>5.1787207808169498E-2</v>
      </c>
      <c r="T11" s="14">
        <v>8.2159773432566099E-2</v>
      </c>
      <c r="U11" s="14">
        <v>0.20459674428765601</v>
      </c>
      <c r="V11" s="14">
        <v>9.3200767532679404E-2</v>
      </c>
      <c r="W11" s="14">
        <v>0.123436998476948</v>
      </c>
      <c r="X11" s="14">
        <v>0.18181806637923401</v>
      </c>
      <c r="Y11" s="14">
        <v>7.5709153188639994E-2</v>
      </c>
      <c r="Z11" s="14">
        <v>0.12713004219625401</v>
      </c>
      <c r="AA11" s="14">
        <v>0.14684131528855901</v>
      </c>
      <c r="AB11" s="14"/>
      <c r="AC11" s="14">
        <v>0.126207146907795</v>
      </c>
      <c r="AD11" s="14">
        <v>0.10931232586638399</v>
      </c>
      <c r="AE11" s="14">
        <v>0.111101295883432</v>
      </c>
      <c r="AF11" s="14">
        <v>9.6583490574198294E-2</v>
      </c>
      <c r="AG11" s="14">
        <v>0</v>
      </c>
      <c r="AH11" s="14"/>
      <c r="AI11" s="14">
        <v>0.151299137813143</v>
      </c>
      <c r="AJ11" s="14">
        <v>6.0162097073579598E-2</v>
      </c>
      <c r="AK11" s="14">
        <v>8.46138331258217E-2</v>
      </c>
      <c r="AL11" s="14">
        <v>0.147926066689647</v>
      </c>
      <c r="AM11" s="14">
        <v>0</v>
      </c>
      <c r="AN11" s="14">
        <v>0</v>
      </c>
      <c r="AO11" s="14"/>
      <c r="AP11" s="14">
        <v>0.105192840069145</v>
      </c>
      <c r="AQ11" s="14">
        <v>0.133672084969329</v>
      </c>
      <c r="AR11" s="14"/>
      <c r="AS11" s="14" t="s">
        <v>88</v>
      </c>
      <c r="AT11" s="14">
        <v>0.11721329504193501</v>
      </c>
      <c r="AU11" s="14" t="s">
        <v>88</v>
      </c>
      <c r="AV11" s="14"/>
      <c r="AW11" s="14">
        <v>0.13053749752053001</v>
      </c>
      <c r="AX11" s="14">
        <v>8.1454379391612694E-2</v>
      </c>
      <c r="AY11" s="14"/>
      <c r="AZ11" s="14">
        <v>6.9139477055968193E-2</v>
      </c>
      <c r="BA11" s="14">
        <v>0.307149198927954</v>
      </c>
    </row>
    <row r="12" spans="2:53" x14ac:dyDescent="0.35">
      <c r="B12" s="15" t="s">
        <v>223</v>
      </c>
      <c r="C12" s="14">
        <v>1.8507356696634201E-2</v>
      </c>
      <c r="D12" s="14">
        <v>9.8132091890445802E-3</v>
      </c>
      <c r="E12" s="14">
        <v>2.6264547868320401E-2</v>
      </c>
      <c r="F12" s="14"/>
      <c r="G12" s="14">
        <v>0</v>
      </c>
      <c r="H12" s="14">
        <v>0</v>
      </c>
      <c r="I12" s="14">
        <v>2.61788753525336E-2</v>
      </c>
      <c r="J12" s="14">
        <v>2.9960193195678601E-2</v>
      </c>
      <c r="K12" s="14">
        <v>0</v>
      </c>
      <c r="L12" s="14">
        <v>0</v>
      </c>
      <c r="M12" s="14"/>
      <c r="N12" s="14">
        <v>3.00300103538312E-2</v>
      </c>
      <c r="O12" s="14">
        <v>1.2051718397495199E-2</v>
      </c>
      <c r="P12" s="14">
        <v>2.5851137050178202E-2</v>
      </c>
      <c r="Q12" s="14">
        <v>1.08361561683906E-2</v>
      </c>
      <c r="R12" s="14"/>
      <c r="S12" s="14">
        <v>0</v>
      </c>
      <c r="T12" s="14">
        <v>2.6373735394762E-2</v>
      </c>
      <c r="U12" s="14">
        <v>5.2894890393253298E-2</v>
      </c>
      <c r="V12" s="14">
        <v>0</v>
      </c>
      <c r="W12" s="14">
        <v>1.01810938456712E-2</v>
      </c>
      <c r="X12" s="14">
        <v>5.2070108011847901E-2</v>
      </c>
      <c r="Y12" s="14">
        <v>0</v>
      </c>
      <c r="Z12" s="14">
        <v>0</v>
      </c>
      <c r="AA12" s="14">
        <v>1.2229386998046999E-2</v>
      </c>
      <c r="AB12" s="14"/>
      <c r="AC12" s="14">
        <v>2.0025797215328201E-2</v>
      </c>
      <c r="AD12" s="14">
        <v>4.2921350891651999E-2</v>
      </c>
      <c r="AE12" s="14">
        <v>1.6682218255266099E-2</v>
      </c>
      <c r="AF12" s="14">
        <v>0</v>
      </c>
      <c r="AG12" s="14">
        <v>0</v>
      </c>
      <c r="AH12" s="14"/>
      <c r="AI12" s="14">
        <v>4.8995874529320802E-3</v>
      </c>
      <c r="AJ12" s="14">
        <v>5.2387088708285103E-2</v>
      </c>
      <c r="AK12" s="14">
        <v>3.2200597859857898E-2</v>
      </c>
      <c r="AL12" s="14">
        <v>0</v>
      </c>
      <c r="AM12" s="14">
        <v>0</v>
      </c>
      <c r="AN12" s="14">
        <v>3.9601223047807901E-2</v>
      </c>
      <c r="AO12" s="14"/>
      <c r="AP12" s="14">
        <v>0</v>
      </c>
      <c r="AQ12" s="14">
        <v>4.3848219140757802E-2</v>
      </c>
      <c r="AR12" s="14"/>
      <c r="AS12" s="14" t="s">
        <v>88</v>
      </c>
      <c r="AT12" s="14">
        <v>1.8507356696634201E-2</v>
      </c>
      <c r="AU12" s="14" t="s">
        <v>88</v>
      </c>
      <c r="AV12" s="14"/>
      <c r="AW12" s="14">
        <v>2.2995424359558501E-2</v>
      </c>
      <c r="AX12" s="14">
        <v>0</v>
      </c>
      <c r="AY12" s="14"/>
      <c r="AZ12" s="14">
        <v>9.9157367722437807E-3</v>
      </c>
      <c r="BA12" s="14">
        <v>5.2367621421155398E-2</v>
      </c>
    </row>
    <row r="13" spans="2:53" x14ac:dyDescent="0.35">
      <c r="B13" s="15" t="s">
        <v>116</v>
      </c>
      <c r="C13" s="18">
        <v>1.7110275768931201E-2</v>
      </c>
      <c r="D13" s="18">
        <v>1.49910889234023E-2</v>
      </c>
      <c r="E13" s="18">
        <v>1.90010807587177E-2</v>
      </c>
      <c r="F13" s="18"/>
      <c r="G13" s="18">
        <v>0</v>
      </c>
      <c r="H13" s="18">
        <v>9.6771570060141306E-3</v>
      </c>
      <c r="I13" s="18">
        <v>0</v>
      </c>
      <c r="J13" s="18">
        <v>4.3233323313475999E-2</v>
      </c>
      <c r="K13" s="18">
        <v>0</v>
      </c>
      <c r="L13" s="18">
        <v>1</v>
      </c>
      <c r="M13" s="18"/>
      <c r="N13" s="18">
        <v>0</v>
      </c>
      <c r="O13" s="18">
        <v>8.6095819539554995E-3</v>
      </c>
      <c r="P13" s="18">
        <v>1.9644085331609999E-2</v>
      </c>
      <c r="Q13" s="18">
        <v>3.8807591426400001E-2</v>
      </c>
      <c r="R13" s="18"/>
      <c r="S13" s="18">
        <v>0</v>
      </c>
      <c r="T13" s="18">
        <v>2.4532338609760201E-2</v>
      </c>
      <c r="U13" s="18">
        <v>0</v>
      </c>
      <c r="V13" s="18">
        <v>0</v>
      </c>
      <c r="W13" s="18">
        <v>6.9117206729242694E-2</v>
      </c>
      <c r="X13" s="18">
        <v>0</v>
      </c>
      <c r="Y13" s="18">
        <v>0</v>
      </c>
      <c r="Z13" s="18">
        <v>0</v>
      </c>
      <c r="AA13" s="18">
        <v>3.9511236488934898E-2</v>
      </c>
      <c r="AB13" s="18"/>
      <c r="AC13" s="18">
        <v>2.3816093003866098E-2</v>
      </c>
      <c r="AD13" s="18">
        <v>2.6798182222566198E-2</v>
      </c>
      <c r="AE13" s="18">
        <v>0</v>
      </c>
      <c r="AF13" s="18">
        <v>0</v>
      </c>
      <c r="AG13" s="18">
        <v>0</v>
      </c>
      <c r="AH13" s="18"/>
      <c r="AI13" s="18">
        <v>2.4633598235984801E-2</v>
      </c>
      <c r="AJ13" s="18">
        <v>0</v>
      </c>
      <c r="AK13" s="18">
        <v>0</v>
      </c>
      <c r="AL13" s="18">
        <v>2.6066119121508701E-2</v>
      </c>
      <c r="AM13" s="18">
        <v>0</v>
      </c>
      <c r="AN13" s="18">
        <v>0</v>
      </c>
      <c r="AO13" s="18"/>
      <c r="AP13" s="18">
        <v>1.2942719097636699E-2</v>
      </c>
      <c r="AQ13" s="18">
        <v>2.2816627144034301E-2</v>
      </c>
      <c r="AR13" s="18"/>
      <c r="AS13" s="18" t="s">
        <v>88</v>
      </c>
      <c r="AT13" s="18">
        <v>1.7110275768931201E-2</v>
      </c>
      <c r="AU13" s="18" t="s">
        <v>88</v>
      </c>
      <c r="AV13" s="18"/>
      <c r="AW13" s="18">
        <v>2.1259548765664701E-2</v>
      </c>
      <c r="AX13" s="18">
        <v>0</v>
      </c>
      <c r="AY13" s="18"/>
      <c r="AZ13" s="18">
        <v>7.8446225450846205E-3</v>
      </c>
      <c r="BA13" s="18">
        <v>1.8884122316478701E-2</v>
      </c>
    </row>
    <row r="14" spans="2:53" x14ac:dyDescent="0.35">
      <c r="B14" s="26" t="s">
        <v>224</v>
      </c>
      <c r="C14" s="27">
        <v>0.80522699084618998</v>
      </c>
      <c r="D14" s="27">
        <v>0.85626206756505596</v>
      </c>
      <c r="E14" s="27">
        <v>0.75969189425111405</v>
      </c>
      <c r="F14" s="27"/>
      <c r="G14" s="27">
        <v>0</v>
      </c>
      <c r="H14" s="27">
        <v>0.86210510802604201</v>
      </c>
      <c r="I14" s="27">
        <v>0.77820170793282795</v>
      </c>
      <c r="J14" s="27">
        <v>0.81496624284791397</v>
      </c>
      <c r="K14" s="27">
        <v>1</v>
      </c>
      <c r="L14" s="27">
        <v>0</v>
      </c>
      <c r="M14" s="27"/>
      <c r="N14" s="27">
        <v>0.83687112497049598</v>
      </c>
      <c r="O14" s="27">
        <v>0.85851176408942198</v>
      </c>
      <c r="P14" s="27">
        <v>0.72779110231463695</v>
      </c>
      <c r="Q14" s="27">
        <v>0.77311147020441395</v>
      </c>
      <c r="R14" s="27"/>
      <c r="S14" s="27">
        <v>0.87762031413062402</v>
      </c>
      <c r="T14" s="27">
        <v>0.799405546648989</v>
      </c>
      <c r="U14" s="27">
        <v>0.74250836531909103</v>
      </c>
      <c r="V14" s="27">
        <v>0.90679923246732097</v>
      </c>
      <c r="W14" s="27">
        <v>0.79726470094813795</v>
      </c>
      <c r="X14" s="27">
        <v>0.72071499536476502</v>
      </c>
      <c r="Y14" s="27">
        <v>0.89239184970262297</v>
      </c>
      <c r="Z14" s="27">
        <v>0.87286995780374599</v>
      </c>
      <c r="AA14" s="27">
        <v>0.726431508180162</v>
      </c>
      <c r="AB14" s="27"/>
      <c r="AC14" s="27">
        <v>0.78856659183723099</v>
      </c>
      <c r="AD14" s="27">
        <v>0.75077706621524498</v>
      </c>
      <c r="AE14" s="27">
        <v>0.84397974137781295</v>
      </c>
      <c r="AF14" s="27">
        <v>0.86597661990935904</v>
      </c>
      <c r="AG14" s="27">
        <v>1</v>
      </c>
      <c r="AH14" s="27"/>
      <c r="AI14" s="27">
        <v>0.79027359180689505</v>
      </c>
      <c r="AJ14" s="27">
        <v>0.84690827777714806</v>
      </c>
      <c r="AK14" s="27">
        <v>0.80047367481062404</v>
      </c>
      <c r="AL14" s="27">
        <v>0.806737456286025</v>
      </c>
      <c r="AM14" s="27">
        <v>0.94224939174610101</v>
      </c>
      <c r="AN14" s="27">
        <v>0.960398776952192</v>
      </c>
      <c r="AO14" s="27"/>
      <c r="AP14" s="27">
        <v>0.84662167094396301</v>
      </c>
      <c r="AQ14" s="27">
        <v>0.74854807599786</v>
      </c>
      <c r="AR14" s="27"/>
      <c r="AS14" s="27" t="s">
        <v>88</v>
      </c>
      <c r="AT14" s="27">
        <v>0.80522699084618998</v>
      </c>
      <c r="AU14" s="27" t="s">
        <v>88</v>
      </c>
      <c r="AV14" s="27"/>
      <c r="AW14" s="27">
        <v>0.77765094233363496</v>
      </c>
      <c r="AX14" s="27">
        <v>0.89396660048802601</v>
      </c>
      <c r="AY14" s="27"/>
      <c r="AZ14" s="27">
        <v>0.87521433197593901</v>
      </c>
      <c r="BA14" s="27">
        <v>0.56252062916913004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BA16"/>
  <sheetViews>
    <sheetView showGridLines="0" workbookViewId="0">
      <pane xSplit="2" topLeftCell="C1" activePane="topRight" state="frozen"/>
      <selection pane="topRight" activeCell="B9" sqref="B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383</v>
      </c>
      <c r="D7" s="10">
        <v>141</v>
      </c>
      <c r="E7" s="10">
        <v>242</v>
      </c>
      <c r="F7" s="10"/>
      <c r="G7" s="10">
        <v>1</v>
      </c>
      <c r="H7" s="10">
        <v>103</v>
      </c>
      <c r="I7" s="10">
        <v>197</v>
      </c>
      <c r="J7" s="10">
        <v>70</v>
      </c>
      <c r="K7" s="10">
        <v>10</v>
      </c>
      <c r="L7" s="10">
        <v>2</v>
      </c>
      <c r="M7" s="10"/>
      <c r="N7" s="10">
        <v>138</v>
      </c>
      <c r="O7" s="10">
        <v>111</v>
      </c>
      <c r="P7" s="10">
        <v>55</v>
      </c>
      <c r="Q7" s="10">
        <v>78</v>
      </c>
      <c r="R7" s="10"/>
      <c r="S7" s="10">
        <v>69</v>
      </c>
      <c r="T7" s="10">
        <v>61</v>
      </c>
      <c r="U7" s="10">
        <v>28</v>
      </c>
      <c r="V7" s="10">
        <v>26</v>
      </c>
      <c r="W7" s="10">
        <v>35</v>
      </c>
      <c r="X7" s="10">
        <v>49</v>
      </c>
      <c r="Y7" s="10">
        <v>42</v>
      </c>
      <c r="Z7" s="10">
        <v>16</v>
      </c>
      <c r="AA7" s="10">
        <v>57</v>
      </c>
      <c r="AB7" s="10"/>
      <c r="AC7" s="10">
        <v>46</v>
      </c>
      <c r="AD7" s="10">
        <v>81</v>
      </c>
      <c r="AE7" s="10">
        <v>122</v>
      </c>
      <c r="AF7" s="10">
        <v>82</v>
      </c>
      <c r="AG7" s="10">
        <v>9</v>
      </c>
      <c r="AH7" s="10"/>
      <c r="AI7" s="10">
        <v>138</v>
      </c>
      <c r="AJ7" s="10">
        <v>73</v>
      </c>
      <c r="AK7" s="10">
        <v>29</v>
      </c>
      <c r="AL7" s="10">
        <v>53</v>
      </c>
      <c r="AM7" s="10">
        <v>20</v>
      </c>
      <c r="AN7" s="10">
        <v>27</v>
      </c>
      <c r="AO7" s="10"/>
      <c r="AP7" s="10">
        <v>209</v>
      </c>
      <c r="AQ7" s="10">
        <v>174</v>
      </c>
      <c r="AR7" s="10"/>
      <c r="AS7" s="10" t="s">
        <v>87</v>
      </c>
      <c r="AT7" s="10">
        <v>383</v>
      </c>
      <c r="AU7" s="10" t="s">
        <v>87</v>
      </c>
      <c r="AV7" s="10"/>
      <c r="AW7" s="10">
        <v>294</v>
      </c>
      <c r="AX7" s="10">
        <v>72</v>
      </c>
      <c r="AY7" s="10"/>
      <c r="AZ7" s="10">
        <v>295</v>
      </c>
      <c r="BA7" s="10">
        <v>85</v>
      </c>
    </row>
    <row r="8" spans="2:53" ht="30" customHeight="1" x14ac:dyDescent="0.35">
      <c r="B8" s="11" t="s">
        <v>19</v>
      </c>
      <c r="C8" s="11">
        <v>390</v>
      </c>
      <c r="D8" s="11">
        <v>177</v>
      </c>
      <c r="E8" s="11">
        <v>213</v>
      </c>
      <c r="F8" s="11"/>
      <c r="G8" s="11">
        <v>2</v>
      </c>
      <c r="H8" s="11">
        <v>104</v>
      </c>
      <c r="I8" s="11">
        <v>198</v>
      </c>
      <c r="J8" s="11">
        <v>69</v>
      </c>
      <c r="K8" s="11">
        <v>14</v>
      </c>
      <c r="L8" s="11">
        <v>3</v>
      </c>
      <c r="M8" s="11"/>
      <c r="N8" s="11">
        <v>88</v>
      </c>
      <c r="O8" s="11">
        <v>116</v>
      </c>
      <c r="P8" s="11">
        <v>75</v>
      </c>
      <c r="Q8" s="11">
        <v>111</v>
      </c>
      <c r="R8" s="11"/>
      <c r="S8" s="11">
        <v>59</v>
      </c>
      <c r="T8" s="11">
        <v>65</v>
      </c>
      <c r="U8" s="11">
        <v>34</v>
      </c>
      <c r="V8" s="11">
        <v>32</v>
      </c>
      <c r="W8" s="11">
        <v>37</v>
      </c>
      <c r="X8" s="11">
        <v>49</v>
      </c>
      <c r="Y8" s="11">
        <v>40</v>
      </c>
      <c r="Z8" s="11">
        <v>15</v>
      </c>
      <c r="AA8" s="11">
        <v>58</v>
      </c>
      <c r="AB8" s="11"/>
      <c r="AC8" s="11">
        <v>63</v>
      </c>
      <c r="AD8" s="11">
        <v>88</v>
      </c>
      <c r="AE8" s="11">
        <v>114</v>
      </c>
      <c r="AF8" s="11">
        <v>72</v>
      </c>
      <c r="AG8" s="11">
        <v>4</v>
      </c>
      <c r="AH8" s="11"/>
      <c r="AI8" s="11">
        <v>144</v>
      </c>
      <c r="AJ8" s="11">
        <v>70</v>
      </c>
      <c r="AK8" s="11">
        <v>27</v>
      </c>
      <c r="AL8" s="11">
        <v>52</v>
      </c>
      <c r="AM8" s="11">
        <v>21</v>
      </c>
      <c r="AN8" s="11">
        <v>27</v>
      </c>
      <c r="AO8" s="11"/>
      <c r="AP8" s="11">
        <v>222</v>
      </c>
      <c r="AQ8" s="11">
        <v>168</v>
      </c>
      <c r="AR8" s="11"/>
      <c r="AS8" s="11" t="s">
        <v>87</v>
      </c>
      <c r="AT8" s="11">
        <v>390</v>
      </c>
      <c r="AU8" s="11" t="s">
        <v>87</v>
      </c>
      <c r="AV8" s="11"/>
      <c r="AW8" s="11">
        <v>311</v>
      </c>
      <c r="AX8" s="11">
        <v>58</v>
      </c>
      <c r="AY8" s="11"/>
      <c r="AZ8" s="11">
        <v>299</v>
      </c>
      <c r="BA8" s="11">
        <v>87</v>
      </c>
    </row>
    <row r="9" spans="2:53" x14ac:dyDescent="0.35">
      <c r="B9" s="15" t="s">
        <v>154</v>
      </c>
      <c r="C9" s="14">
        <v>0.73007881525770701</v>
      </c>
      <c r="D9" s="14">
        <v>0.76268709645924404</v>
      </c>
      <c r="E9" s="14">
        <v>0.70294304371354399</v>
      </c>
      <c r="F9" s="14"/>
      <c r="G9" s="14">
        <v>1</v>
      </c>
      <c r="H9" s="14">
        <v>0.65946595094170901</v>
      </c>
      <c r="I9" s="14">
        <v>0.74337270607815398</v>
      </c>
      <c r="J9" s="14">
        <v>0.77100092069506498</v>
      </c>
      <c r="K9" s="14">
        <v>1</v>
      </c>
      <c r="L9" s="14">
        <v>0</v>
      </c>
      <c r="M9" s="14"/>
      <c r="N9" s="14">
        <v>0.79267591229114098</v>
      </c>
      <c r="O9" s="14">
        <v>0.80621182392565605</v>
      </c>
      <c r="P9" s="14">
        <v>0.64500457336069394</v>
      </c>
      <c r="Q9" s="14">
        <v>0.66500972229720201</v>
      </c>
      <c r="R9" s="14"/>
      <c r="S9" s="14">
        <v>0.784918460474052</v>
      </c>
      <c r="T9" s="14">
        <v>0.68969722303647496</v>
      </c>
      <c r="U9" s="14">
        <v>0.71294005946225003</v>
      </c>
      <c r="V9" s="14">
        <v>0.82437608669620299</v>
      </c>
      <c r="W9" s="14">
        <v>0.69652048668758504</v>
      </c>
      <c r="X9" s="14">
        <v>0.67872554572521004</v>
      </c>
      <c r="Y9" s="14">
        <v>0.81763759526834401</v>
      </c>
      <c r="Z9" s="14">
        <v>0.465910873993793</v>
      </c>
      <c r="AA9" s="14">
        <v>0.74954192208891701</v>
      </c>
      <c r="AB9" s="14"/>
      <c r="AC9" s="14">
        <v>0.58576065629649399</v>
      </c>
      <c r="AD9" s="14">
        <v>0.71168281708808101</v>
      </c>
      <c r="AE9" s="14">
        <v>0.79238711665986095</v>
      </c>
      <c r="AF9" s="14">
        <v>0.87398803330338704</v>
      </c>
      <c r="AG9" s="14">
        <v>0.88268980845103995</v>
      </c>
      <c r="AH9" s="14"/>
      <c r="AI9" s="14">
        <v>0.78047024934434905</v>
      </c>
      <c r="AJ9" s="14">
        <v>0.70357227093885899</v>
      </c>
      <c r="AK9" s="14">
        <v>0.73200598682680096</v>
      </c>
      <c r="AL9" s="14">
        <v>0.65939359332364</v>
      </c>
      <c r="AM9" s="14">
        <v>0.73613861398829805</v>
      </c>
      <c r="AN9" s="14">
        <v>0.75168813019816505</v>
      </c>
      <c r="AO9" s="14"/>
      <c r="AP9" s="14">
        <v>0.77578586122243298</v>
      </c>
      <c r="AQ9" s="14">
        <v>0.66957355061879698</v>
      </c>
      <c r="AR9" s="14"/>
      <c r="AS9" s="14" t="s">
        <v>88</v>
      </c>
      <c r="AT9" s="14">
        <v>0.73007881525770701</v>
      </c>
      <c r="AU9" s="14" t="s">
        <v>88</v>
      </c>
      <c r="AV9" s="14"/>
      <c r="AW9" s="14">
        <v>0.71590290950546098</v>
      </c>
      <c r="AX9" s="14">
        <v>0.84807593733057196</v>
      </c>
      <c r="AY9" s="14"/>
      <c r="AZ9" s="14">
        <v>0.75916203500411095</v>
      </c>
      <c r="BA9" s="14">
        <v>0.66939065565725697</v>
      </c>
    </row>
    <row r="10" spans="2:53" x14ac:dyDescent="0.35">
      <c r="B10" s="15" t="s">
        <v>155</v>
      </c>
      <c r="C10" s="14">
        <v>0.14216001024796601</v>
      </c>
      <c r="D10" s="14">
        <v>9.9511057874336104E-2</v>
      </c>
      <c r="E10" s="14">
        <v>0.177651369668473</v>
      </c>
      <c r="F10" s="14"/>
      <c r="G10" s="14">
        <v>0</v>
      </c>
      <c r="H10" s="14">
        <v>0.19056544956493099</v>
      </c>
      <c r="I10" s="14">
        <v>0.136791861986515</v>
      </c>
      <c r="J10" s="14">
        <v>0.107955204149766</v>
      </c>
      <c r="K10" s="14">
        <v>0</v>
      </c>
      <c r="L10" s="14">
        <v>0.34819201228478702</v>
      </c>
      <c r="M10" s="14"/>
      <c r="N10" s="14">
        <v>9.3579253556472203E-2</v>
      </c>
      <c r="O10" s="14">
        <v>0.126296820131864</v>
      </c>
      <c r="P10" s="14">
        <v>0.20043507279429201</v>
      </c>
      <c r="Q10" s="14">
        <v>0.15025322029178301</v>
      </c>
      <c r="R10" s="14"/>
      <c r="S10" s="14">
        <v>0.13126460080573299</v>
      </c>
      <c r="T10" s="14">
        <v>0.24037767188339099</v>
      </c>
      <c r="U10" s="14">
        <v>0.12986236083639899</v>
      </c>
      <c r="V10" s="14">
        <v>4.1466747014112897E-2</v>
      </c>
      <c r="W10" s="14">
        <v>0.124315915109196</v>
      </c>
      <c r="X10" s="14">
        <v>0.14684141874081499</v>
      </c>
      <c r="Y10" s="14">
        <v>0.12773005976214599</v>
      </c>
      <c r="Z10" s="14">
        <v>0.170801456536159</v>
      </c>
      <c r="AA10" s="14">
        <v>0.115775390100067</v>
      </c>
      <c r="AB10" s="14"/>
      <c r="AC10" s="14">
        <v>0.18323720591658399</v>
      </c>
      <c r="AD10" s="14">
        <v>0.137467051499545</v>
      </c>
      <c r="AE10" s="14">
        <v>0.14083067642213901</v>
      </c>
      <c r="AF10" s="14">
        <v>6.3971348760217206E-2</v>
      </c>
      <c r="AG10" s="14">
        <v>0</v>
      </c>
      <c r="AH10" s="14"/>
      <c r="AI10" s="14">
        <v>0.14191393526135901</v>
      </c>
      <c r="AJ10" s="14">
        <v>0.16240652872164901</v>
      </c>
      <c r="AK10" s="14">
        <v>0.17865374205750401</v>
      </c>
      <c r="AL10" s="14">
        <v>0.170851949976978</v>
      </c>
      <c r="AM10" s="14">
        <v>5.8160450603666598E-2</v>
      </c>
      <c r="AN10" s="14">
        <v>7.91678848634563E-2</v>
      </c>
      <c r="AO10" s="14"/>
      <c r="AP10" s="14">
        <v>0.151878971638262</v>
      </c>
      <c r="AQ10" s="14">
        <v>0.129294415490672</v>
      </c>
      <c r="AR10" s="14"/>
      <c r="AS10" s="14" t="s">
        <v>88</v>
      </c>
      <c r="AT10" s="14">
        <v>0.14216001024796601</v>
      </c>
      <c r="AU10" s="14" t="s">
        <v>88</v>
      </c>
      <c r="AV10" s="14"/>
      <c r="AW10" s="14">
        <v>0.143715648848039</v>
      </c>
      <c r="AX10" s="14">
        <v>0.109705803482832</v>
      </c>
      <c r="AY10" s="14"/>
      <c r="AZ10" s="14">
        <v>0.13551252139752201</v>
      </c>
      <c r="BA10" s="14">
        <v>0.17260703693016</v>
      </c>
    </row>
    <row r="11" spans="2:53" x14ac:dyDescent="0.35">
      <c r="B11" s="26" t="s">
        <v>116</v>
      </c>
      <c r="C11" s="23">
        <v>0.127761174494327</v>
      </c>
      <c r="D11" s="23">
        <v>0.13780184566642001</v>
      </c>
      <c r="E11" s="23">
        <v>0.11940558661798301</v>
      </c>
      <c r="F11" s="23"/>
      <c r="G11" s="23">
        <v>0</v>
      </c>
      <c r="H11" s="23">
        <v>0.149968599493361</v>
      </c>
      <c r="I11" s="23">
        <v>0.119835431935331</v>
      </c>
      <c r="J11" s="23">
        <v>0.121043875155169</v>
      </c>
      <c r="K11" s="23">
        <v>0</v>
      </c>
      <c r="L11" s="23">
        <v>0.65180798771521298</v>
      </c>
      <c r="M11" s="23"/>
      <c r="N11" s="23">
        <v>0.11374483415238699</v>
      </c>
      <c r="O11" s="23">
        <v>6.7491355942480097E-2</v>
      </c>
      <c r="P11" s="23">
        <v>0.15456035384501399</v>
      </c>
      <c r="Q11" s="23">
        <v>0.18473705741101501</v>
      </c>
      <c r="R11" s="23"/>
      <c r="S11" s="23">
        <v>8.3816938720215103E-2</v>
      </c>
      <c r="T11" s="23">
        <v>6.9925105080134206E-2</v>
      </c>
      <c r="U11" s="23">
        <v>0.15719757970135101</v>
      </c>
      <c r="V11" s="23">
        <v>0.13415716628968399</v>
      </c>
      <c r="W11" s="23">
        <v>0.179163598203219</v>
      </c>
      <c r="X11" s="23">
        <v>0.17443303553397499</v>
      </c>
      <c r="Y11" s="23">
        <v>5.4632344969509701E-2</v>
      </c>
      <c r="Z11" s="23">
        <v>0.36328766947004798</v>
      </c>
      <c r="AA11" s="23">
        <v>0.134682687811016</v>
      </c>
      <c r="AB11" s="23"/>
      <c r="AC11" s="23">
        <v>0.231002137786922</v>
      </c>
      <c r="AD11" s="23">
        <v>0.15085013141237399</v>
      </c>
      <c r="AE11" s="23">
        <v>6.6782206918000006E-2</v>
      </c>
      <c r="AF11" s="23">
        <v>6.2040617936396203E-2</v>
      </c>
      <c r="AG11" s="23">
        <v>0.11731019154896</v>
      </c>
      <c r="AH11" s="23"/>
      <c r="AI11" s="23">
        <v>7.7615815394291798E-2</v>
      </c>
      <c r="AJ11" s="23">
        <v>0.134021200339492</v>
      </c>
      <c r="AK11" s="23">
        <v>8.9340271115694606E-2</v>
      </c>
      <c r="AL11" s="23">
        <v>0.169754456699381</v>
      </c>
      <c r="AM11" s="23">
        <v>0.205700935408035</v>
      </c>
      <c r="AN11" s="23">
        <v>0.16914398493837801</v>
      </c>
      <c r="AO11" s="23"/>
      <c r="AP11" s="23">
        <v>7.2335167139304907E-2</v>
      </c>
      <c r="AQ11" s="23">
        <v>0.20113203389053</v>
      </c>
      <c r="AR11" s="23"/>
      <c r="AS11" s="23" t="s">
        <v>88</v>
      </c>
      <c r="AT11" s="23">
        <v>0.127761174494327</v>
      </c>
      <c r="AU11" s="23" t="s">
        <v>88</v>
      </c>
      <c r="AV11" s="23"/>
      <c r="AW11" s="23">
        <v>0.14038144164649999</v>
      </c>
      <c r="AX11" s="23">
        <v>4.2218259186595303E-2</v>
      </c>
      <c r="AY11" s="23"/>
      <c r="AZ11" s="23">
        <v>0.105325443598367</v>
      </c>
      <c r="BA11" s="23">
        <v>0.158002307412583</v>
      </c>
    </row>
    <row r="12" spans="2:53" x14ac:dyDescent="0.35">
      <c r="B12" s="25" t="s">
        <v>320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BA18"/>
  <sheetViews>
    <sheetView showGridLines="0" topLeftCell="A6" workbookViewId="0">
      <pane xSplit="2" topLeftCell="C1" activePane="topRight" state="frozen"/>
      <selection pane="topRight" activeCell="B11" sqref="B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286</v>
      </c>
      <c r="D7" s="10">
        <v>110</v>
      </c>
      <c r="E7" s="10">
        <v>176</v>
      </c>
      <c r="F7" s="10"/>
      <c r="G7" s="10">
        <v>1</v>
      </c>
      <c r="H7" s="10">
        <v>72</v>
      </c>
      <c r="I7" s="10">
        <v>147</v>
      </c>
      <c r="J7" s="10">
        <v>56</v>
      </c>
      <c r="K7" s="10">
        <v>10</v>
      </c>
      <c r="L7" s="10" t="s">
        <v>87</v>
      </c>
      <c r="M7" s="10"/>
      <c r="N7" s="10">
        <v>110</v>
      </c>
      <c r="O7" s="10">
        <v>88</v>
      </c>
      <c r="P7" s="10">
        <v>36</v>
      </c>
      <c r="Q7" s="10">
        <v>52</v>
      </c>
      <c r="R7" s="10"/>
      <c r="S7" s="10">
        <v>56</v>
      </c>
      <c r="T7" s="10">
        <v>45</v>
      </c>
      <c r="U7" s="10">
        <v>20</v>
      </c>
      <c r="V7" s="10">
        <v>22</v>
      </c>
      <c r="W7" s="10">
        <v>27</v>
      </c>
      <c r="X7" s="10">
        <v>32</v>
      </c>
      <c r="Y7" s="10">
        <v>33</v>
      </c>
      <c r="Z7" s="10">
        <v>8</v>
      </c>
      <c r="AA7" s="10">
        <v>43</v>
      </c>
      <c r="AB7" s="10"/>
      <c r="AC7" s="10">
        <v>27</v>
      </c>
      <c r="AD7" s="10">
        <v>57</v>
      </c>
      <c r="AE7" s="10">
        <v>100</v>
      </c>
      <c r="AF7" s="10">
        <v>70</v>
      </c>
      <c r="AG7" s="10">
        <v>8</v>
      </c>
      <c r="AH7" s="10"/>
      <c r="AI7" s="10">
        <v>111</v>
      </c>
      <c r="AJ7" s="10">
        <v>55</v>
      </c>
      <c r="AK7" s="10">
        <v>22</v>
      </c>
      <c r="AL7" s="10">
        <v>35</v>
      </c>
      <c r="AM7" s="10">
        <v>15</v>
      </c>
      <c r="AN7" s="10">
        <v>20</v>
      </c>
      <c r="AO7" s="10"/>
      <c r="AP7" s="10">
        <v>164</v>
      </c>
      <c r="AQ7" s="10">
        <v>122</v>
      </c>
      <c r="AR7" s="10"/>
      <c r="AS7" s="10" t="s">
        <v>87</v>
      </c>
      <c r="AT7" s="10">
        <v>286</v>
      </c>
      <c r="AU7" s="10" t="s">
        <v>87</v>
      </c>
      <c r="AV7" s="10"/>
      <c r="AW7" s="10">
        <v>213</v>
      </c>
      <c r="AX7" s="10">
        <v>62</v>
      </c>
      <c r="AY7" s="10"/>
      <c r="AZ7" s="10">
        <v>228</v>
      </c>
      <c r="BA7" s="10">
        <v>58</v>
      </c>
    </row>
    <row r="8" spans="2:53" ht="30" customHeight="1" x14ac:dyDescent="0.35">
      <c r="B8" s="11" t="s">
        <v>19</v>
      </c>
      <c r="C8" s="11">
        <v>285</v>
      </c>
      <c r="D8" s="11">
        <v>135</v>
      </c>
      <c r="E8" s="11">
        <v>150</v>
      </c>
      <c r="F8" s="11"/>
      <c r="G8" s="11">
        <v>2</v>
      </c>
      <c r="H8" s="11">
        <v>68</v>
      </c>
      <c r="I8" s="11">
        <v>147</v>
      </c>
      <c r="J8" s="11">
        <v>53</v>
      </c>
      <c r="K8" s="11">
        <v>14</v>
      </c>
      <c r="L8" s="11" t="s">
        <v>87</v>
      </c>
      <c r="M8" s="11"/>
      <c r="N8" s="11">
        <v>69</v>
      </c>
      <c r="O8" s="11">
        <v>93</v>
      </c>
      <c r="P8" s="11">
        <v>48</v>
      </c>
      <c r="Q8" s="11">
        <v>74</v>
      </c>
      <c r="R8" s="11"/>
      <c r="S8" s="11">
        <v>47</v>
      </c>
      <c r="T8" s="11">
        <v>45</v>
      </c>
      <c r="U8" s="11">
        <v>24</v>
      </c>
      <c r="V8" s="11">
        <v>27</v>
      </c>
      <c r="W8" s="11">
        <v>26</v>
      </c>
      <c r="X8" s="11">
        <v>34</v>
      </c>
      <c r="Y8" s="11">
        <v>33</v>
      </c>
      <c r="Z8" s="11">
        <v>7</v>
      </c>
      <c r="AA8" s="11">
        <v>43</v>
      </c>
      <c r="AB8" s="11"/>
      <c r="AC8" s="11">
        <v>37</v>
      </c>
      <c r="AD8" s="11">
        <v>62</v>
      </c>
      <c r="AE8" s="11">
        <v>91</v>
      </c>
      <c r="AF8" s="11">
        <v>63</v>
      </c>
      <c r="AG8" s="11">
        <v>4</v>
      </c>
      <c r="AH8" s="11"/>
      <c r="AI8" s="11">
        <v>113</v>
      </c>
      <c r="AJ8" s="11">
        <v>49</v>
      </c>
      <c r="AK8" s="11">
        <v>20</v>
      </c>
      <c r="AL8" s="11">
        <v>35</v>
      </c>
      <c r="AM8" s="11">
        <v>15</v>
      </c>
      <c r="AN8" s="11">
        <v>20</v>
      </c>
      <c r="AO8" s="11"/>
      <c r="AP8" s="11">
        <v>172</v>
      </c>
      <c r="AQ8" s="11">
        <v>112</v>
      </c>
      <c r="AR8" s="11"/>
      <c r="AS8" s="11" t="s">
        <v>87</v>
      </c>
      <c r="AT8" s="11">
        <v>285</v>
      </c>
      <c r="AU8" s="11" t="s">
        <v>87</v>
      </c>
      <c r="AV8" s="11"/>
      <c r="AW8" s="11">
        <v>223</v>
      </c>
      <c r="AX8" s="11">
        <v>49</v>
      </c>
      <c r="AY8" s="11"/>
      <c r="AZ8" s="11">
        <v>227</v>
      </c>
      <c r="BA8" s="11">
        <v>58</v>
      </c>
    </row>
    <row r="9" spans="2:53" x14ac:dyDescent="0.35">
      <c r="B9" s="15" t="s">
        <v>214</v>
      </c>
      <c r="C9" s="14">
        <v>0.158963828499388</v>
      </c>
      <c r="D9" s="14">
        <v>0.17295790117894999</v>
      </c>
      <c r="E9" s="14">
        <v>0.146328554819736</v>
      </c>
      <c r="F9" s="14"/>
      <c r="G9" s="14">
        <v>1</v>
      </c>
      <c r="H9" s="14">
        <v>0.23356884055367599</v>
      </c>
      <c r="I9" s="14">
        <v>0.15182270486474</v>
      </c>
      <c r="J9" s="14">
        <v>6.8658280999556898E-2</v>
      </c>
      <c r="K9" s="14">
        <v>9.2137950727161397E-2</v>
      </c>
      <c r="L9" s="14" t="s">
        <v>88</v>
      </c>
      <c r="M9" s="14"/>
      <c r="N9" s="14">
        <v>0.17206146311790699</v>
      </c>
      <c r="O9" s="14">
        <v>0.170752496201315</v>
      </c>
      <c r="P9" s="14">
        <v>0.10941713218212901</v>
      </c>
      <c r="Q9" s="14">
        <v>0.16408399738311999</v>
      </c>
      <c r="R9" s="14"/>
      <c r="S9" s="14">
        <v>0.19545350995605801</v>
      </c>
      <c r="T9" s="14">
        <v>0.20249100570415501</v>
      </c>
      <c r="U9" s="14">
        <v>0.12681595129515699</v>
      </c>
      <c r="V9" s="14">
        <v>0.13413534717770401</v>
      </c>
      <c r="W9" s="14">
        <v>0.142794577148045</v>
      </c>
      <c r="X9" s="14">
        <v>0.111299422697502</v>
      </c>
      <c r="Y9" s="14">
        <v>0.18462293996564999</v>
      </c>
      <c r="Z9" s="14">
        <v>0.45692471927817702</v>
      </c>
      <c r="AA9" s="14">
        <v>8.7375905996635403E-2</v>
      </c>
      <c r="AB9" s="14"/>
      <c r="AC9" s="14">
        <v>9.9231575089473903E-2</v>
      </c>
      <c r="AD9" s="14">
        <v>5.9571406108728298E-2</v>
      </c>
      <c r="AE9" s="14">
        <v>0.14244442532523099</v>
      </c>
      <c r="AF9" s="14">
        <v>0.25923150960604302</v>
      </c>
      <c r="AG9" s="14">
        <v>0.31489635428224999</v>
      </c>
      <c r="AH9" s="14"/>
      <c r="AI9" s="14">
        <v>0.207616540963864</v>
      </c>
      <c r="AJ9" s="14">
        <v>7.8679703162688797E-2</v>
      </c>
      <c r="AK9" s="14">
        <v>0.32961175535242598</v>
      </c>
      <c r="AL9" s="14">
        <v>0.14913961913330101</v>
      </c>
      <c r="AM9" s="14">
        <v>5.7356774786267599E-2</v>
      </c>
      <c r="AN9" s="14">
        <v>0.16258199740233001</v>
      </c>
      <c r="AO9" s="14"/>
      <c r="AP9" s="14">
        <v>0.15570810888848699</v>
      </c>
      <c r="AQ9" s="14">
        <v>0.16395727701910601</v>
      </c>
      <c r="AR9" s="14"/>
      <c r="AS9" s="14" t="s">
        <v>88</v>
      </c>
      <c r="AT9" s="14">
        <v>0.158963828499388</v>
      </c>
      <c r="AU9" s="14" t="s">
        <v>88</v>
      </c>
      <c r="AV9" s="14"/>
      <c r="AW9" s="14">
        <v>0.15932518813042701</v>
      </c>
      <c r="AX9" s="14">
        <v>0.16464339367574099</v>
      </c>
      <c r="AY9" s="14"/>
      <c r="AZ9" s="14">
        <v>0.172648597269832</v>
      </c>
      <c r="BA9" s="14">
        <v>0.10568097871068299</v>
      </c>
    </row>
    <row r="10" spans="2:53" x14ac:dyDescent="0.35">
      <c r="B10" s="15" t="s">
        <v>215</v>
      </c>
      <c r="C10" s="14">
        <v>0.58046536483266498</v>
      </c>
      <c r="D10" s="14">
        <v>0.60794056609175695</v>
      </c>
      <c r="E10" s="14">
        <v>0.55565795563440001</v>
      </c>
      <c r="F10" s="14"/>
      <c r="G10" s="14">
        <v>0</v>
      </c>
      <c r="H10" s="14">
        <v>0.48226088942601603</v>
      </c>
      <c r="I10" s="14">
        <v>0.60051792611852595</v>
      </c>
      <c r="J10" s="14">
        <v>0.62945850213941801</v>
      </c>
      <c r="K10" s="14">
        <v>0.74347305765793303</v>
      </c>
      <c r="L10" s="14" t="s">
        <v>88</v>
      </c>
      <c r="M10" s="14"/>
      <c r="N10" s="14">
        <v>0.61238524452557697</v>
      </c>
      <c r="O10" s="14">
        <v>0.57597463074196398</v>
      </c>
      <c r="P10" s="14">
        <v>0.62615349846569801</v>
      </c>
      <c r="Q10" s="14">
        <v>0.52635719518183199</v>
      </c>
      <c r="R10" s="14"/>
      <c r="S10" s="14">
        <v>0.701503084842237</v>
      </c>
      <c r="T10" s="14">
        <v>0.49641910841222803</v>
      </c>
      <c r="U10" s="14">
        <v>0.81866897816404705</v>
      </c>
      <c r="V10" s="14">
        <v>0.43045261179606897</v>
      </c>
      <c r="W10" s="14">
        <v>0.61648099969063697</v>
      </c>
      <c r="X10" s="14">
        <v>0.56114513240330999</v>
      </c>
      <c r="Y10" s="14">
        <v>0.53055687852328504</v>
      </c>
      <c r="Z10" s="14">
        <v>0.19625517178594301</v>
      </c>
      <c r="AA10" s="14">
        <v>0.59003098464655501</v>
      </c>
      <c r="AB10" s="14"/>
      <c r="AC10" s="14">
        <v>0.60980832352393499</v>
      </c>
      <c r="AD10" s="14">
        <v>0.62386748395423997</v>
      </c>
      <c r="AE10" s="14">
        <v>0.53076002073588502</v>
      </c>
      <c r="AF10" s="14">
        <v>0.60724090269623099</v>
      </c>
      <c r="AG10" s="14">
        <v>0.37354614694819899</v>
      </c>
      <c r="AH10" s="14"/>
      <c r="AI10" s="14">
        <v>0.59242904410527497</v>
      </c>
      <c r="AJ10" s="14">
        <v>0.66137898471910495</v>
      </c>
      <c r="AK10" s="14">
        <v>0.417314955677206</v>
      </c>
      <c r="AL10" s="14">
        <v>0.63064149624440102</v>
      </c>
      <c r="AM10" s="14">
        <v>0.42213301912613599</v>
      </c>
      <c r="AN10" s="14">
        <v>0.65993923437023505</v>
      </c>
      <c r="AO10" s="14"/>
      <c r="AP10" s="14">
        <v>0.57470513012458602</v>
      </c>
      <c r="AQ10" s="14">
        <v>0.58930010458727</v>
      </c>
      <c r="AR10" s="14"/>
      <c r="AS10" s="14" t="s">
        <v>88</v>
      </c>
      <c r="AT10" s="14">
        <v>0.58046536483266498</v>
      </c>
      <c r="AU10" s="14" t="s">
        <v>88</v>
      </c>
      <c r="AV10" s="14"/>
      <c r="AW10" s="14">
        <v>0.55719040361204097</v>
      </c>
      <c r="AX10" s="14">
        <v>0.66254853520051404</v>
      </c>
      <c r="AY10" s="14"/>
      <c r="AZ10" s="14">
        <v>0.58518550938948999</v>
      </c>
      <c r="BA10" s="14">
        <v>0.56208706720695201</v>
      </c>
    </row>
    <row r="11" spans="2:53" x14ac:dyDescent="0.35">
      <c r="B11" s="15" t="s">
        <v>216</v>
      </c>
      <c r="C11" s="14">
        <v>0.117330335173119</v>
      </c>
      <c r="D11" s="14">
        <v>0.13710148837997899</v>
      </c>
      <c r="E11" s="14">
        <v>9.94789249760097E-2</v>
      </c>
      <c r="F11" s="14"/>
      <c r="G11" s="14">
        <v>0</v>
      </c>
      <c r="H11" s="14">
        <v>9.849334165128E-2</v>
      </c>
      <c r="I11" s="14">
        <v>0.131158725685494</v>
      </c>
      <c r="J11" s="14">
        <v>0.117606917011447</v>
      </c>
      <c r="K11" s="14">
        <v>8.0135625468646401E-2</v>
      </c>
      <c r="L11" s="14" t="s">
        <v>88</v>
      </c>
      <c r="M11" s="14"/>
      <c r="N11" s="14">
        <v>0.12438368419229499</v>
      </c>
      <c r="O11" s="14">
        <v>0.157062719605637</v>
      </c>
      <c r="P11" s="14">
        <v>5.9502750266580799E-2</v>
      </c>
      <c r="Q11" s="14">
        <v>9.8210516453543104E-2</v>
      </c>
      <c r="R11" s="14"/>
      <c r="S11" s="14">
        <v>5.3276380921986201E-2</v>
      </c>
      <c r="T11" s="14">
        <v>0.145335774236658</v>
      </c>
      <c r="U11" s="14">
        <v>0</v>
      </c>
      <c r="V11" s="14">
        <v>0.16564743397902801</v>
      </c>
      <c r="W11" s="14">
        <v>0.143884489088141</v>
      </c>
      <c r="X11" s="14">
        <v>0.17132375030878</v>
      </c>
      <c r="Y11" s="14">
        <v>0.113748293150325</v>
      </c>
      <c r="Z11" s="14">
        <v>8.1974224080893707E-2</v>
      </c>
      <c r="AA11" s="14">
        <v>0.14346659782176799</v>
      </c>
      <c r="AB11" s="14"/>
      <c r="AC11" s="14">
        <v>0.12797762553740799</v>
      </c>
      <c r="AD11" s="14">
        <v>0.118558635960464</v>
      </c>
      <c r="AE11" s="14">
        <v>0.17739206240625399</v>
      </c>
      <c r="AF11" s="14">
        <v>5.8797778639613801E-2</v>
      </c>
      <c r="AG11" s="14">
        <v>5.1609511836743997E-2</v>
      </c>
      <c r="AH11" s="14"/>
      <c r="AI11" s="14">
        <v>0.10284647266557</v>
      </c>
      <c r="AJ11" s="14">
        <v>7.9128298362660998E-2</v>
      </c>
      <c r="AK11" s="14">
        <v>0.16612922813689199</v>
      </c>
      <c r="AL11" s="14">
        <v>0.152169236018355</v>
      </c>
      <c r="AM11" s="14">
        <v>5.28273442018607E-2</v>
      </c>
      <c r="AN11" s="14">
        <v>6.1111291164951398E-2</v>
      </c>
      <c r="AO11" s="14"/>
      <c r="AP11" s="14">
        <v>0.12537356763313601</v>
      </c>
      <c r="AQ11" s="14">
        <v>0.104994055633956</v>
      </c>
      <c r="AR11" s="14"/>
      <c r="AS11" s="14" t="s">
        <v>88</v>
      </c>
      <c r="AT11" s="14">
        <v>0.117330335173119</v>
      </c>
      <c r="AU11" s="14" t="s">
        <v>88</v>
      </c>
      <c r="AV11" s="14"/>
      <c r="AW11" s="14">
        <v>0.115218362809818</v>
      </c>
      <c r="AX11" s="14">
        <v>0.12702227506445399</v>
      </c>
      <c r="AY11" s="14"/>
      <c r="AZ11" s="14">
        <v>0.116339910507263</v>
      </c>
      <c r="BA11" s="14">
        <v>0.12118664064550801</v>
      </c>
    </row>
    <row r="12" spans="2:53" x14ac:dyDescent="0.35">
      <c r="B12" s="15" t="s">
        <v>217</v>
      </c>
      <c r="C12" s="14">
        <v>3.7841945633689401E-2</v>
      </c>
      <c r="D12" s="14">
        <v>1.1762111885963201E-2</v>
      </c>
      <c r="E12" s="14">
        <v>6.1389474967563799E-2</v>
      </c>
      <c r="F12" s="14"/>
      <c r="G12" s="14">
        <v>0</v>
      </c>
      <c r="H12" s="14">
        <v>3.4287035054030898E-2</v>
      </c>
      <c r="I12" s="14">
        <v>4.1989039223129701E-2</v>
      </c>
      <c r="J12" s="14">
        <v>4.2515245448654801E-2</v>
      </c>
      <c r="K12" s="14">
        <v>0</v>
      </c>
      <c r="L12" s="14" t="s">
        <v>88</v>
      </c>
      <c r="M12" s="14"/>
      <c r="N12" s="14">
        <v>3.2074084344598498E-2</v>
      </c>
      <c r="O12" s="14">
        <v>2.16635141737841E-2</v>
      </c>
      <c r="P12" s="14">
        <v>0</v>
      </c>
      <c r="Q12" s="14">
        <v>8.8393707785235198E-2</v>
      </c>
      <c r="R12" s="14"/>
      <c r="S12" s="14">
        <v>2.88978767876805E-2</v>
      </c>
      <c r="T12" s="14">
        <v>4.18084619071281E-2</v>
      </c>
      <c r="U12" s="14">
        <v>5.4515070540795102E-2</v>
      </c>
      <c r="V12" s="14">
        <v>3.5528806958033399E-2</v>
      </c>
      <c r="W12" s="14">
        <v>4.7993178577488201E-2</v>
      </c>
      <c r="X12" s="14">
        <v>5.2168894011057398E-2</v>
      </c>
      <c r="Y12" s="14">
        <v>1.6817640891234699E-2</v>
      </c>
      <c r="Z12" s="14">
        <v>0</v>
      </c>
      <c r="AA12" s="14">
        <v>4.01987241635599E-2</v>
      </c>
      <c r="AB12" s="14"/>
      <c r="AC12" s="14">
        <v>2.9107000794163701E-2</v>
      </c>
      <c r="AD12" s="14">
        <v>5.4522791953602399E-2</v>
      </c>
      <c r="AE12" s="14">
        <v>3.28661620070759E-2</v>
      </c>
      <c r="AF12" s="14">
        <v>3.77012387888431E-2</v>
      </c>
      <c r="AG12" s="14">
        <v>0</v>
      </c>
      <c r="AH12" s="14"/>
      <c r="AI12" s="14">
        <v>1.19217856087053E-2</v>
      </c>
      <c r="AJ12" s="14">
        <v>0.131797356785786</v>
      </c>
      <c r="AK12" s="14">
        <v>0</v>
      </c>
      <c r="AL12" s="14">
        <v>7.1195965922217098E-3</v>
      </c>
      <c r="AM12" s="14">
        <v>9.6917896866990302E-2</v>
      </c>
      <c r="AN12" s="14">
        <v>0</v>
      </c>
      <c r="AO12" s="14"/>
      <c r="AP12" s="14">
        <v>2.5419857186757901E-2</v>
      </c>
      <c r="AQ12" s="14">
        <v>5.6894280165024201E-2</v>
      </c>
      <c r="AR12" s="14"/>
      <c r="AS12" s="14" t="s">
        <v>88</v>
      </c>
      <c r="AT12" s="14">
        <v>3.7841945633689401E-2</v>
      </c>
      <c r="AU12" s="14" t="s">
        <v>88</v>
      </c>
      <c r="AV12" s="14"/>
      <c r="AW12" s="14">
        <v>4.4890987183237599E-2</v>
      </c>
      <c r="AX12" s="14">
        <v>1.5582688320547799E-2</v>
      </c>
      <c r="AY12" s="14"/>
      <c r="AZ12" s="14">
        <v>3.6619027920091703E-2</v>
      </c>
      <c r="BA12" s="14">
        <v>4.2603483218329199E-2</v>
      </c>
    </row>
    <row r="13" spans="2:53" x14ac:dyDescent="0.35">
      <c r="B13" s="26" t="s">
        <v>116</v>
      </c>
      <c r="C13" s="23">
        <v>6.7180769696487397E-2</v>
      </c>
      <c r="D13" s="23">
        <v>6.0453957909775903E-2</v>
      </c>
      <c r="E13" s="23">
        <v>7.3254420295768896E-2</v>
      </c>
      <c r="F13" s="23"/>
      <c r="G13" s="23">
        <v>0</v>
      </c>
      <c r="H13" s="23">
        <v>8.0304105849612797E-2</v>
      </c>
      <c r="I13" s="23">
        <v>4.7573889042341097E-2</v>
      </c>
      <c r="J13" s="23">
        <v>0.102796536805887</v>
      </c>
      <c r="K13" s="23">
        <v>8.4253366146259404E-2</v>
      </c>
      <c r="L13" s="23" t="s">
        <v>88</v>
      </c>
      <c r="M13" s="23"/>
      <c r="N13" s="23">
        <v>1.4389705861672999E-2</v>
      </c>
      <c r="O13" s="23">
        <v>6.5093144604214906E-2</v>
      </c>
      <c r="P13" s="23">
        <v>0.13495891845594599</v>
      </c>
      <c r="Q13" s="23">
        <v>7.5186519933468504E-2</v>
      </c>
      <c r="R13" s="23"/>
      <c r="S13" s="23">
        <v>0</v>
      </c>
      <c r="T13" s="23">
        <v>6.4024673509568003E-2</v>
      </c>
      <c r="U13" s="23">
        <v>0</v>
      </c>
      <c r="V13" s="23">
        <v>0.18393504678686701</v>
      </c>
      <c r="W13" s="23">
        <v>4.8846755495689703E-2</v>
      </c>
      <c r="X13" s="23">
        <v>5.8990229226616002E-2</v>
      </c>
      <c r="Y13" s="23">
        <v>9.1124018044160704E-2</v>
      </c>
      <c r="Z13" s="23">
        <v>0.264845884854986</v>
      </c>
      <c r="AA13" s="23">
        <v>7.5742037675220295E-2</v>
      </c>
      <c r="AB13" s="23"/>
      <c r="AC13" s="23">
        <v>0.119721928096406</v>
      </c>
      <c r="AD13" s="23">
        <v>7.2840574095548602E-2</v>
      </c>
      <c r="AE13" s="23">
        <v>8.7825522652500806E-2</v>
      </c>
      <c r="AF13" s="23">
        <v>0</v>
      </c>
      <c r="AG13" s="23">
        <v>0</v>
      </c>
      <c r="AH13" s="23"/>
      <c r="AI13" s="23">
        <v>4.6891925010921397E-2</v>
      </c>
      <c r="AJ13" s="23">
        <v>3.83623100215583E-2</v>
      </c>
      <c r="AK13" s="23">
        <v>0</v>
      </c>
      <c r="AL13" s="23">
        <v>6.0930052011721601E-2</v>
      </c>
      <c r="AM13" s="23">
        <v>0.30675785808716699</v>
      </c>
      <c r="AN13" s="23">
        <v>4.93587772782191E-2</v>
      </c>
      <c r="AO13" s="23"/>
      <c r="AP13" s="23">
        <v>6.8176177835217094E-2</v>
      </c>
      <c r="AQ13" s="23">
        <v>6.5654065959405497E-2</v>
      </c>
      <c r="AR13" s="23"/>
      <c r="AS13" s="23" t="s">
        <v>88</v>
      </c>
      <c r="AT13" s="23">
        <v>6.7180769696487397E-2</v>
      </c>
      <c r="AU13" s="23" t="s">
        <v>88</v>
      </c>
      <c r="AV13" s="23"/>
      <c r="AW13" s="23">
        <v>8.5829011480298104E-2</v>
      </c>
      <c r="AX13" s="23">
        <v>0</v>
      </c>
      <c r="AY13" s="23"/>
      <c r="AZ13" s="23">
        <v>4.8456119182491798E-2</v>
      </c>
      <c r="BA13" s="23">
        <v>0.14008684194507801</v>
      </c>
    </row>
    <row r="14" spans="2:53" x14ac:dyDescent="0.35">
      <c r="B14" s="25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BA19"/>
  <sheetViews>
    <sheetView showGridLines="0" workbookViewId="0">
      <pane xSplit="2" topLeftCell="C1" activePane="topRight" state="frozen"/>
      <selection pane="topRight" activeCell="E16" sqref="E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286</v>
      </c>
      <c r="D7" s="10">
        <v>110</v>
      </c>
      <c r="E7" s="10">
        <v>176</v>
      </c>
      <c r="F7" s="10"/>
      <c r="G7" s="10">
        <v>1</v>
      </c>
      <c r="H7" s="10">
        <v>72</v>
      </c>
      <c r="I7" s="10">
        <v>147</v>
      </c>
      <c r="J7" s="10">
        <v>56</v>
      </c>
      <c r="K7" s="10">
        <v>10</v>
      </c>
      <c r="L7" s="10" t="s">
        <v>87</v>
      </c>
      <c r="M7" s="10"/>
      <c r="N7" s="10">
        <v>110</v>
      </c>
      <c r="O7" s="10">
        <v>88</v>
      </c>
      <c r="P7" s="10">
        <v>36</v>
      </c>
      <c r="Q7" s="10">
        <v>52</v>
      </c>
      <c r="R7" s="10"/>
      <c r="S7" s="10">
        <v>56</v>
      </c>
      <c r="T7" s="10">
        <v>45</v>
      </c>
      <c r="U7" s="10">
        <v>20</v>
      </c>
      <c r="V7" s="10">
        <v>22</v>
      </c>
      <c r="W7" s="10">
        <v>27</v>
      </c>
      <c r="X7" s="10">
        <v>32</v>
      </c>
      <c r="Y7" s="10">
        <v>33</v>
      </c>
      <c r="Z7" s="10">
        <v>8</v>
      </c>
      <c r="AA7" s="10">
        <v>43</v>
      </c>
      <c r="AB7" s="10"/>
      <c r="AC7" s="10">
        <v>27</v>
      </c>
      <c r="AD7" s="10">
        <v>57</v>
      </c>
      <c r="AE7" s="10">
        <v>100</v>
      </c>
      <c r="AF7" s="10">
        <v>70</v>
      </c>
      <c r="AG7" s="10">
        <v>8</v>
      </c>
      <c r="AH7" s="10"/>
      <c r="AI7" s="10">
        <v>111</v>
      </c>
      <c r="AJ7" s="10">
        <v>55</v>
      </c>
      <c r="AK7" s="10">
        <v>22</v>
      </c>
      <c r="AL7" s="10">
        <v>35</v>
      </c>
      <c r="AM7" s="10">
        <v>15</v>
      </c>
      <c r="AN7" s="10">
        <v>20</v>
      </c>
      <c r="AO7" s="10"/>
      <c r="AP7" s="10">
        <v>164</v>
      </c>
      <c r="AQ7" s="10">
        <v>122</v>
      </c>
      <c r="AR7" s="10"/>
      <c r="AS7" s="10" t="s">
        <v>87</v>
      </c>
      <c r="AT7" s="10">
        <v>286</v>
      </c>
      <c r="AU7" s="10" t="s">
        <v>87</v>
      </c>
      <c r="AV7" s="10"/>
      <c r="AW7" s="10">
        <v>213</v>
      </c>
      <c r="AX7" s="10">
        <v>62</v>
      </c>
      <c r="AY7" s="10"/>
      <c r="AZ7" s="10">
        <v>228</v>
      </c>
      <c r="BA7" s="10">
        <v>58</v>
      </c>
    </row>
    <row r="8" spans="2:53" ht="30" customHeight="1" x14ac:dyDescent="0.35">
      <c r="B8" s="11" t="s">
        <v>19</v>
      </c>
      <c r="C8" s="11">
        <v>285</v>
      </c>
      <c r="D8" s="11">
        <v>135</v>
      </c>
      <c r="E8" s="11">
        <v>150</v>
      </c>
      <c r="F8" s="11"/>
      <c r="G8" s="11">
        <v>2</v>
      </c>
      <c r="H8" s="11">
        <v>68</v>
      </c>
      <c r="I8" s="11">
        <v>147</v>
      </c>
      <c r="J8" s="11">
        <v>53</v>
      </c>
      <c r="K8" s="11">
        <v>14</v>
      </c>
      <c r="L8" s="11" t="s">
        <v>87</v>
      </c>
      <c r="M8" s="11"/>
      <c r="N8" s="11">
        <v>69</v>
      </c>
      <c r="O8" s="11">
        <v>93</v>
      </c>
      <c r="P8" s="11">
        <v>48</v>
      </c>
      <c r="Q8" s="11">
        <v>74</v>
      </c>
      <c r="R8" s="11"/>
      <c r="S8" s="11">
        <v>47</v>
      </c>
      <c r="T8" s="11">
        <v>45</v>
      </c>
      <c r="U8" s="11">
        <v>24</v>
      </c>
      <c r="V8" s="11">
        <v>27</v>
      </c>
      <c r="W8" s="11">
        <v>26</v>
      </c>
      <c r="X8" s="11">
        <v>34</v>
      </c>
      <c r="Y8" s="11">
        <v>33</v>
      </c>
      <c r="Z8" s="11">
        <v>7</v>
      </c>
      <c r="AA8" s="11">
        <v>43</v>
      </c>
      <c r="AB8" s="11"/>
      <c r="AC8" s="11">
        <v>37</v>
      </c>
      <c r="AD8" s="11">
        <v>62</v>
      </c>
      <c r="AE8" s="11">
        <v>91</v>
      </c>
      <c r="AF8" s="11">
        <v>63</v>
      </c>
      <c r="AG8" s="11">
        <v>4</v>
      </c>
      <c r="AH8" s="11"/>
      <c r="AI8" s="11">
        <v>113</v>
      </c>
      <c r="AJ8" s="11">
        <v>49</v>
      </c>
      <c r="AK8" s="11">
        <v>20</v>
      </c>
      <c r="AL8" s="11">
        <v>35</v>
      </c>
      <c r="AM8" s="11">
        <v>15</v>
      </c>
      <c r="AN8" s="11">
        <v>20</v>
      </c>
      <c r="AO8" s="11"/>
      <c r="AP8" s="11">
        <v>172</v>
      </c>
      <c r="AQ8" s="11">
        <v>112</v>
      </c>
      <c r="AR8" s="11"/>
      <c r="AS8" s="11" t="s">
        <v>87</v>
      </c>
      <c r="AT8" s="11">
        <v>285</v>
      </c>
      <c r="AU8" s="11" t="s">
        <v>87</v>
      </c>
      <c r="AV8" s="11"/>
      <c r="AW8" s="11">
        <v>223</v>
      </c>
      <c r="AX8" s="11">
        <v>49</v>
      </c>
      <c r="AY8" s="11"/>
      <c r="AZ8" s="11">
        <v>227</v>
      </c>
      <c r="BA8" s="11">
        <v>58</v>
      </c>
    </row>
    <row r="9" spans="2:53" x14ac:dyDescent="0.35">
      <c r="B9" s="15" t="s">
        <v>220</v>
      </c>
      <c r="C9" s="14">
        <v>0.20275816712321201</v>
      </c>
      <c r="D9" s="14">
        <v>0.22051612624361699</v>
      </c>
      <c r="E9" s="14">
        <v>0.18672447352905999</v>
      </c>
      <c r="F9" s="14"/>
      <c r="G9" s="14">
        <v>0</v>
      </c>
      <c r="H9" s="14">
        <v>0.20847040735938799</v>
      </c>
      <c r="I9" s="14">
        <v>0.19914130453095699</v>
      </c>
      <c r="J9" s="14">
        <v>0.151615463827346</v>
      </c>
      <c r="K9" s="14">
        <v>0.43110331301463201</v>
      </c>
      <c r="L9" s="14" t="s">
        <v>88</v>
      </c>
      <c r="M9" s="14"/>
      <c r="N9" s="14">
        <v>0.275652883508819</v>
      </c>
      <c r="O9" s="14">
        <v>0.19208437283187399</v>
      </c>
      <c r="P9" s="14">
        <v>0.15800918069009601</v>
      </c>
      <c r="Q9" s="14">
        <v>0.17697730150343</v>
      </c>
      <c r="R9" s="14"/>
      <c r="S9" s="14">
        <v>0.21313313073918599</v>
      </c>
      <c r="T9" s="14">
        <v>0.216051191388863</v>
      </c>
      <c r="U9" s="14">
        <v>0.182304868766971</v>
      </c>
      <c r="V9" s="14">
        <v>0.20714695866441701</v>
      </c>
      <c r="W9" s="14">
        <v>0.16859234988978899</v>
      </c>
      <c r="X9" s="14">
        <v>0.19511085284607199</v>
      </c>
      <c r="Y9" s="14">
        <v>0.133857209752198</v>
      </c>
      <c r="Z9" s="14">
        <v>0.45692471927817702</v>
      </c>
      <c r="AA9" s="14">
        <v>0.22392137763001099</v>
      </c>
      <c r="AB9" s="14"/>
      <c r="AC9" s="14">
        <v>0.210085380653416</v>
      </c>
      <c r="AD9" s="14">
        <v>0.130994229081658</v>
      </c>
      <c r="AE9" s="14">
        <v>0.21315259120765601</v>
      </c>
      <c r="AF9" s="14">
        <v>0.28863321777956402</v>
      </c>
      <c r="AG9" s="14">
        <v>0.34231061671619301</v>
      </c>
      <c r="AH9" s="14"/>
      <c r="AI9" s="14">
        <v>0.27194931093727398</v>
      </c>
      <c r="AJ9" s="14">
        <v>0.13347748294681</v>
      </c>
      <c r="AK9" s="14">
        <v>0.29554754220131901</v>
      </c>
      <c r="AL9" s="14">
        <v>0.18289957195231701</v>
      </c>
      <c r="AM9" s="14">
        <v>5.7356774786267599E-2</v>
      </c>
      <c r="AN9" s="14">
        <v>0.14262764572679201</v>
      </c>
      <c r="AO9" s="14"/>
      <c r="AP9" s="14">
        <v>0.20060661628809801</v>
      </c>
      <c r="AQ9" s="14">
        <v>0.20605810066070801</v>
      </c>
      <c r="AR9" s="14"/>
      <c r="AS9" s="14" t="s">
        <v>88</v>
      </c>
      <c r="AT9" s="14">
        <v>0.20275816712321201</v>
      </c>
      <c r="AU9" s="14" t="s">
        <v>88</v>
      </c>
      <c r="AV9" s="14"/>
      <c r="AW9" s="14">
        <v>0.17200859812720901</v>
      </c>
      <c r="AX9" s="14">
        <v>0.31431791519584301</v>
      </c>
      <c r="AY9" s="14"/>
      <c r="AZ9" s="14">
        <v>0.22206326010965599</v>
      </c>
      <c r="BA9" s="14">
        <v>0.12759209110040801</v>
      </c>
    </row>
    <row r="10" spans="2:53" x14ac:dyDescent="0.35">
      <c r="B10" s="15" t="s">
        <v>221</v>
      </c>
      <c r="C10" s="14">
        <v>0.477465379371943</v>
      </c>
      <c r="D10" s="14">
        <v>0.50755296138823702</v>
      </c>
      <c r="E10" s="14">
        <v>0.450299246835695</v>
      </c>
      <c r="F10" s="14"/>
      <c r="G10" s="14">
        <v>0</v>
      </c>
      <c r="H10" s="14">
        <v>0.39377417948539301</v>
      </c>
      <c r="I10" s="14">
        <v>0.509568808145337</v>
      </c>
      <c r="J10" s="14">
        <v>0.51850019010354698</v>
      </c>
      <c r="K10" s="14">
        <v>0.461470819536347</v>
      </c>
      <c r="L10" s="14" t="s">
        <v>88</v>
      </c>
      <c r="M10" s="14"/>
      <c r="N10" s="14">
        <v>0.49716278669578401</v>
      </c>
      <c r="O10" s="14">
        <v>0.451304735878236</v>
      </c>
      <c r="P10" s="14">
        <v>0.46951095216455402</v>
      </c>
      <c r="Q10" s="14">
        <v>0.49721956815575802</v>
      </c>
      <c r="R10" s="14"/>
      <c r="S10" s="14">
        <v>0.50816247182895002</v>
      </c>
      <c r="T10" s="14">
        <v>0.362136589965661</v>
      </c>
      <c r="U10" s="14">
        <v>0.61164988358342398</v>
      </c>
      <c r="V10" s="14">
        <v>0.40686276406819399</v>
      </c>
      <c r="W10" s="14">
        <v>0.44219760654120499</v>
      </c>
      <c r="X10" s="14">
        <v>0.51489789653350204</v>
      </c>
      <c r="Y10" s="14">
        <v>0.53266163044671999</v>
      </c>
      <c r="Z10" s="14">
        <v>0.387861303408569</v>
      </c>
      <c r="AA10" s="14">
        <v>0.497816967936212</v>
      </c>
      <c r="AB10" s="14"/>
      <c r="AC10" s="14">
        <v>0.46468865430296702</v>
      </c>
      <c r="AD10" s="14">
        <v>0.43932480140871499</v>
      </c>
      <c r="AE10" s="14">
        <v>0.492076276726438</v>
      </c>
      <c r="AF10" s="14">
        <v>0.48001793620341798</v>
      </c>
      <c r="AG10" s="14">
        <v>0.34613188451425603</v>
      </c>
      <c r="AH10" s="14"/>
      <c r="AI10" s="14">
        <v>0.49507946779540202</v>
      </c>
      <c r="AJ10" s="14">
        <v>0.66128118699229899</v>
      </c>
      <c r="AK10" s="14">
        <v>0.300372135184307</v>
      </c>
      <c r="AL10" s="14">
        <v>0.47228966315721699</v>
      </c>
      <c r="AM10" s="14">
        <v>0.27558401775974201</v>
      </c>
      <c r="AN10" s="14">
        <v>0.48708074338101398</v>
      </c>
      <c r="AO10" s="14"/>
      <c r="AP10" s="14">
        <v>0.481579545776746</v>
      </c>
      <c r="AQ10" s="14">
        <v>0.471155291096789</v>
      </c>
      <c r="AR10" s="14"/>
      <c r="AS10" s="14" t="s">
        <v>88</v>
      </c>
      <c r="AT10" s="14">
        <v>0.477465379371943</v>
      </c>
      <c r="AU10" s="14" t="s">
        <v>88</v>
      </c>
      <c r="AV10" s="14"/>
      <c r="AW10" s="14">
        <v>0.48560079954713198</v>
      </c>
      <c r="AX10" s="14">
        <v>0.481823774772145</v>
      </c>
      <c r="AY10" s="14"/>
      <c r="AZ10" s="14">
        <v>0.49213988990315</v>
      </c>
      <c r="BA10" s="14">
        <v>0.42032888306183602</v>
      </c>
    </row>
    <row r="11" spans="2:53" x14ac:dyDescent="0.35">
      <c r="B11" s="15" t="s">
        <v>222</v>
      </c>
      <c r="C11" s="14">
        <v>0.216470020955566</v>
      </c>
      <c r="D11" s="14">
        <v>0.22361789912233601</v>
      </c>
      <c r="E11" s="14">
        <v>0.21001618875574901</v>
      </c>
      <c r="F11" s="14"/>
      <c r="G11" s="14">
        <v>1</v>
      </c>
      <c r="H11" s="14">
        <v>0.28509965685520799</v>
      </c>
      <c r="I11" s="14">
        <v>0.18486527680922299</v>
      </c>
      <c r="J11" s="14">
        <v>0.238271388948671</v>
      </c>
      <c r="K11" s="14">
        <v>2.3172501302761501E-2</v>
      </c>
      <c r="L11" s="14" t="s">
        <v>88</v>
      </c>
      <c r="M11" s="14"/>
      <c r="N11" s="14">
        <v>0.143183607822714</v>
      </c>
      <c r="O11" s="14">
        <v>0.28638654807056102</v>
      </c>
      <c r="P11" s="14">
        <v>0.23825040113227999</v>
      </c>
      <c r="Q11" s="14">
        <v>0.18272367041111401</v>
      </c>
      <c r="R11" s="14"/>
      <c r="S11" s="14">
        <v>0.22893737315214599</v>
      </c>
      <c r="T11" s="14">
        <v>0.25841417152503998</v>
      </c>
      <c r="U11" s="14">
        <v>0.206045247649605</v>
      </c>
      <c r="V11" s="14">
        <v>0.31493266335132197</v>
      </c>
      <c r="W11" s="14">
        <v>0.26657233675408298</v>
      </c>
      <c r="X11" s="14">
        <v>0.13503510340378699</v>
      </c>
      <c r="Y11" s="14">
        <v>0.16240927144034201</v>
      </c>
      <c r="Z11" s="14">
        <v>0.15521397731325401</v>
      </c>
      <c r="AA11" s="14">
        <v>0.18846589440230399</v>
      </c>
      <c r="AB11" s="14"/>
      <c r="AC11" s="14">
        <v>0.27081215434676398</v>
      </c>
      <c r="AD11" s="14">
        <v>0.23557251993574899</v>
      </c>
      <c r="AE11" s="14">
        <v>0.18641856075030599</v>
      </c>
      <c r="AF11" s="14">
        <v>0.17737827331057601</v>
      </c>
      <c r="AG11" s="14">
        <v>0.31155749876955102</v>
      </c>
      <c r="AH11" s="14"/>
      <c r="AI11" s="14">
        <v>0.15491010322774701</v>
      </c>
      <c r="AJ11" s="14">
        <v>0.120174767244155</v>
      </c>
      <c r="AK11" s="14">
        <v>0.31713626178089799</v>
      </c>
      <c r="AL11" s="14">
        <v>0.233580269136865</v>
      </c>
      <c r="AM11" s="14">
        <v>0.42492999546931498</v>
      </c>
      <c r="AN11" s="14">
        <v>0.26994463021674697</v>
      </c>
      <c r="AO11" s="14"/>
      <c r="AP11" s="14">
        <v>0.234499697330291</v>
      </c>
      <c r="AQ11" s="14">
        <v>0.18881706813282201</v>
      </c>
      <c r="AR11" s="14"/>
      <c r="AS11" s="14" t="s">
        <v>88</v>
      </c>
      <c r="AT11" s="14">
        <v>0.216470020955566</v>
      </c>
      <c r="AU11" s="14" t="s">
        <v>88</v>
      </c>
      <c r="AV11" s="14"/>
      <c r="AW11" s="14">
        <v>0.217734728293869</v>
      </c>
      <c r="AX11" s="14">
        <v>0.170815968467043</v>
      </c>
      <c r="AY11" s="14"/>
      <c r="AZ11" s="14">
        <v>0.204941598538807</v>
      </c>
      <c r="BA11" s="14">
        <v>0.26135694672223603</v>
      </c>
    </row>
    <row r="12" spans="2:53" x14ac:dyDescent="0.35">
      <c r="B12" s="15" t="s">
        <v>223</v>
      </c>
      <c r="C12" s="14">
        <v>4.4523743309062502E-2</v>
      </c>
      <c r="D12" s="14">
        <v>1.73458135058739E-2</v>
      </c>
      <c r="E12" s="14">
        <v>6.9062745569011999E-2</v>
      </c>
      <c r="F12" s="14"/>
      <c r="G12" s="14">
        <v>0</v>
      </c>
      <c r="H12" s="14">
        <v>7.0066346080716893E-2</v>
      </c>
      <c r="I12" s="14">
        <v>3.2915196812734998E-2</v>
      </c>
      <c r="J12" s="14">
        <v>3.4871487865657802E-2</v>
      </c>
      <c r="K12" s="14">
        <v>8.4253366146259404E-2</v>
      </c>
      <c r="L12" s="14" t="s">
        <v>88</v>
      </c>
      <c r="M12" s="14"/>
      <c r="N12" s="14">
        <v>2.65932287491745E-2</v>
      </c>
      <c r="O12" s="14">
        <v>5.2199628055018203E-2</v>
      </c>
      <c r="P12" s="14">
        <v>0</v>
      </c>
      <c r="Q12" s="14">
        <v>8.0707520437971206E-2</v>
      </c>
      <c r="R12" s="14"/>
      <c r="S12" s="14">
        <v>2.88978767876805E-2</v>
      </c>
      <c r="T12" s="14">
        <v>6.13564913965048E-2</v>
      </c>
      <c r="U12" s="14">
        <v>0</v>
      </c>
      <c r="V12" s="14">
        <v>3.5528806958033399E-2</v>
      </c>
      <c r="W12" s="14">
        <v>7.3790951319232606E-2</v>
      </c>
      <c r="X12" s="14">
        <v>7.0486590281061606E-2</v>
      </c>
      <c r="Y12" s="14">
        <v>6.8075736391478806E-2</v>
      </c>
      <c r="Z12" s="14">
        <v>0</v>
      </c>
      <c r="AA12" s="14">
        <v>2.6145001488080799E-2</v>
      </c>
      <c r="AB12" s="14"/>
      <c r="AC12" s="14">
        <v>0</v>
      </c>
      <c r="AD12" s="14">
        <v>0.112079324352718</v>
      </c>
      <c r="AE12" s="14">
        <v>4.6722765071028897E-2</v>
      </c>
      <c r="AF12" s="14">
        <v>8.2588141481631499E-3</v>
      </c>
      <c r="AG12" s="14">
        <v>0</v>
      </c>
      <c r="AH12" s="14"/>
      <c r="AI12" s="14">
        <v>3.3090436649754799E-2</v>
      </c>
      <c r="AJ12" s="14">
        <v>8.5066562816735899E-2</v>
      </c>
      <c r="AK12" s="14">
        <v>0</v>
      </c>
      <c r="AL12" s="14">
        <v>2.55591329354788E-2</v>
      </c>
      <c r="AM12" s="14">
        <v>6.1376359643173999E-2</v>
      </c>
      <c r="AN12" s="14">
        <v>5.0988203397228898E-2</v>
      </c>
      <c r="AO12" s="14"/>
      <c r="AP12" s="14">
        <v>2.7568022418092301E-2</v>
      </c>
      <c r="AQ12" s="14">
        <v>7.0529520680137806E-2</v>
      </c>
      <c r="AR12" s="14"/>
      <c r="AS12" s="14" t="s">
        <v>88</v>
      </c>
      <c r="AT12" s="14">
        <v>4.4523743309062502E-2</v>
      </c>
      <c r="AU12" s="14" t="s">
        <v>88</v>
      </c>
      <c r="AV12" s="14"/>
      <c r="AW12" s="14">
        <v>5.3910016649416498E-2</v>
      </c>
      <c r="AX12" s="14">
        <v>1.3406774270021999E-2</v>
      </c>
      <c r="AY12" s="14"/>
      <c r="AZ12" s="14">
        <v>2.4775953754141801E-2</v>
      </c>
      <c r="BA12" s="14">
        <v>0.121413497324226</v>
      </c>
    </row>
    <row r="13" spans="2:53" x14ac:dyDescent="0.35">
      <c r="B13" s="15" t="s">
        <v>116</v>
      </c>
      <c r="C13" s="18">
        <v>2.5807549111234701E-2</v>
      </c>
      <c r="D13" s="18">
        <v>0</v>
      </c>
      <c r="E13" s="18">
        <v>4.9109232151495097E-2</v>
      </c>
      <c r="F13" s="18"/>
      <c r="G13" s="18">
        <v>0</v>
      </c>
      <c r="H13" s="18">
        <v>2.83747614949349E-2</v>
      </c>
      <c r="I13" s="18">
        <v>2.3416687119491901E-2</v>
      </c>
      <c r="J13" s="18">
        <v>3.7087486936125902E-2</v>
      </c>
      <c r="K13" s="18">
        <v>0</v>
      </c>
      <c r="L13" s="18" t="s">
        <v>88</v>
      </c>
      <c r="M13" s="18"/>
      <c r="N13" s="18">
        <v>0</v>
      </c>
      <c r="O13" s="18">
        <v>1.8024715164309701E-2</v>
      </c>
      <c r="P13" s="18">
        <v>9.2125631641416406E-2</v>
      </c>
      <c r="Q13" s="18">
        <v>1.66208325069367E-2</v>
      </c>
      <c r="R13" s="18"/>
      <c r="S13" s="18">
        <v>0</v>
      </c>
      <c r="T13" s="18">
        <v>2.7191965173051499E-2</v>
      </c>
      <c r="U13" s="18">
        <v>0</v>
      </c>
      <c r="V13" s="18">
        <v>3.5528806958033399E-2</v>
      </c>
      <c r="W13" s="18">
        <v>4.8846755495689703E-2</v>
      </c>
      <c r="X13" s="18">
        <v>2.9495114613308001E-2</v>
      </c>
      <c r="Y13" s="18">
        <v>5.4335170277723499E-2</v>
      </c>
      <c r="Z13" s="18">
        <v>0</v>
      </c>
      <c r="AA13" s="18">
        <v>2.6610010335211501E-2</v>
      </c>
      <c r="AB13" s="18"/>
      <c r="AC13" s="18">
        <v>0</v>
      </c>
      <c r="AD13" s="18">
        <v>5.1622976990501702E-2</v>
      </c>
      <c r="AE13" s="18">
        <v>3.2917999371517299E-2</v>
      </c>
      <c r="AF13" s="18">
        <v>0</v>
      </c>
      <c r="AG13" s="18">
        <v>0</v>
      </c>
      <c r="AH13" s="18"/>
      <c r="AI13" s="18">
        <v>1.5739396071518499E-2</v>
      </c>
      <c r="AJ13" s="18">
        <v>0</v>
      </c>
      <c r="AK13" s="18">
        <v>0</v>
      </c>
      <c r="AL13" s="18">
        <v>6.0930052011721601E-2</v>
      </c>
      <c r="AM13" s="18">
        <v>8.1204208186106602E-2</v>
      </c>
      <c r="AN13" s="18">
        <v>4.93587772782191E-2</v>
      </c>
      <c r="AO13" s="18"/>
      <c r="AP13" s="18">
        <v>2.5594052873801499E-2</v>
      </c>
      <c r="AQ13" s="18">
        <v>2.61349982156375E-2</v>
      </c>
      <c r="AR13" s="18"/>
      <c r="AS13" s="18" t="s">
        <v>88</v>
      </c>
      <c r="AT13" s="18">
        <v>2.5807549111234701E-2</v>
      </c>
      <c r="AU13" s="18" t="s">
        <v>88</v>
      </c>
      <c r="AV13" s="18"/>
      <c r="AW13" s="18">
        <v>3.29712868571427E-2</v>
      </c>
      <c r="AX13" s="18">
        <v>0</v>
      </c>
      <c r="AY13" s="18"/>
      <c r="AZ13" s="18">
        <v>2.1917552305259401E-2</v>
      </c>
      <c r="BA13" s="18">
        <v>4.0953593517844597E-2</v>
      </c>
    </row>
    <row r="14" spans="2:53" x14ac:dyDescent="0.35">
      <c r="B14" s="26" t="s">
        <v>224</v>
      </c>
      <c r="C14" s="27">
        <v>0.68022354649515504</v>
      </c>
      <c r="D14" s="27">
        <v>0.72806908763185396</v>
      </c>
      <c r="E14" s="27">
        <v>0.63702372036475496</v>
      </c>
      <c r="F14" s="27"/>
      <c r="G14" s="27">
        <v>0</v>
      </c>
      <c r="H14" s="27">
        <v>0.60224458684478099</v>
      </c>
      <c r="I14" s="27">
        <v>0.70871011267629402</v>
      </c>
      <c r="J14" s="27">
        <v>0.67011565393089301</v>
      </c>
      <c r="K14" s="27">
        <v>0.89257413255097895</v>
      </c>
      <c r="L14" s="27" t="s">
        <v>88</v>
      </c>
      <c r="M14" s="27"/>
      <c r="N14" s="27">
        <v>0.77281567020460296</v>
      </c>
      <c r="O14" s="27">
        <v>0.64338910871011101</v>
      </c>
      <c r="P14" s="27">
        <v>0.62752013285465003</v>
      </c>
      <c r="Q14" s="27">
        <v>0.67419686965918701</v>
      </c>
      <c r="R14" s="27"/>
      <c r="S14" s="27">
        <v>0.72129560256813596</v>
      </c>
      <c r="T14" s="27">
        <v>0.57818778135452298</v>
      </c>
      <c r="U14" s="27">
        <v>0.79395475235039503</v>
      </c>
      <c r="V14" s="27">
        <v>0.61400972273261101</v>
      </c>
      <c r="W14" s="27">
        <v>0.61078995643099399</v>
      </c>
      <c r="X14" s="27">
        <v>0.71000874937957403</v>
      </c>
      <c r="Y14" s="27">
        <v>0.66651884019891805</v>
      </c>
      <c r="Z14" s="27">
        <v>0.84478602268674596</v>
      </c>
      <c r="AA14" s="27">
        <v>0.72173834556622296</v>
      </c>
      <c r="AB14" s="27"/>
      <c r="AC14" s="27">
        <v>0.674774034956383</v>
      </c>
      <c r="AD14" s="27">
        <v>0.57031903049037302</v>
      </c>
      <c r="AE14" s="27">
        <v>0.70522886793409401</v>
      </c>
      <c r="AF14" s="27">
        <v>0.76865115398298101</v>
      </c>
      <c r="AG14" s="27">
        <v>0.68844250123044903</v>
      </c>
      <c r="AH14" s="27"/>
      <c r="AI14" s="27">
        <v>0.76702877873267605</v>
      </c>
      <c r="AJ14" s="27">
        <v>0.79475866993910904</v>
      </c>
      <c r="AK14" s="27">
        <v>0.59591967738562601</v>
      </c>
      <c r="AL14" s="27">
        <v>0.65518923510953397</v>
      </c>
      <c r="AM14" s="27">
        <v>0.33294079254601</v>
      </c>
      <c r="AN14" s="27">
        <v>0.62970838910780502</v>
      </c>
      <c r="AO14" s="27"/>
      <c r="AP14" s="27">
        <v>0.68218616206484395</v>
      </c>
      <c r="AQ14" s="27">
        <v>0.67721339175749795</v>
      </c>
      <c r="AR14" s="27"/>
      <c r="AS14" s="27" t="s">
        <v>88</v>
      </c>
      <c r="AT14" s="27">
        <v>0.68022354649515504</v>
      </c>
      <c r="AU14" s="27" t="s">
        <v>88</v>
      </c>
      <c r="AV14" s="27"/>
      <c r="AW14" s="27">
        <v>0.65760939767434101</v>
      </c>
      <c r="AX14" s="27">
        <v>0.79614168996798895</v>
      </c>
      <c r="AY14" s="27"/>
      <c r="AZ14" s="27">
        <v>0.71420315001280599</v>
      </c>
      <c r="BA14" s="27">
        <v>0.54792097416224395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BA18"/>
  <sheetViews>
    <sheetView showGridLines="0" topLeftCell="A4" workbookViewId="0">
      <pane xSplit="2" topLeftCell="C1" activePane="topRight" state="frozen"/>
      <selection pane="topRight" activeCell="B10" sqref="B1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286</v>
      </c>
      <c r="D7" s="10">
        <v>110</v>
      </c>
      <c r="E7" s="10">
        <v>176</v>
      </c>
      <c r="F7" s="10"/>
      <c r="G7" s="10">
        <v>1</v>
      </c>
      <c r="H7" s="10">
        <v>72</v>
      </c>
      <c r="I7" s="10">
        <v>147</v>
      </c>
      <c r="J7" s="10">
        <v>56</v>
      </c>
      <c r="K7" s="10">
        <v>10</v>
      </c>
      <c r="L7" s="10" t="s">
        <v>87</v>
      </c>
      <c r="M7" s="10"/>
      <c r="N7" s="10">
        <v>110</v>
      </c>
      <c r="O7" s="10">
        <v>88</v>
      </c>
      <c r="P7" s="10">
        <v>36</v>
      </c>
      <c r="Q7" s="10">
        <v>52</v>
      </c>
      <c r="R7" s="10"/>
      <c r="S7" s="10">
        <v>56</v>
      </c>
      <c r="T7" s="10">
        <v>45</v>
      </c>
      <c r="U7" s="10">
        <v>20</v>
      </c>
      <c r="V7" s="10">
        <v>22</v>
      </c>
      <c r="W7" s="10">
        <v>27</v>
      </c>
      <c r="X7" s="10">
        <v>32</v>
      </c>
      <c r="Y7" s="10">
        <v>33</v>
      </c>
      <c r="Z7" s="10">
        <v>8</v>
      </c>
      <c r="AA7" s="10">
        <v>43</v>
      </c>
      <c r="AB7" s="10"/>
      <c r="AC7" s="10">
        <v>27</v>
      </c>
      <c r="AD7" s="10">
        <v>57</v>
      </c>
      <c r="AE7" s="10">
        <v>100</v>
      </c>
      <c r="AF7" s="10">
        <v>70</v>
      </c>
      <c r="AG7" s="10">
        <v>8</v>
      </c>
      <c r="AH7" s="10"/>
      <c r="AI7" s="10">
        <v>111</v>
      </c>
      <c r="AJ7" s="10">
        <v>55</v>
      </c>
      <c r="AK7" s="10">
        <v>22</v>
      </c>
      <c r="AL7" s="10">
        <v>35</v>
      </c>
      <c r="AM7" s="10">
        <v>15</v>
      </c>
      <c r="AN7" s="10">
        <v>20</v>
      </c>
      <c r="AO7" s="10"/>
      <c r="AP7" s="10">
        <v>164</v>
      </c>
      <c r="AQ7" s="10">
        <v>122</v>
      </c>
      <c r="AR7" s="10"/>
      <c r="AS7" s="10" t="s">
        <v>87</v>
      </c>
      <c r="AT7" s="10">
        <v>286</v>
      </c>
      <c r="AU7" s="10" t="s">
        <v>87</v>
      </c>
      <c r="AV7" s="10"/>
      <c r="AW7" s="10">
        <v>213</v>
      </c>
      <c r="AX7" s="10">
        <v>62</v>
      </c>
      <c r="AY7" s="10"/>
      <c r="AZ7" s="10">
        <v>228</v>
      </c>
      <c r="BA7" s="10">
        <v>58</v>
      </c>
    </row>
    <row r="8" spans="2:53" ht="30" customHeight="1" x14ac:dyDescent="0.35">
      <c r="B8" s="11" t="s">
        <v>19</v>
      </c>
      <c r="C8" s="11">
        <v>285</v>
      </c>
      <c r="D8" s="11">
        <v>135</v>
      </c>
      <c r="E8" s="11">
        <v>150</v>
      </c>
      <c r="F8" s="11"/>
      <c r="G8" s="11">
        <v>2</v>
      </c>
      <c r="H8" s="11">
        <v>68</v>
      </c>
      <c r="I8" s="11">
        <v>147</v>
      </c>
      <c r="J8" s="11">
        <v>53</v>
      </c>
      <c r="K8" s="11">
        <v>14</v>
      </c>
      <c r="L8" s="11" t="s">
        <v>87</v>
      </c>
      <c r="M8" s="11"/>
      <c r="N8" s="11">
        <v>69</v>
      </c>
      <c r="O8" s="11">
        <v>93</v>
      </c>
      <c r="P8" s="11">
        <v>48</v>
      </c>
      <c r="Q8" s="11">
        <v>74</v>
      </c>
      <c r="R8" s="11"/>
      <c r="S8" s="11">
        <v>47</v>
      </c>
      <c r="T8" s="11">
        <v>45</v>
      </c>
      <c r="U8" s="11">
        <v>24</v>
      </c>
      <c r="V8" s="11">
        <v>27</v>
      </c>
      <c r="W8" s="11">
        <v>26</v>
      </c>
      <c r="X8" s="11">
        <v>34</v>
      </c>
      <c r="Y8" s="11">
        <v>33</v>
      </c>
      <c r="Z8" s="11">
        <v>7</v>
      </c>
      <c r="AA8" s="11">
        <v>43</v>
      </c>
      <c r="AB8" s="11"/>
      <c r="AC8" s="11">
        <v>37</v>
      </c>
      <c r="AD8" s="11">
        <v>62</v>
      </c>
      <c r="AE8" s="11">
        <v>91</v>
      </c>
      <c r="AF8" s="11">
        <v>63</v>
      </c>
      <c r="AG8" s="11">
        <v>4</v>
      </c>
      <c r="AH8" s="11"/>
      <c r="AI8" s="11">
        <v>113</v>
      </c>
      <c r="AJ8" s="11">
        <v>49</v>
      </c>
      <c r="AK8" s="11">
        <v>20</v>
      </c>
      <c r="AL8" s="11">
        <v>35</v>
      </c>
      <c r="AM8" s="11">
        <v>15</v>
      </c>
      <c r="AN8" s="11">
        <v>20</v>
      </c>
      <c r="AO8" s="11"/>
      <c r="AP8" s="11">
        <v>172</v>
      </c>
      <c r="AQ8" s="11">
        <v>112</v>
      </c>
      <c r="AR8" s="11"/>
      <c r="AS8" s="11" t="s">
        <v>87</v>
      </c>
      <c r="AT8" s="11">
        <v>285</v>
      </c>
      <c r="AU8" s="11" t="s">
        <v>87</v>
      </c>
      <c r="AV8" s="11"/>
      <c r="AW8" s="11">
        <v>223</v>
      </c>
      <c r="AX8" s="11">
        <v>49</v>
      </c>
      <c r="AY8" s="11"/>
      <c r="AZ8" s="11">
        <v>227</v>
      </c>
      <c r="BA8" s="11">
        <v>58</v>
      </c>
    </row>
    <row r="9" spans="2:53" x14ac:dyDescent="0.35">
      <c r="B9" s="15" t="s">
        <v>226</v>
      </c>
      <c r="C9" s="14">
        <v>0.19262593156815999</v>
      </c>
      <c r="D9" s="14">
        <v>0.200438270855122</v>
      </c>
      <c r="E9" s="14">
        <v>0.185572156214169</v>
      </c>
      <c r="F9" s="14"/>
      <c r="G9" s="14">
        <v>0</v>
      </c>
      <c r="H9" s="14">
        <v>0.23302988610645101</v>
      </c>
      <c r="I9" s="14">
        <v>0.21275129680820901</v>
      </c>
      <c r="J9" s="14">
        <v>8.6682183444898295E-2</v>
      </c>
      <c r="K9" s="14">
        <v>0.21142167105676701</v>
      </c>
      <c r="L9" s="14" t="s">
        <v>88</v>
      </c>
      <c r="M9" s="14"/>
      <c r="N9" s="14">
        <v>0.29699184852307903</v>
      </c>
      <c r="O9" s="14">
        <v>0.195743903603212</v>
      </c>
      <c r="P9" s="14">
        <v>0.12642119940100899</v>
      </c>
      <c r="Q9" s="14">
        <v>0.13385168580829701</v>
      </c>
      <c r="R9" s="14"/>
      <c r="S9" s="14">
        <v>0.157650880251266</v>
      </c>
      <c r="T9" s="14">
        <v>0.15375352631424299</v>
      </c>
      <c r="U9" s="14">
        <v>0.28803592729518601</v>
      </c>
      <c r="V9" s="14">
        <v>0.24864523688502899</v>
      </c>
      <c r="W9" s="14">
        <v>0.120599170565235</v>
      </c>
      <c r="X9" s="14">
        <v>0.227777196485309</v>
      </c>
      <c r="Y9" s="14">
        <v>0.19631194355975201</v>
      </c>
      <c r="Z9" s="14">
        <v>0.45692471927817702</v>
      </c>
      <c r="AA9" s="14">
        <v>0.153406158065719</v>
      </c>
      <c r="AB9" s="14"/>
      <c r="AC9" s="14">
        <v>7.2456279075726604E-2</v>
      </c>
      <c r="AD9" s="14">
        <v>0.10132542111319801</v>
      </c>
      <c r="AE9" s="14">
        <v>0.20226976354801901</v>
      </c>
      <c r="AF9" s="14">
        <v>0.305749919501353</v>
      </c>
      <c r="AG9" s="14">
        <v>0.56687579988751702</v>
      </c>
      <c r="AH9" s="14"/>
      <c r="AI9" s="14">
        <v>0.28570875254249001</v>
      </c>
      <c r="AJ9" s="14">
        <v>0.11905300970628301</v>
      </c>
      <c r="AK9" s="14">
        <v>0.22114999784727701</v>
      </c>
      <c r="AL9" s="14">
        <v>0.21675589588965199</v>
      </c>
      <c r="AM9" s="14">
        <v>5.7356774786267599E-2</v>
      </c>
      <c r="AN9" s="14">
        <v>0.12035084284950801</v>
      </c>
      <c r="AO9" s="14"/>
      <c r="AP9" s="14">
        <v>0.19067721040971</v>
      </c>
      <c r="AQ9" s="14">
        <v>0.19561477580137501</v>
      </c>
      <c r="AR9" s="14"/>
      <c r="AS9" s="14" t="s">
        <v>88</v>
      </c>
      <c r="AT9" s="14">
        <v>0.19262593156815999</v>
      </c>
      <c r="AU9" s="14" t="s">
        <v>88</v>
      </c>
      <c r="AV9" s="14"/>
      <c r="AW9" s="14">
        <v>0.15367516762178399</v>
      </c>
      <c r="AX9" s="14">
        <v>0.318848927830435</v>
      </c>
      <c r="AY9" s="14"/>
      <c r="AZ9" s="14">
        <v>0.219641334328813</v>
      </c>
      <c r="BA9" s="14">
        <v>8.7439086878013494E-2</v>
      </c>
    </row>
    <row r="10" spans="2:53" x14ac:dyDescent="0.35">
      <c r="B10" s="15" t="s">
        <v>227</v>
      </c>
      <c r="C10" s="14">
        <v>0.37531334365565799</v>
      </c>
      <c r="D10" s="14">
        <v>0.449228480815622</v>
      </c>
      <c r="E10" s="14">
        <v>0.30857523185142499</v>
      </c>
      <c r="F10" s="14"/>
      <c r="G10" s="14">
        <v>1</v>
      </c>
      <c r="H10" s="14">
        <v>0.42126737498781902</v>
      </c>
      <c r="I10" s="14">
        <v>0.327089938870888</v>
      </c>
      <c r="J10" s="14">
        <v>0.34417054751190201</v>
      </c>
      <c r="K10" s="14">
        <v>0.68115246149421205</v>
      </c>
      <c r="L10" s="14" t="s">
        <v>88</v>
      </c>
      <c r="M10" s="14"/>
      <c r="N10" s="14">
        <v>0.31377620909991399</v>
      </c>
      <c r="O10" s="14">
        <v>0.42099954602870998</v>
      </c>
      <c r="P10" s="14">
        <v>0.24321393033976499</v>
      </c>
      <c r="Q10" s="14">
        <v>0.46154049842945499</v>
      </c>
      <c r="R10" s="14"/>
      <c r="S10" s="14">
        <v>0.53635987548293595</v>
      </c>
      <c r="T10" s="14">
        <v>0.38854386239792099</v>
      </c>
      <c r="U10" s="14">
        <v>0.43405678298928402</v>
      </c>
      <c r="V10" s="14">
        <v>0.35681437612460598</v>
      </c>
      <c r="W10" s="14">
        <v>0.31298599629508</v>
      </c>
      <c r="X10" s="14">
        <v>0.266840104959779</v>
      </c>
      <c r="Y10" s="14">
        <v>0.24452969114032599</v>
      </c>
      <c r="Z10" s="14">
        <v>0.19625521675267801</v>
      </c>
      <c r="AA10" s="14">
        <v>0.41522636744498798</v>
      </c>
      <c r="AB10" s="14"/>
      <c r="AC10" s="14">
        <v>0.47936132988052499</v>
      </c>
      <c r="AD10" s="14">
        <v>0.313146490656524</v>
      </c>
      <c r="AE10" s="14">
        <v>0.37677291295580201</v>
      </c>
      <c r="AF10" s="14">
        <v>0.41515060853828401</v>
      </c>
      <c r="AG10" s="14">
        <v>0.121566701342932</v>
      </c>
      <c r="AH10" s="14"/>
      <c r="AI10" s="14">
        <v>0.38232856501196699</v>
      </c>
      <c r="AJ10" s="14">
        <v>0.44822009722878198</v>
      </c>
      <c r="AK10" s="14">
        <v>0.374769679538348</v>
      </c>
      <c r="AL10" s="14">
        <v>0.36973471369608901</v>
      </c>
      <c r="AM10" s="14">
        <v>0.33990868751446801</v>
      </c>
      <c r="AN10" s="14">
        <v>0.43316994197922298</v>
      </c>
      <c r="AO10" s="14"/>
      <c r="AP10" s="14">
        <v>0.40017854906261702</v>
      </c>
      <c r="AQ10" s="14">
        <v>0.33717642218487698</v>
      </c>
      <c r="AR10" s="14"/>
      <c r="AS10" s="14" t="s">
        <v>88</v>
      </c>
      <c r="AT10" s="14">
        <v>0.37531334365565799</v>
      </c>
      <c r="AU10" s="14" t="s">
        <v>88</v>
      </c>
      <c r="AV10" s="14"/>
      <c r="AW10" s="14">
        <v>0.37864153120066601</v>
      </c>
      <c r="AX10" s="14">
        <v>0.37201409581115302</v>
      </c>
      <c r="AY10" s="14"/>
      <c r="AZ10" s="14">
        <v>0.38361077285280898</v>
      </c>
      <c r="BA10" s="14">
        <v>0.34300657392060402</v>
      </c>
    </row>
    <row r="11" spans="2:53" x14ac:dyDescent="0.35">
      <c r="B11" s="15" t="s">
        <v>228</v>
      </c>
      <c r="C11" s="14">
        <v>0.26973942608402202</v>
      </c>
      <c r="D11" s="14">
        <v>0.249952373262255</v>
      </c>
      <c r="E11" s="14">
        <v>0.28760519207235302</v>
      </c>
      <c r="F11" s="14"/>
      <c r="G11" s="14">
        <v>0</v>
      </c>
      <c r="H11" s="14">
        <v>0.172481839363781</v>
      </c>
      <c r="I11" s="14">
        <v>0.3161840830223</v>
      </c>
      <c r="J11" s="14">
        <v>0.34884347569261198</v>
      </c>
      <c r="K11" s="14">
        <v>0</v>
      </c>
      <c r="L11" s="14" t="s">
        <v>88</v>
      </c>
      <c r="M11" s="14"/>
      <c r="N11" s="14">
        <v>0.24544052272726699</v>
      </c>
      <c r="O11" s="14">
        <v>0.205122323648295</v>
      </c>
      <c r="P11" s="14">
        <v>0.48103259571453399</v>
      </c>
      <c r="Q11" s="14">
        <v>0.236396065678529</v>
      </c>
      <c r="R11" s="14"/>
      <c r="S11" s="14">
        <v>0.245003005092334</v>
      </c>
      <c r="T11" s="14">
        <v>0.31031441367407903</v>
      </c>
      <c r="U11" s="14">
        <v>0.17903032652251899</v>
      </c>
      <c r="V11" s="14">
        <v>0.20725709924223201</v>
      </c>
      <c r="W11" s="14">
        <v>0.31033584258598701</v>
      </c>
      <c r="X11" s="14">
        <v>0.29629533236635602</v>
      </c>
      <c r="Y11" s="14">
        <v>0.28620322932044401</v>
      </c>
      <c r="Z11" s="14">
        <v>0.237188156427413</v>
      </c>
      <c r="AA11" s="14">
        <v>0.29132101701263702</v>
      </c>
      <c r="AB11" s="14"/>
      <c r="AC11" s="14">
        <v>0.243778447166068</v>
      </c>
      <c r="AD11" s="14">
        <v>0.25908165335535399</v>
      </c>
      <c r="AE11" s="14">
        <v>0.31005289871450897</v>
      </c>
      <c r="AF11" s="14">
        <v>0.19601302421400499</v>
      </c>
      <c r="AG11" s="14">
        <v>0</v>
      </c>
      <c r="AH11" s="14"/>
      <c r="AI11" s="14">
        <v>0.22975700973199301</v>
      </c>
      <c r="AJ11" s="14">
        <v>0.232043327972975</v>
      </c>
      <c r="AK11" s="14">
        <v>0.241726197683866</v>
      </c>
      <c r="AL11" s="14">
        <v>0.24453480688572801</v>
      </c>
      <c r="AM11" s="14">
        <v>0.39554534135303498</v>
      </c>
      <c r="AN11" s="14">
        <v>0.20544902364550299</v>
      </c>
      <c r="AO11" s="14"/>
      <c r="AP11" s="14">
        <v>0.27365881750684701</v>
      </c>
      <c r="AQ11" s="14">
        <v>0.26372807325346198</v>
      </c>
      <c r="AR11" s="14"/>
      <c r="AS11" s="14" t="s">
        <v>88</v>
      </c>
      <c r="AT11" s="14">
        <v>0.26973942608402202</v>
      </c>
      <c r="AU11" s="14" t="s">
        <v>88</v>
      </c>
      <c r="AV11" s="14"/>
      <c r="AW11" s="14">
        <v>0.29789820351151303</v>
      </c>
      <c r="AX11" s="14">
        <v>0.16436695408218699</v>
      </c>
      <c r="AY11" s="14"/>
      <c r="AZ11" s="14">
        <v>0.26762747309443402</v>
      </c>
      <c r="BA11" s="14">
        <v>0.27796250064177502</v>
      </c>
    </row>
    <row r="12" spans="2:53" x14ac:dyDescent="0.35">
      <c r="B12" s="15" t="s">
        <v>229</v>
      </c>
      <c r="C12" s="14">
        <v>0.102754908530848</v>
      </c>
      <c r="D12" s="14">
        <v>7.5821393196648601E-2</v>
      </c>
      <c r="E12" s="14">
        <v>0.127073228522121</v>
      </c>
      <c r="F12" s="14"/>
      <c r="G12" s="14">
        <v>0</v>
      </c>
      <c r="H12" s="14">
        <v>7.3562838571985895E-2</v>
      </c>
      <c r="I12" s="14">
        <v>0.106359267413957</v>
      </c>
      <c r="J12" s="14">
        <v>0.133031793372826</v>
      </c>
      <c r="K12" s="14">
        <v>0.107425867449021</v>
      </c>
      <c r="L12" s="14" t="s">
        <v>88</v>
      </c>
      <c r="M12" s="14"/>
      <c r="N12" s="14">
        <v>7.3945675130822799E-2</v>
      </c>
      <c r="O12" s="14">
        <v>0.14252327887805399</v>
      </c>
      <c r="P12" s="14">
        <v>5.9610163282800999E-2</v>
      </c>
      <c r="Q12" s="14">
        <v>0.10769390485829</v>
      </c>
      <c r="R12" s="14"/>
      <c r="S12" s="14">
        <v>3.58603815330409E-2</v>
      </c>
      <c r="T12" s="14">
        <v>0.100648202741132</v>
      </c>
      <c r="U12" s="14">
        <v>9.8876963193010994E-2</v>
      </c>
      <c r="V12" s="14">
        <v>0.15175448079010001</v>
      </c>
      <c r="W12" s="14">
        <v>0.207232235058008</v>
      </c>
      <c r="X12" s="14">
        <v>0.126876864508946</v>
      </c>
      <c r="Y12" s="14">
        <v>0.15548973627641099</v>
      </c>
      <c r="Z12" s="14">
        <v>0</v>
      </c>
      <c r="AA12" s="14">
        <v>4.4940378432792E-2</v>
      </c>
      <c r="AB12" s="14"/>
      <c r="AC12" s="14">
        <v>0.16083946823352099</v>
      </c>
      <c r="AD12" s="14">
        <v>0.210453436907066</v>
      </c>
      <c r="AE12" s="14">
        <v>4.2801746101031601E-2</v>
      </c>
      <c r="AF12" s="14">
        <v>5.1956132203583701E-2</v>
      </c>
      <c r="AG12" s="14">
        <v>0.31155749876955102</v>
      </c>
      <c r="AH12" s="14"/>
      <c r="AI12" s="14">
        <v>5.5913701198727898E-2</v>
      </c>
      <c r="AJ12" s="14">
        <v>0.16237056652611001</v>
      </c>
      <c r="AK12" s="14">
        <v>0.145746364412944</v>
      </c>
      <c r="AL12" s="14">
        <v>0.14151096434523</v>
      </c>
      <c r="AM12" s="14">
        <v>6.1376359643173999E-2</v>
      </c>
      <c r="AN12" s="14">
        <v>0.19167141424754799</v>
      </c>
      <c r="AO12" s="14"/>
      <c r="AP12" s="14">
        <v>8.0247534489708103E-2</v>
      </c>
      <c r="AQ12" s="14">
        <v>0.13727551442458599</v>
      </c>
      <c r="AR12" s="14"/>
      <c r="AS12" s="14" t="s">
        <v>88</v>
      </c>
      <c r="AT12" s="14">
        <v>0.102754908530848</v>
      </c>
      <c r="AU12" s="14" t="s">
        <v>88</v>
      </c>
      <c r="AV12" s="14"/>
      <c r="AW12" s="14">
        <v>0.106464936973868</v>
      </c>
      <c r="AX12" s="14">
        <v>8.7130045302677595E-2</v>
      </c>
      <c r="AY12" s="14"/>
      <c r="AZ12" s="14">
        <v>7.1494084583010598E-2</v>
      </c>
      <c r="BA12" s="14">
        <v>0.22447167368958901</v>
      </c>
    </row>
    <row r="13" spans="2:53" x14ac:dyDescent="0.35">
      <c r="B13" s="26" t="s">
        <v>116</v>
      </c>
      <c r="C13" s="23">
        <v>3.5799198429472198E-2</v>
      </c>
      <c r="D13" s="23">
        <v>1.4775507316778E-2</v>
      </c>
      <c r="E13" s="23">
        <v>5.4781527380309197E-2</v>
      </c>
      <c r="F13" s="23"/>
      <c r="G13" s="23">
        <v>0</v>
      </c>
      <c r="H13" s="23">
        <v>4.5337573647464997E-2</v>
      </c>
      <c r="I13" s="23">
        <v>2.3905852349781102E-2</v>
      </c>
      <c r="J13" s="23">
        <v>6.7618017659110297E-2</v>
      </c>
      <c r="K13" s="23">
        <v>0</v>
      </c>
      <c r="L13" s="23" t="s">
        <v>88</v>
      </c>
      <c r="M13" s="23"/>
      <c r="N13" s="23">
        <v>3.1083970652414399E-2</v>
      </c>
      <c r="O13" s="23">
        <v>2.6157453168643499E-2</v>
      </c>
      <c r="P13" s="23">
        <v>6.8142871316809003E-2</v>
      </c>
      <c r="Q13" s="23">
        <v>3.1314959352934199E-2</v>
      </c>
      <c r="R13" s="23"/>
      <c r="S13" s="23">
        <v>0</v>
      </c>
      <c r="T13" s="23">
        <v>2.7191965173051499E-2</v>
      </c>
      <c r="U13" s="23">
        <v>0</v>
      </c>
      <c r="V13" s="23">
        <v>3.5528806958033399E-2</v>
      </c>
      <c r="W13" s="23">
        <v>4.8846755495689703E-2</v>
      </c>
      <c r="X13" s="23">
        <v>6.6633045313031006E-2</v>
      </c>
      <c r="Y13" s="23">
        <v>5.4335170277723499E-2</v>
      </c>
      <c r="Z13" s="23">
        <v>0.10963190754173199</v>
      </c>
      <c r="AA13" s="23">
        <v>4.5974051703856003E-2</v>
      </c>
      <c r="AB13" s="23"/>
      <c r="AC13" s="23">
        <v>2.94109286855458E-2</v>
      </c>
      <c r="AD13" s="23">
        <v>5.0506784424397898E-2</v>
      </c>
      <c r="AE13" s="23">
        <v>5.4880353904913297E-2</v>
      </c>
      <c r="AF13" s="23">
        <v>1.5784598256810101E-2</v>
      </c>
      <c r="AG13" s="23">
        <v>0</v>
      </c>
      <c r="AH13" s="23"/>
      <c r="AI13" s="23">
        <v>2.2474895067396101E-2</v>
      </c>
      <c r="AJ13" s="23">
        <v>2.3622035960995501E-2</v>
      </c>
      <c r="AK13" s="23">
        <v>0</v>
      </c>
      <c r="AL13" s="23">
        <v>2.7463619183301102E-2</v>
      </c>
      <c r="AM13" s="23">
        <v>0.145812836703056</v>
      </c>
      <c r="AN13" s="23">
        <v>4.93587772782191E-2</v>
      </c>
      <c r="AO13" s="23"/>
      <c r="AP13" s="23">
        <v>2.86824257423536E-2</v>
      </c>
      <c r="AQ13" s="23">
        <v>4.6714523545511401E-2</v>
      </c>
      <c r="AR13" s="23"/>
      <c r="AS13" s="23" t="s">
        <v>88</v>
      </c>
      <c r="AT13" s="23">
        <v>3.5799198429472198E-2</v>
      </c>
      <c r="AU13" s="23" t="s">
        <v>88</v>
      </c>
      <c r="AV13" s="23"/>
      <c r="AW13" s="23">
        <v>4.0540784362941701E-2</v>
      </c>
      <c r="AX13" s="23">
        <v>2.3431774220473801E-2</v>
      </c>
      <c r="AY13" s="23"/>
      <c r="AZ13" s="23">
        <v>3.68526624882363E-2</v>
      </c>
      <c r="BA13" s="23">
        <v>3.1697443541062402E-2</v>
      </c>
    </row>
    <row r="14" spans="2:53" x14ac:dyDescent="0.35">
      <c r="B14" s="25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BA17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286</v>
      </c>
      <c r="D7" s="10">
        <v>110</v>
      </c>
      <c r="E7" s="10">
        <v>176</v>
      </c>
      <c r="F7" s="10"/>
      <c r="G7" s="10">
        <v>1</v>
      </c>
      <c r="H7" s="10">
        <v>72</v>
      </c>
      <c r="I7" s="10">
        <v>147</v>
      </c>
      <c r="J7" s="10">
        <v>56</v>
      </c>
      <c r="K7" s="10">
        <v>10</v>
      </c>
      <c r="L7" s="10" t="s">
        <v>87</v>
      </c>
      <c r="M7" s="10"/>
      <c r="N7" s="10">
        <v>110</v>
      </c>
      <c r="O7" s="10">
        <v>88</v>
      </c>
      <c r="P7" s="10">
        <v>36</v>
      </c>
      <c r="Q7" s="10">
        <v>52</v>
      </c>
      <c r="R7" s="10"/>
      <c r="S7" s="10">
        <v>56</v>
      </c>
      <c r="T7" s="10">
        <v>45</v>
      </c>
      <c r="U7" s="10">
        <v>20</v>
      </c>
      <c r="V7" s="10">
        <v>22</v>
      </c>
      <c r="W7" s="10">
        <v>27</v>
      </c>
      <c r="X7" s="10">
        <v>32</v>
      </c>
      <c r="Y7" s="10">
        <v>33</v>
      </c>
      <c r="Z7" s="10">
        <v>8</v>
      </c>
      <c r="AA7" s="10">
        <v>43</v>
      </c>
      <c r="AB7" s="10"/>
      <c r="AC7" s="10">
        <v>27</v>
      </c>
      <c r="AD7" s="10">
        <v>57</v>
      </c>
      <c r="AE7" s="10">
        <v>100</v>
      </c>
      <c r="AF7" s="10">
        <v>70</v>
      </c>
      <c r="AG7" s="10">
        <v>8</v>
      </c>
      <c r="AH7" s="10"/>
      <c r="AI7" s="10">
        <v>111</v>
      </c>
      <c r="AJ7" s="10">
        <v>55</v>
      </c>
      <c r="AK7" s="10">
        <v>22</v>
      </c>
      <c r="AL7" s="10">
        <v>35</v>
      </c>
      <c r="AM7" s="10">
        <v>15</v>
      </c>
      <c r="AN7" s="10">
        <v>20</v>
      </c>
      <c r="AO7" s="10"/>
      <c r="AP7" s="10">
        <v>164</v>
      </c>
      <c r="AQ7" s="10">
        <v>122</v>
      </c>
      <c r="AR7" s="10"/>
      <c r="AS7" s="10" t="s">
        <v>87</v>
      </c>
      <c r="AT7" s="10">
        <v>286</v>
      </c>
      <c r="AU7" s="10" t="s">
        <v>87</v>
      </c>
      <c r="AV7" s="10"/>
      <c r="AW7" s="10">
        <v>213</v>
      </c>
      <c r="AX7" s="10">
        <v>62</v>
      </c>
      <c r="AY7" s="10"/>
      <c r="AZ7" s="10">
        <v>228</v>
      </c>
      <c r="BA7" s="10">
        <v>58</v>
      </c>
    </row>
    <row r="8" spans="2:53" ht="30" customHeight="1" x14ac:dyDescent="0.35">
      <c r="B8" s="11" t="s">
        <v>19</v>
      </c>
      <c r="C8" s="11">
        <v>285</v>
      </c>
      <c r="D8" s="11">
        <v>135</v>
      </c>
      <c r="E8" s="11">
        <v>150</v>
      </c>
      <c r="F8" s="11"/>
      <c r="G8" s="11">
        <v>2</v>
      </c>
      <c r="H8" s="11">
        <v>68</v>
      </c>
      <c r="I8" s="11">
        <v>147</v>
      </c>
      <c r="J8" s="11">
        <v>53</v>
      </c>
      <c r="K8" s="11">
        <v>14</v>
      </c>
      <c r="L8" s="11" t="s">
        <v>87</v>
      </c>
      <c r="M8" s="11"/>
      <c r="N8" s="11">
        <v>69</v>
      </c>
      <c r="O8" s="11">
        <v>93</v>
      </c>
      <c r="P8" s="11">
        <v>48</v>
      </c>
      <c r="Q8" s="11">
        <v>74</v>
      </c>
      <c r="R8" s="11"/>
      <c r="S8" s="11">
        <v>47</v>
      </c>
      <c r="T8" s="11">
        <v>45</v>
      </c>
      <c r="U8" s="11">
        <v>24</v>
      </c>
      <c r="V8" s="11">
        <v>27</v>
      </c>
      <c r="W8" s="11">
        <v>26</v>
      </c>
      <c r="X8" s="11">
        <v>34</v>
      </c>
      <c r="Y8" s="11">
        <v>33</v>
      </c>
      <c r="Z8" s="11">
        <v>7</v>
      </c>
      <c r="AA8" s="11">
        <v>43</v>
      </c>
      <c r="AB8" s="11"/>
      <c r="AC8" s="11">
        <v>37</v>
      </c>
      <c r="AD8" s="11">
        <v>62</v>
      </c>
      <c r="AE8" s="11">
        <v>91</v>
      </c>
      <c r="AF8" s="11">
        <v>63</v>
      </c>
      <c r="AG8" s="11">
        <v>4</v>
      </c>
      <c r="AH8" s="11"/>
      <c r="AI8" s="11">
        <v>113</v>
      </c>
      <c r="AJ8" s="11">
        <v>49</v>
      </c>
      <c r="AK8" s="11">
        <v>20</v>
      </c>
      <c r="AL8" s="11">
        <v>35</v>
      </c>
      <c r="AM8" s="11">
        <v>15</v>
      </c>
      <c r="AN8" s="11">
        <v>20</v>
      </c>
      <c r="AO8" s="11"/>
      <c r="AP8" s="11">
        <v>172</v>
      </c>
      <c r="AQ8" s="11">
        <v>112</v>
      </c>
      <c r="AR8" s="11"/>
      <c r="AS8" s="11" t="s">
        <v>87</v>
      </c>
      <c r="AT8" s="11">
        <v>285</v>
      </c>
      <c r="AU8" s="11" t="s">
        <v>87</v>
      </c>
      <c r="AV8" s="11"/>
      <c r="AW8" s="11">
        <v>223</v>
      </c>
      <c r="AX8" s="11">
        <v>49</v>
      </c>
      <c r="AY8" s="11"/>
      <c r="AZ8" s="11">
        <v>227</v>
      </c>
      <c r="BA8" s="11">
        <v>58</v>
      </c>
    </row>
    <row r="9" spans="2:53" ht="29" x14ac:dyDescent="0.35">
      <c r="B9" s="15" t="s">
        <v>231</v>
      </c>
      <c r="C9" s="14">
        <v>0.101459452546327</v>
      </c>
      <c r="D9" s="14">
        <v>8.8353035620462594E-2</v>
      </c>
      <c r="E9" s="14">
        <v>0.11329326023118901</v>
      </c>
      <c r="F9" s="14"/>
      <c r="G9" s="14">
        <v>1</v>
      </c>
      <c r="H9" s="14">
        <v>0.109087640200018</v>
      </c>
      <c r="I9" s="14">
        <v>0.10643456342459399</v>
      </c>
      <c r="J9" s="14">
        <v>7.0998419433642698E-2</v>
      </c>
      <c r="K9" s="14">
        <v>0</v>
      </c>
      <c r="L9" s="14" t="s">
        <v>88</v>
      </c>
      <c r="M9" s="14"/>
      <c r="N9" s="14">
        <v>7.0208610776166802E-2</v>
      </c>
      <c r="O9" s="14">
        <v>8.3079837375670901E-2</v>
      </c>
      <c r="P9" s="14">
        <v>3.3571126078194E-2</v>
      </c>
      <c r="Q9" s="14">
        <v>0.19832800779646001</v>
      </c>
      <c r="R9" s="14"/>
      <c r="S9" s="14">
        <v>9.7932580809365705E-2</v>
      </c>
      <c r="T9" s="14">
        <v>0.12742220033467899</v>
      </c>
      <c r="U9" s="14">
        <v>0.16777963312407199</v>
      </c>
      <c r="V9" s="14">
        <v>0.106174404466174</v>
      </c>
      <c r="W9" s="14">
        <v>8.2494991688577393E-2</v>
      </c>
      <c r="X9" s="14">
        <v>0.150103576138301</v>
      </c>
      <c r="Y9" s="14">
        <v>6.8075747972651604E-2</v>
      </c>
      <c r="Z9" s="14">
        <v>0.17034160623509201</v>
      </c>
      <c r="AA9" s="14">
        <v>2.6145001488080799E-2</v>
      </c>
      <c r="AB9" s="14"/>
      <c r="AC9" s="14">
        <v>0.20842705916813001</v>
      </c>
      <c r="AD9" s="14">
        <v>2.7882174888646898E-2</v>
      </c>
      <c r="AE9" s="14">
        <v>7.1137456419039305E-2</v>
      </c>
      <c r="AF9" s="14">
        <v>0.16547621016799399</v>
      </c>
      <c r="AG9" s="14">
        <v>0.48451317010413097</v>
      </c>
      <c r="AH9" s="14"/>
      <c r="AI9" s="14">
        <v>0.100462548661594</v>
      </c>
      <c r="AJ9" s="14">
        <v>0.11710374754384199</v>
      </c>
      <c r="AK9" s="14">
        <v>0.15055932595378499</v>
      </c>
      <c r="AL9" s="14">
        <v>0.177045684997924</v>
      </c>
      <c r="AM9" s="14">
        <v>5.7356774786267599E-2</v>
      </c>
      <c r="AN9" s="14">
        <v>3.2935630599410098E-2</v>
      </c>
      <c r="AO9" s="14"/>
      <c r="AP9" s="14">
        <v>9.2860282957016094E-2</v>
      </c>
      <c r="AQ9" s="14">
        <v>0.114648398705191</v>
      </c>
      <c r="AR9" s="14"/>
      <c r="AS9" s="14" t="s">
        <v>88</v>
      </c>
      <c r="AT9" s="14">
        <v>0.101459452546327</v>
      </c>
      <c r="AU9" s="14" t="s">
        <v>88</v>
      </c>
      <c r="AV9" s="14"/>
      <c r="AW9" s="14">
        <v>0.10090739972429499</v>
      </c>
      <c r="AX9" s="14">
        <v>0.108833451567613</v>
      </c>
      <c r="AY9" s="14"/>
      <c r="AZ9" s="14">
        <v>8.8244533276927398E-2</v>
      </c>
      <c r="BA9" s="14">
        <v>0.152912902013595</v>
      </c>
    </row>
    <row r="10" spans="2:53" ht="29" x14ac:dyDescent="0.35">
      <c r="B10" s="15" t="s">
        <v>232</v>
      </c>
      <c r="C10" s="14">
        <v>0.73441899422075896</v>
      </c>
      <c r="D10" s="14">
        <v>0.76022646343776001</v>
      </c>
      <c r="E10" s="14">
        <v>0.71111738331714702</v>
      </c>
      <c r="F10" s="14"/>
      <c r="G10" s="14">
        <v>0</v>
      </c>
      <c r="H10" s="14">
        <v>0.72343960898645698</v>
      </c>
      <c r="I10" s="14">
        <v>0.73089828603893903</v>
      </c>
      <c r="J10" s="14">
        <v>0.74364555882462302</v>
      </c>
      <c r="K10" s="14">
        <v>0.89257413255097895</v>
      </c>
      <c r="L10" s="14" t="s">
        <v>88</v>
      </c>
      <c r="M10" s="14"/>
      <c r="N10" s="14">
        <v>0.78866587817534795</v>
      </c>
      <c r="O10" s="14">
        <v>0.72127812705208205</v>
      </c>
      <c r="P10" s="14">
        <v>0.81674935576209795</v>
      </c>
      <c r="Q10" s="14">
        <v>0.64637067670759896</v>
      </c>
      <c r="R10" s="14"/>
      <c r="S10" s="14">
        <v>0.78987399862931196</v>
      </c>
      <c r="T10" s="14">
        <v>0.54626748455479601</v>
      </c>
      <c r="U10" s="14">
        <v>0.82206718725279604</v>
      </c>
      <c r="V10" s="14">
        <v>0.80018395165975997</v>
      </c>
      <c r="W10" s="14">
        <v>0.73166062389180797</v>
      </c>
      <c r="X10" s="14">
        <v>0.64557717441615803</v>
      </c>
      <c r="Y10" s="14">
        <v>0.78719373456656805</v>
      </c>
      <c r="Z10" s="14">
        <v>0.720026486223176</v>
      </c>
      <c r="AA10" s="14">
        <v>0.81419201759795101</v>
      </c>
      <c r="AB10" s="14"/>
      <c r="AC10" s="14">
        <v>0.61895993276883599</v>
      </c>
      <c r="AD10" s="14">
        <v>0.82187889391921798</v>
      </c>
      <c r="AE10" s="14">
        <v>0.71570516471543999</v>
      </c>
      <c r="AF10" s="14">
        <v>0.74752115285415499</v>
      </c>
      <c r="AG10" s="14">
        <v>0.51548682989586903</v>
      </c>
      <c r="AH10" s="14"/>
      <c r="AI10" s="14">
        <v>0.74541089968799801</v>
      </c>
      <c r="AJ10" s="14">
        <v>0.768395537662102</v>
      </c>
      <c r="AK10" s="14">
        <v>0.63802732133902196</v>
      </c>
      <c r="AL10" s="14">
        <v>0.71133158629901405</v>
      </c>
      <c r="AM10" s="14">
        <v>0.86143901702762604</v>
      </c>
      <c r="AN10" s="14">
        <v>0.76375281979552601</v>
      </c>
      <c r="AO10" s="14"/>
      <c r="AP10" s="14">
        <v>0.75201405327908399</v>
      </c>
      <c r="AQ10" s="14">
        <v>0.70743263418074298</v>
      </c>
      <c r="AR10" s="14"/>
      <c r="AS10" s="14" t="s">
        <v>88</v>
      </c>
      <c r="AT10" s="14">
        <v>0.73441899422075896</v>
      </c>
      <c r="AU10" s="14" t="s">
        <v>88</v>
      </c>
      <c r="AV10" s="14"/>
      <c r="AW10" s="14">
        <v>0.72434298066479796</v>
      </c>
      <c r="AX10" s="14">
        <v>0.818954859760057</v>
      </c>
      <c r="AY10" s="14"/>
      <c r="AZ10" s="14">
        <v>0.74858610531852099</v>
      </c>
      <c r="BA10" s="14">
        <v>0.67925810219368199</v>
      </c>
    </row>
    <row r="11" spans="2:53" ht="29" x14ac:dyDescent="0.35">
      <c r="B11" s="15" t="s">
        <v>233</v>
      </c>
      <c r="C11" s="14">
        <v>0.10091662642424901</v>
      </c>
      <c r="D11" s="14">
        <v>0.109598621892181</v>
      </c>
      <c r="E11" s="14">
        <v>9.3077636922425794E-2</v>
      </c>
      <c r="F11" s="14"/>
      <c r="G11" s="14">
        <v>0</v>
      </c>
      <c r="H11" s="14">
        <v>0.10948807959604701</v>
      </c>
      <c r="I11" s="14">
        <v>0.115823333375251</v>
      </c>
      <c r="J11" s="14">
        <v>7.3123853166192299E-2</v>
      </c>
      <c r="K11" s="14">
        <v>2.3172501302761501E-2</v>
      </c>
      <c r="L11" s="14" t="s">
        <v>88</v>
      </c>
      <c r="M11" s="14"/>
      <c r="N11" s="14">
        <v>0.110409301499781</v>
      </c>
      <c r="O11" s="14">
        <v>0.13166190091323501</v>
      </c>
      <c r="P11" s="14">
        <v>5.7553886518291901E-2</v>
      </c>
      <c r="Q11" s="14">
        <v>8.1428719554318907E-2</v>
      </c>
      <c r="R11" s="14"/>
      <c r="S11" s="14">
        <v>0.112193420561323</v>
      </c>
      <c r="T11" s="14">
        <v>0.22266789480392701</v>
      </c>
      <c r="U11" s="14">
        <v>1.0153179623131101E-2</v>
      </c>
      <c r="V11" s="14">
        <v>5.8112836916033299E-2</v>
      </c>
      <c r="W11" s="14">
        <v>0.102495817783085</v>
      </c>
      <c r="X11" s="14">
        <v>0.12687687906408099</v>
      </c>
      <c r="Y11" s="14">
        <v>5.3606499416619401E-2</v>
      </c>
      <c r="Z11" s="14">
        <v>0</v>
      </c>
      <c r="AA11" s="14">
        <v>6.9867220882495196E-2</v>
      </c>
      <c r="AB11" s="14"/>
      <c r="AC11" s="14">
        <v>8.8788268680635898E-2</v>
      </c>
      <c r="AD11" s="14">
        <v>8.2590808191680395E-2</v>
      </c>
      <c r="AE11" s="14">
        <v>0.14601867116634201</v>
      </c>
      <c r="AF11" s="14">
        <v>5.5918133363361502E-2</v>
      </c>
      <c r="AG11" s="14">
        <v>0</v>
      </c>
      <c r="AH11" s="14"/>
      <c r="AI11" s="14">
        <v>0.11094722090649201</v>
      </c>
      <c r="AJ11" s="14">
        <v>9.4139581578947001E-2</v>
      </c>
      <c r="AK11" s="14">
        <v>9.1913884521217099E-2</v>
      </c>
      <c r="AL11" s="14">
        <v>5.0692676691340102E-2</v>
      </c>
      <c r="AM11" s="14">
        <v>0</v>
      </c>
      <c r="AN11" s="14">
        <v>0.15395277232684501</v>
      </c>
      <c r="AO11" s="14"/>
      <c r="AP11" s="14">
        <v>0.102240845370011</v>
      </c>
      <c r="AQ11" s="14">
        <v>9.8885610266604404E-2</v>
      </c>
      <c r="AR11" s="14"/>
      <c r="AS11" s="14" t="s">
        <v>88</v>
      </c>
      <c r="AT11" s="14">
        <v>0.10091662642424901</v>
      </c>
      <c r="AU11" s="14" t="s">
        <v>88</v>
      </c>
      <c r="AV11" s="14"/>
      <c r="AW11" s="14">
        <v>9.4000077544316996E-2</v>
      </c>
      <c r="AX11" s="14">
        <v>7.2211688672330507E-2</v>
      </c>
      <c r="AY11" s="14"/>
      <c r="AZ11" s="14">
        <v>0.10999729367552701</v>
      </c>
      <c r="BA11" s="14">
        <v>6.5560250496573602E-2</v>
      </c>
    </row>
    <row r="12" spans="2:53" x14ac:dyDescent="0.35">
      <c r="B12" s="26" t="s">
        <v>116</v>
      </c>
      <c r="C12" s="23">
        <v>6.3204926808666198E-2</v>
      </c>
      <c r="D12" s="23">
        <v>4.1821879049596299E-2</v>
      </c>
      <c r="E12" s="23">
        <v>8.2511719529238303E-2</v>
      </c>
      <c r="F12" s="23"/>
      <c r="G12" s="23">
        <v>0</v>
      </c>
      <c r="H12" s="23">
        <v>5.7984671217478197E-2</v>
      </c>
      <c r="I12" s="23">
        <v>4.68438171612151E-2</v>
      </c>
      <c r="J12" s="23">
        <v>0.112232168575542</v>
      </c>
      <c r="K12" s="23">
        <v>8.4253366146259404E-2</v>
      </c>
      <c r="L12" s="23" t="s">
        <v>88</v>
      </c>
      <c r="M12" s="23"/>
      <c r="N12" s="23">
        <v>3.0716209548704201E-2</v>
      </c>
      <c r="O12" s="23">
        <v>6.39801346590117E-2</v>
      </c>
      <c r="P12" s="23">
        <v>9.2125631641416406E-2</v>
      </c>
      <c r="Q12" s="23">
        <v>7.3872595941622002E-2</v>
      </c>
      <c r="R12" s="23"/>
      <c r="S12" s="23">
        <v>0</v>
      </c>
      <c r="T12" s="23">
        <v>0.103642420306598</v>
      </c>
      <c r="U12" s="23">
        <v>0</v>
      </c>
      <c r="V12" s="23">
        <v>3.5528806958033399E-2</v>
      </c>
      <c r="W12" s="23">
        <v>8.3348566636529203E-2</v>
      </c>
      <c r="X12" s="23">
        <v>7.7442370381459499E-2</v>
      </c>
      <c r="Y12" s="23">
        <v>9.1124018044160704E-2</v>
      </c>
      <c r="Z12" s="23">
        <v>0.10963190754173199</v>
      </c>
      <c r="AA12" s="23">
        <v>8.9795760031473201E-2</v>
      </c>
      <c r="AB12" s="23"/>
      <c r="AC12" s="23">
        <v>8.38247393823984E-2</v>
      </c>
      <c r="AD12" s="23">
        <v>6.7648123000454405E-2</v>
      </c>
      <c r="AE12" s="23">
        <v>6.7138707699178596E-2</v>
      </c>
      <c r="AF12" s="23">
        <v>3.1084503614489702E-2</v>
      </c>
      <c r="AG12" s="23">
        <v>0</v>
      </c>
      <c r="AH12" s="23"/>
      <c r="AI12" s="23">
        <v>4.3179330743915598E-2</v>
      </c>
      <c r="AJ12" s="23">
        <v>2.0361133215108799E-2</v>
      </c>
      <c r="AK12" s="23">
        <v>0.119499468185976</v>
      </c>
      <c r="AL12" s="23">
        <v>6.0930052011721601E-2</v>
      </c>
      <c r="AM12" s="23">
        <v>8.1204208186106602E-2</v>
      </c>
      <c r="AN12" s="23">
        <v>4.93587772782191E-2</v>
      </c>
      <c r="AO12" s="23"/>
      <c r="AP12" s="23">
        <v>5.2884818393888401E-2</v>
      </c>
      <c r="AQ12" s="23">
        <v>7.9033356847461905E-2</v>
      </c>
      <c r="AR12" s="23"/>
      <c r="AS12" s="23" t="s">
        <v>88</v>
      </c>
      <c r="AT12" s="23">
        <v>6.3204926808666198E-2</v>
      </c>
      <c r="AU12" s="23" t="s">
        <v>88</v>
      </c>
      <c r="AV12" s="23"/>
      <c r="AW12" s="23">
        <v>8.0749542066590102E-2</v>
      </c>
      <c r="AX12" s="23">
        <v>0</v>
      </c>
      <c r="AY12" s="23"/>
      <c r="AZ12" s="23">
        <v>5.31720677290244E-2</v>
      </c>
      <c r="BA12" s="23">
        <v>0.10226874529615</v>
      </c>
    </row>
    <row r="13" spans="2:53" x14ac:dyDescent="0.35">
      <c r="B13" s="25" t="s">
        <v>328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BA18"/>
  <sheetViews>
    <sheetView showGridLines="0" topLeftCell="A6" workbookViewId="0">
      <pane xSplit="2" topLeftCell="C1" activePane="topRight" state="frozen"/>
      <selection pane="topRight" activeCell="B11" sqref="B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286</v>
      </c>
      <c r="D7" s="10">
        <v>110</v>
      </c>
      <c r="E7" s="10">
        <v>176</v>
      </c>
      <c r="F7" s="10"/>
      <c r="G7" s="10">
        <v>1</v>
      </c>
      <c r="H7" s="10">
        <v>72</v>
      </c>
      <c r="I7" s="10">
        <v>147</v>
      </c>
      <c r="J7" s="10">
        <v>56</v>
      </c>
      <c r="K7" s="10">
        <v>10</v>
      </c>
      <c r="L7" s="10" t="s">
        <v>87</v>
      </c>
      <c r="M7" s="10"/>
      <c r="N7" s="10">
        <v>110</v>
      </c>
      <c r="O7" s="10">
        <v>88</v>
      </c>
      <c r="P7" s="10">
        <v>36</v>
      </c>
      <c r="Q7" s="10">
        <v>52</v>
      </c>
      <c r="R7" s="10"/>
      <c r="S7" s="10">
        <v>56</v>
      </c>
      <c r="T7" s="10">
        <v>45</v>
      </c>
      <c r="U7" s="10">
        <v>20</v>
      </c>
      <c r="V7" s="10">
        <v>22</v>
      </c>
      <c r="W7" s="10">
        <v>27</v>
      </c>
      <c r="X7" s="10">
        <v>32</v>
      </c>
      <c r="Y7" s="10">
        <v>33</v>
      </c>
      <c r="Z7" s="10">
        <v>8</v>
      </c>
      <c r="AA7" s="10">
        <v>43</v>
      </c>
      <c r="AB7" s="10"/>
      <c r="AC7" s="10">
        <v>27</v>
      </c>
      <c r="AD7" s="10">
        <v>57</v>
      </c>
      <c r="AE7" s="10">
        <v>100</v>
      </c>
      <c r="AF7" s="10">
        <v>70</v>
      </c>
      <c r="AG7" s="10">
        <v>8</v>
      </c>
      <c r="AH7" s="10"/>
      <c r="AI7" s="10">
        <v>111</v>
      </c>
      <c r="AJ7" s="10">
        <v>55</v>
      </c>
      <c r="AK7" s="10">
        <v>22</v>
      </c>
      <c r="AL7" s="10">
        <v>35</v>
      </c>
      <c r="AM7" s="10">
        <v>15</v>
      </c>
      <c r="AN7" s="10">
        <v>20</v>
      </c>
      <c r="AO7" s="10"/>
      <c r="AP7" s="10">
        <v>164</v>
      </c>
      <c r="AQ7" s="10">
        <v>122</v>
      </c>
      <c r="AR7" s="10"/>
      <c r="AS7" s="10" t="s">
        <v>87</v>
      </c>
      <c r="AT7" s="10">
        <v>286</v>
      </c>
      <c r="AU7" s="10" t="s">
        <v>87</v>
      </c>
      <c r="AV7" s="10"/>
      <c r="AW7" s="10">
        <v>213</v>
      </c>
      <c r="AX7" s="10">
        <v>62</v>
      </c>
      <c r="AY7" s="10"/>
      <c r="AZ7" s="10">
        <v>228</v>
      </c>
      <c r="BA7" s="10">
        <v>58</v>
      </c>
    </row>
    <row r="8" spans="2:53" ht="30" customHeight="1" x14ac:dyDescent="0.35">
      <c r="B8" s="11" t="s">
        <v>19</v>
      </c>
      <c r="C8" s="11">
        <v>285</v>
      </c>
      <c r="D8" s="11">
        <v>135</v>
      </c>
      <c r="E8" s="11">
        <v>150</v>
      </c>
      <c r="F8" s="11"/>
      <c r="G8" s="11">
        <v>2</v>
      </c>
      <c r="H8" s="11">
        <v>68</v>
      </c>
      <c r="I8" s="11">
        <v>147</v>
      </c>
      <c r="J8" s="11">
        <v>53</v>
      </c>
      <c r="K8" s="11">
        <v>14</v>
      </c>
      <c r="L8" s="11" t="s">
        <v>87</v>
      </c>
      <c r="M8" s="11"/>
      <c r="N8" s="11">
        <v>69</v>
      </c>
      <c r="O8" s="11">
        <v>93</v>
      </c>
      <c r="P8" s="11">
        <v>48</v>
      </c>
      <c r="Q8" s="11">
        <v>74</v>
      </c>
      <c r="R8" s="11"/>
      <c r="S8" s="11">
        <v>47</v>
      </c>
      <c r="T8" s="11">
        <v>45</v>
      </c>
      <c r="U8" s="11">
        <v>24</v>
      </c>
      <c r="V8" s="11">
        <v>27</v>
      </c>
      <c r="W8" s="11">
        <v>26</v>
      </c>
      <c r="X8" s="11">
        <v>34</v>
      </c>
      <c r="Y8" s="11">
        <v>33</v>
      </c>
      <c r="Z8" s="11">
        <v>7</v>
      </c>
      <c r="AA8" s="11">
        <v>43</v>
      </c>
      <c r="AB8" s="11"/>
      <c r="AC8" s="11">
        <v>37</v>
      </c>
      <c r="AD8" s="11">
        <v>62</v>
      </c>
      <c r="AE8" s="11">
        <v>91</v>
      </c>
      <c r="AF8" s="11">
        <v>63</v>
      </c>
      <c r="AG8" s="11">
        <v>4</v>
      </c>
      <c r="AH8" s="11"/>
      <c r="AI8" s="11">
        <v>113</v>
      </c>
      <c r="AJ8" s="11">
        <v>49</v>
      </c>
      <c r="AK8" s="11">
        <v>20</v>
      </c>
      <c r="AL8" s="11">
        <v>35</v>
      </c>
      <c r="AM8" s="11">
        <v>15</v>
      </c>
      <c r="AN8" s="11">
        <v>20</v>
      </c>
      <c r="AO8" s="11"/>
      <c r="AP8" s="11">
        <v>172</v>
      </c>
      <c r="AQ8" s="11">
        <v>112</v>
      </c>
      <c r="AR8" s="11"/>
      <c r="AS8" s="11" t="s">
        <v>87</v>
      </c>
      <c r="AT8" s="11">
        <v>285</v>
      </c>
      <c r="AU8" s="11" t="s">
        <v>87</v>
      </c>
      <c r="AV8" s="11"/>
      <c r="AW8" s="11">
        <v>223</v>
      </c>
      <c r="AX8" s="11">
        <v>49</v>
      </c>
      <c r="AY8" s="11"/>
      <c r="AZ8" s="11">
        <v>227</v>
      </c>
      <c r="BA8" s="11">
        <v>58</v>
      </c>
    </row>
    <row r="9" spans="2:53" x14ac:dyDescent="0.35">
      <c r="B9" s="15" t="s">
        <v>235</v>
      </c>
      <c r="C9" s="14">
        <v>0.37518513366337702</v>
      </c>
      <c r="D9" s="14">
        <v>0.412456326298757</v>
      </c>
      <c r="E9" s="14">
        <v>0.34153290603111203</v>
      </c>
      <c r="F9" s="14"/>
      <c r="G9" s="14">
        <v>0</v>
      </c>
      <c r="H9" s="14">
        <v>0.34222823145736297</v>
      </c>
      <c r="I9" s="14">
        <v>0.39200399346287901</v>
      </c>
      <c r="J9" s="14">
        <v>0.36733711475613801</v>
      </c>
      <c r="K9" s="14">
        <v>0.44116535619074398</v>
      </c>
      <c r="L9" s="14" t="s">
        <v>88</v>
      </c>
      <c r="M9" s="14"/>
      <c r="N9" s="14">
        <v>0.47794203707580801</v>
      </c>
      <c r="O9" s="14">
        <v>0.38435604294284997</v>
      </c>
      <c r="P9" s="14">
        <v>0.24655260931797901</v>
      </c>
      <c r="Q9" s="14">
        <v>0.35099625257513001</v>
      </c>
      <c r="R9" s="14"/>
      <c r="S9" s="14">
        <v>0.37190735781376799</v>
      </c>
      <c r="T9" s="14">
        <v>0.32963546069466798</v>
      </c>
      <c r="U9" s="14">
        <v>0.24741194982619999</v>
      </c>
      <c r="V9" s="14">
        <v>0.46780743612741998</v>
      </c>
      <c r="W9" s="14">
        <v>0.44027722429018501</v>
      </c>
      <c r="X9" s="14">
        <v>0.39068664594570801</v>
      </c>
      <c r="Y9" s="14">
        <v>0.48115084808519998</v>
      </c>
      <c r="Z9" s="14">
        <v>0.32101475321624801</v>
      </c>
      <c r="AA9" s="14">
        <v>0.318856107534226</v>
      </c>
      <c r="AB9" s="14"/>
      <c r="AC9" s="14">
        <v>0.23695265472167601</v>
      </c>
      <c r="AD9" s="14">
        <v>0.24506701369384401</v>
      </c>
      <c r="AE9" s="14">
        <v>0.431934179586762</v>
      </c>
      <c r="AF9" s="14">
        <v>0.555786831658307</v>
      </c>
      <c r="AG9" s="14">
        <v>0.45057293928057601</v>
      </c>
      <c r="AH9" s="14"/>
      <c r="AI9" s="14">
        <v>0.46719052394640598</v>
      </c>
      <c r="AJ9" s="14">
        <v>0.29632812040449402</v>
      </c>
      <c r="AK9" s="14">
        <v>0.61235735454040696</v>
      </c>
      <c r="AL9" s="14">
        <v>0.35587317310523697</v>
      </c>
      <c r="AM9" s="14">
        <v>0.16725635323437399</v>
      </c>
      <c r="AN9" s="14">
        <v>0.19851119639196499</v>
      </c>
      <c r="AO9" s="14"/>
      <c r="AP9" s="14">
        <v>0.37941383107725801</v>
      </c>
      <c r="AQ9" s="14">
        <v>0.36869938385526302</v>
      </c>
      <c r="AR9" s="14"/>
      <c r="AS9" s="14" t="s">
        <v>88</v>
      </c>
      <c r="AT9" s="14">
        <v>0.37518513366337702</v>
      </c>
      <c r="AU9" s="14" t="s">
        <v>88</v>
      </c>
      <c r="AV9" s="14"/>
      <c r="AW9" s="14">
        <v>0.35774164654200102</v>
      </c>
      <c r="AX9" s="14">
        <v>0.47016425223950298</v>
      </c>
      <c r="AY9" s="14"/>
      <c r="AZ9" s="14">
        <v>0.40467286708896499</v>
      </c>
      <c r="BA9" s="14">
        <v>0.260372052267478</v>
      </c>
    </row>
    <row r="10" spans="2:53" x14ac:dyDescent="0.35">
      <c r="B10" s="15" t="s">
        <v>236</v>
      </c>
      <c r="C10" s="14">
        <v>0.50711771565299002</v>
      </c>
      <c r="D10" s="14">
        <v>0.484952595628375</v>
      </c>
      <c r="E10" s="14">
        <v>0.52713064284482603</v>
      </c>
      <c r="F10" s="14"/>
      <c r="G10" s="14">
        <v>1</v>
      </c>
      <c r="H10" s="14">
        <v>0.51837062558365099</v>
      </c>
      <c r="I10" s="14">
        <v>0.50272952702517604</v>
      </c>
      <c r="J10" s="14">
        <v>0.47841554781284401</v>
      </c>
      <c r="K10" s="14">
        <v>0.53566214250649502</v>
      </c>
      <c r="L10" s="14" t="s">
        <v>88</v>
      </c>
      <c r="M10" s="14"/>
      <c r="N10" s="14">
        <v>0.43520018619617401</v>
      </c>
      <c r="O10" s="14">
        <v>0.48117020194822702</v>
      </c>
      <c r="P10" s="14">
        <v>0.599755489155545</v>
      </c>
      <c r="Q10" s="14">
        <v>0.54702738649568305</v>
      </c>
      <c r="R10" s="14"/>
      <c r="S10" s="14">
        <v>0.57950829451132202</v>
      </c>
      <c r="T10" s="14">
        <v>0.454163677201389</v>
      </c>
      <c r="U10" s="14">
        <v>0.64541976571720605</v>
      </c>
      <c r="V10" s="14">
        <v>0.357714019113899</v>
      </c>
      <c r="W10" s="14">
        <v>0.49539327800549199</v>
      </c>
      <c r="X10" s="14">
        <v>0.46800339975218502</v>
      </c>
      <c r="Y10" s="14">
        <v>0.41139344242364601</v>
      </c>
      <c r="Z10" s="14">
        <v>0.67898524678375205</v>
      </c>
      <c r="AA10" s="14">
        <v>0.58106877202588003</v>
      </c>
      <c r="AB10" s="14"/>
      <c r="AC10" s="14">
        <v>0.59510398440256596</v>
      </c>
      <c r="AD10" s="14">
        <v>0.64608389808798194</v>
      </c>
      <c r="AE10" s="14">
        <v>0.46892105700137698</v>
      </c>
      <c r="AF10" s="14">
        <v>0.38313874591584601</v>
      </c>
      <c r="AG10" s="14">
        <v>0.23786956194987299</v>
      </c>
      <c r="AH10" s="14"/>
      <c r="AI10" s="14">
        <v>0.46561321839555497</v>
      </c>
      <c r="AJ10" s="14">
        <v>0.58678379199935304</v>
      </c>
      <c r="AK10" s="14">
        <v>0.27975091091034099</v>
      </c>
      <c r="AL10" s="14">
        <v>0.48827959727875198</v>
      </c>
      <c r="AM10" s="14">
        <v>0.77136728712245195</v>
      </c>
      <c r="AN10" s="14">
        <v>0.50747832789845904</v>
      </c>
      <c r="AO10" s="14"/>
      <c r="AP10" s="14">
        <v>0.49602133524243702</v>
      </c>
      <c r="AQ10" s="14">
        <v>0.52413675013917604</v>
      </c>
      <c r="AR10" s="14"/>
      <c r="AS10" s="14" t="s">
        <v>88</v>
      </c>
      <c r="AT10" s="14">
        <v>0.50711771565299002</v>
      </c>
      <c r="AU10" s="14" t="s">
        <v>88</v>
      </c>
      <c r="AV10" s="14"/>
      <c r="AW10" s="14">
        <v>0.51942457451785395</v>
      </c>
      <c r="AX10" s="14">
        <v>0.46316178998187202</v>
      </c>
      <c r="AY10" s="14"/>
      <c r="AZ10" s="14">
        <v>0.46883058596508098</v>
      </c>
      <c r="BA10" s="14">
        <v>0.65619201966370899</v>
      </c>
    </row>
    <row r="11" spans="2:53" x14ac:dyDescent="0.35">
      <c r="B11" s="15" t="s">
        <v>237</v>
      </c>
      <c r="C11" s="14">
        <v>9.0746461781097604E-2</v>
      </c>
      <c r="D11" s="14">
        <v>6.2195894282589301E-2</v>
      </c>
      <c r="E11" s="14">
        <v>0.11652482111318101</v>
      </c>
      <c r="F11" s="14"/>
      <c r="G11" s="14">
        <v>0</v>
      </c>
      <c r="H11" s="14">
        <v>0.124916088178313</v>
      </c>
      <c r="I11" s="14">
        <v>6.82188667011773E-2</v>
      </c>
      <c r="J11" s="14">
        <v>0.13104200003553201</v>
      </c>
      <c r="K11" s="14">
        <v>2.3172501302761501E-2</v>
      </c>
      <c r="L11" s="14" t="s">
        <v>88</v>
      </c>
      <c r="M11" s="14"/>
      <c r="N11" s="14">
        <v>8.6857776728018504E-2</v>
      </c>
      <c r="O11" s="14">
        <v>0.119011109630901</v>
      </c>
      <c r="P11" s="14">
        <v>0.133167307359357</v>
      </c>
      <c r="Q11" s="14">
        <v>3.1001098545332399E-2</v>
      </c>
      <c r="R11" s="14"/>
      <c r="S11" s="14">
        <v>4.8584347674909198E-2</v>
      </c>
      <c r="T11" s="14">
        <v>0.157035085817537</v>
      </c>
      <c r="U11" s="14">
        <v>0.107168284456594</v>
      </c>
      <c r="V11" s="14">
        <v>9.3641643874066705E-2</v>
      </c>
      <c r="W11" s="14">
        <v>6.4329497704323599E-2</v>
      </c>
      <c r="X11" s="14">
        <v>0.111814839688798</v>
      </c>
      <c r="Y11" s="14">
        <v>0.107455709491154</v>
      </c>
      <c r="Z11" s="14">
        <v>0</v>
      </c>
      <c r="AA11" s="14">
        <v>5.7310940480499298E-2</v>
      </c>
      <c r="AB11" s="14"/>
      <c r="AC11" s="14">
        <v>0.109475016092176</v>
      </c>
      <c r="AD11" s="14">
        <v>8.9141269570747E-2</v>
      </c>
      <c r="AE11" s="14">
        <v>8.8213260394045603E-2</v>
      </c>
      <c r="AF11" s="14">
        <v>3.8248732959520602E-2</v>
      </c>
      <c r="AG11" s="14">
        <v>0.31155749876955102</v>
      </c>
      <c r="AH11" s="14"/>
      <c r="AI11" s="14">
        <v>6.7196257658039105E-2</v>
      </c>
      <c r="AJ11" s="14">
        <v>7.9009017437319501E-2</v>
      </c>
      <c r="AK11" s="14">
        <v>3.38482242022781E-2</v>
      </c>
      <c r="AL11" s="14">
        <v>0.155847229616012</v>
      </c>
      <c r="AM11" s="14">
        <v>6.1376359643173999E-2</v>
      </c>
      <c r="AN11" s="14">
        <v>0.13696393498348999</v>
      </c>
      <c r="AO11" s="14"/>
      <c r="AP11" s="14">
        <v>8.8416411610717102E-2</v>
      </c>
      <c r="AQ11" s="14">
        <v>9.4320168047200406E-2</v>
      </c>
      <c r="AR11" s="14"/>
      <c r="AS11" s="14" t="s">
        <v>88</v>
      </c>
      <c r="AT11" s="14">
        <v>9.0746461781097604E-2</v>
      </c>
      <c r="AU11" s="14" t="s">
        <v>88</v>
      </c>
      <c r="AV11" s="14"/>
      <c r="AW11" s="14">
        <v>8.8402036081761504E-2</v>
      </c>
      <c r="AX11" s="14">
        <v>6.6673957778624698E-2</v>
      </c>
      <c r="AY11" s="14"/>
      <c r="AZ11" s="14">
        <v>9.8042188374327904E-2</v>
      </c>
      <c r="BA11" s="14">
        <v>6.2339909161359501E-2</v>
      </c>
    </row>
    <row r="12" spans="2:53" x14ac:dyDescent="0.35">
      <c r="B12" s="15" t="s">
        <v>238</v>
      </c>
      <c r="C12" s="14">
        <v>1.8408879209895299E-2</v>
      </c>
      <c r="D12" s="14">
        <v>2.9711948897850501E-2</v>
      </c>
      <c r="E12" s="14">
        <v>8.2033170266948494E-3</v>
      </c>
      <c r="F12" s="14"/>
      <c r="G12" s="14">
        <v>0</v>
      </c>
      <c r="H12" s="14">
        <v>0</v>
      </c>
      <c r="I12" s="14">
        <v>2.72497034383045E-2</v>
      </c>
      <c r="J12" s="14">
        <v>2.32053373954864E-2</v>
      </c>
      <c r="K12" s="14">
        <v>0</v>
      </c>
      <c r="L12" s="14" t="s">
        <v>88</v>
      </c>
      <c r="M12" s="14"/>
      <c r="N12" s="14">
        <v>0</v>
      </c>
      <c r="O12" s="14">
        <v>0</v>
      </c>
      <c r="P12" s="14">
        <v>0</v>
      </c>
      <c r="Q12" s="14">
        <v>7.0975262383854196E-2</v>
      </c>
      <c r="R12" s="14"/>
      <c r="S12" s="14">
        <v>0</v>
      </c>
      <c r="T12" s="14">
        <v>2.7191965173051499E-2</v>
      </c>
      <c r="U12" s="14">
        <v>0</v>
      </c>
      <c r="V12" s="14">
        <v>8.0836900884615107E-2</v>
      </c>
      <c r="W12" s="14">
        <v>0</v>
      </c>
      <c r="X12" s="14">
        <v>0</v>
      </c>
      <c r="Y12" s="14">
        <v>0</v>
      </c>
      <c r="Z12" s="14">
        <v>0</v>
      </c>
      <c r="AA12" s="14">
        <v>4.2764179959394001E-2</v>
      </c>
      <c r="AB12" s="14"/>
      <c r="AC12" s="14">
        <v>5.8468344783582198E-2</v>
      </c>
      <c r="AD12" s="14">
        <v>1.97078186474266E-2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3.7879070158833801E-2</v>
      </c>
      <c r="AK12" s="14">
        <v>0</v>
      </c>
      <c r="AL12" s="14">
        <v>0</v>
      </c>
      <c r="AM12" s="14">
        <v>0</v>
      </c>
      <c r="AN12" s="14">
        <v>0.107687763447867</v>
      </c>
      <c r="AO12" s="14"/>
      <c r="AP12" s="14">
        <v>3.0411435924302201E-2</v>
      </c>
      <c r="AQ12" s="14">
        <v>0</v>
      </c>
      <c r="AR12" s="14"/>
      <c r="AS12" s="14" t="s">
        <v>88</v>
      </c>
      <c r="AT12" s="14">
        <v>1.8408879209895299E-2</v>
      </c>
      <c r="AU12" s="14" t="s">
        <v>88</v>
      </c>
      <c r="AV12" s="14"/>
      <c r="AW12" s="14">
        <v>2.3518871727486901E-2</v>
      </c>
      <c r="AX12" s="14">
        <v>0</v>
      </c>
      <c r="AY12" s="14"/>
      <c r="AZ12" s="14">
        <v>1.77187343403775E-2</v>
      </c>
      <c r="BA12" s="14">
        <v>2.1096018907453499E-2</v>
      </c>
    </row>
    <row r="13" spans="2:53" x14ac:dyDescent="0.35">
      <c r="B13" s="26" t="s">
        <v>116</v>
      </c>
      <c r="C13" s="23">
        <v>8.5418096926407599E-3</v>
      </c>
      <c r="D13" s="23">
        <v>1.06832348924276E-2</v>
      </c>
      <c r="E13" s="23">
        <v>6.6083129841859297E-3</v>
      </c>
      <c r="F13" s="23"/>
      <c r="G13" s="23">
        <v>0</v>
      </c>
      <c r="H13" s="23">
        <v>1.4485054780673299E-2</v>
      </c>
      <c r="I13" s="23">
        <v>9.7979093724632604E-3</v>
      </c>
      <c r="J13" s="23">
        <v>0</v>
      </c>
      <c r="K13" s="23">
        <v>0</v>
      </c>
      <c r="L13" s="23" t="s">
        <v>88</v>
      </c>
      <c r="M13" s="23"/>
      <c r="N13" s="23">
        <v>0</v>
      </c>
      <c r="O13" s="23">
        <v>1.5462645478021999E-2</v>
      </c>
      <c r="P13" s="23">
        <v>2.05245941671196E-2</v>
      </c>
      <c r="Q13" s="23">
        <v>0</v>
      </c>
      <c r="R13" s="23"/>
      <c r="S13" s="23">
        <v>0</v>
      </c>
      <c r="T13" s="23">
        <v>3.1973811113354601E-2</v>
      </c>
      <c r="U13" s="23">
        <v>0</v>
      </c>
      <c r="V13" s="23">
        <v>0</v>
      </c>
      <c r="W13" s="23">
        <v>0</v>
      </c>
      <c r="X13" s="23">
        <v>2.9495114613308001E-2</v>
      </c>
      <c r="Y13" s="23">
        <v>0</v>
      </c>
      <c r="Z13" s="23">
        <v>0</v>
      </c>
      <c r="AA13" s="23">
        <v>0</v>
      </c>
      <c r="AB13" s="23"/>
      <c r="AC13" s="23">
        <v>0</v>
      </c>
      <c r="AD13" s="23">
        <v>0</v>
      </c>
      <c r="AE13" s="23">
        <v>1.09315030178156E-2</v>
      </c>
      <c r="AF13" s="23">
        <v>2.2825689466326599E-2</v>
      </c>
      <c r="AG13" s="23">
        <v>0</v>
      </c>
      <c r="AH13" s="23"/>
      <c r="AI13" s="23">
        <v>0</v>
      </c>
      <c r="AJ13" s="23">
        <v>0</v>
      </c>
      <c r="AK13" s="23">
        <v>7.4043510346974206E-2</v>
      </c>
      <c r="AL13" s="23">
        <v>0</v>
      </c>
      <c r="AM13" s="23">
        <v>0</v>
      </c>
      <c r="AN13" s="23">
        <v>4.93587772782191E-2</v>
      </c>
      <c r="AO13" s="23"/>
      <c r="AP13" s="23">
        <v>5.7369861452850101E-3</v>
      </c>
      <c r="AQ13" s="23">
        <v>1.2843697958360401E-2</v>
      </c>
      <c r="AR13" s="23"/>
      <c r="AS13" s="23" t="s">
        <v>88</v>
      </c>
      <c r="AT13" s="23">
        <v>8.5418096926407599E-3</v>
      </c>
      <c r="AU13" s="23" t="s">
        <v>88</v>
      </c>
      <c r="AV13" s="23"/>
      <c r="AW13" s="23">
        <v>1.0912871130896199E-2</v>
      </c>
      <c r="AX13" s="23">
        <v>0</v>
      </c>
      <c r="AY13" s="23"/>
      <c r="AZ13" s="23">
        <v>1.07356242312487E-2</v>
      </c>
      <c r="BA13" s="23">
        <v>0</v>
      </c>
    </row>
    <row r="14" spans="2:53" x14ac:dyDescent="0.35">
      <c r="B14" s="25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BA19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286</v>
      </c>
      <c r="D7" s="10">
        <v>110</v>
      </c>
      <c r="E7" s="10">
        <v>176</v>
      </c>
      <c r="F7" s="10"/>
      <c r="G7" s="10">
        <v>1</v>
      </c>
      <c r="H7" s="10">
        <v>72</v>
      </c>
      <c r="I7" s="10">
        <v>147</v>
      </c>
      <c r="J7" s="10">
        <v>56</v>
      </c>
      <c r="K7" s="10">
        <v>10</v>
      </c>
      <c r="L7" s="10" t="s">
        <v>87</v>
      </c>
      <c r="M7" s="10"/>
      <c r="N7" s="10">
        <v>110</v>
      </c>
      <c r="O7" s="10">
        <v>88</v>
      </c>
      <c r="P7" s="10">
        <v>36</v>
      </c>
      <c r="Q7" s="10">
        <v>52</v>
      </c>
      <c r="R7" s="10"/>
      <c r="S7" s="10">
        <v>56</v>
      </c>
      <c r="T7" s="10">
        <v>45</v>
      </c>
      <c r="U7" s="10">
        <v>20</v>
      </c>
      <c r="V7" s="10">
        <v>22</v>
      </c>
      <c r="W7" s="10">
        <v>27</v>
      </c>
      <c r="X7" s="10">
        <v>32</v>
      </c>
      <c r="Y7" s="10">
        <v>33</v>
      </c>
      <c r="Z7" s="10">
        <v>8</v>
      </c>
      <c r="AA7" s="10">
        <v>43</v>
      </c>
      <c r="AB7" s="10"/>
      <c r="AC7" s="10">
        <v>27</v>
      </c>
      <c r="AD7" s="10">
        <v>57</v>
      </c>
      <c r="AE7" s="10">
        <v>100</v>
      </c>
      <c r="AF7" s="10">
        <v>70</v>
      </c>
      <c r="AG7" s="10">
        <v>8</v>
      </c>
      <c r="AH7" s="10"/>
      <c r="AI7" s="10">
        <v>111</v>
      </c>
      <c r="AJ7" s="10">
        <v>55</v>
      </c>
      <c r="AK7" s="10">
        <v>22</v>
      </c>
      <c r="AL7" s="10">
        <v>35</v>
      </c>
      <c r="AM7" s="10">
        <v>15</v>
      </c>
      <c r="AN7" s="10">
        <v>20</v>
      </c>
      <c r="AO7" s="10"/>
      <c r="AP7" s="10">
        <v>164</v>
      </c>
      <c r="AQ7" s="10">
        <v>122</v>
      </c>
      <c r="AR7" s="10"/>
      <c r="AS7" s="10" t="s">
        <v>87</v>
      </c>
      <c r="AT7" s="10">
        <v>286</v>
      </c>
      <c r="AU7" s="10" t="s">
        <v>87</v>
      </c>
      <c r="AV7" s="10"/>
      <c r="AW7" s="10">
        <v>213</v>
      </c>
      <c r="AX7" s="10">
        <v>62</v>
      </c>
      <c r="AY7" s="10"/>
      <c r="AZ7" s="10">
        <v>228</v>
      </c>
      <c r="BA7" s="10">
        <v>58</v>
      </c>
    </row>
    <row r="8" spans="2:53" ht="30" customHeight="1" x14ac:dyDescent="0.35">
      <c r="B8" s="11" t="s">
        <v>19</v>
      </c>
      <c r="C8" s="11">
        <v>285</v>
      </c>
      <c r="D8" s="11">
        <v>135</v>
      </c>
      <c r="E8" s="11">
        <v>150</v>
      </c>
      <c r="F8" s="11"/>
      <c r="G8" s="11">
        <v>2</v>
      </c>
      <c r="H8" s="11">
        <v>68</v>
      </c>
      <c r="I8" s="11">
        <v>147</v>
      </c>
      <c r="J8" s="11">
        <v>53</v>
      </c>
      <c r="K8" s="11">
        <v>14</v>
      </c>
      <c r="L8" s="11" t="s">
        <v>87</v>
      </c>
      <c r="M8" s="11"/>
      <c r="N8" s="11">
        <v>69</v>
      </c>
      <c r="O8" s="11">
        <v>93</v>
      </c>
      <c r="P8" s="11">
        <v>48</v>
      </c>
      <c r="Q8" s="11">
        <v>74</v>
      </c>
      <c r="R8" s="11"/>
      <c r="S8" s="11">
        <v>47</v>
      </c>
      <c r="T8" s="11">
        <v>45</v>
      </c>
      <c r="U8" s="11">
        <v>24</v>
      </c>
      <c r="V8" s="11">
        <v>27</v>
      </c>
      <c r="W8" s="11">
        <v>26</v>
      </c>
      <c r="X8" s="11">
        <v>34</v>
      </c>
      <c r="Y8" s="11">
        <v>33</v>
      </c>
      <c r="Z8" s="11">
        <v>7</v>
      </c>
      <c r="AA8" s="11">
        <v>43</v>
      </c>
      <c r="AB8" s="11"/>
      <c r="AC8" s="11">
        <v>37</v>
      </c>
      <c r="AD8" s="11">
        <v>62</v>
      </c>
      <c r="AE8" s="11">
        <v>91</v>
      </c>
      <c r="AF8" s="11">
        <v>63</v>
      </c>
      <c r="AG8" s="11">
        <v>4</v>
      </c>
      <c r="AH8" s="11"/>
      <c r="AI8" s="11">
        <v>113</v>
      </c>
      <c r="AJ8" s="11">
        <v>49</v>
      </c>
      <c r="AK8" s="11">
        <v>20</v>
      </c>
      <c r="AL8" s="11">
        <v>35</v>
      </c>
      <c r="AM8" s="11">
        <v>15</v>
      </c>
      <c r="AN8" s="11">
        <v>20</v>
      </c>
      <c r="AO8" s="11"/>
      <c r="AP8" s="11">
        <v>172</v>
      </c>
      <c r="AQ8" s="11">
        <v>112</v>
      </c>
      <c r="AR8" s="11"/>
      <c r="AS8" s="11" t="s">
        <v>87</v>
      </c>
      <c r="AT8" s="11">
        <v>285</v>
      </c>
      <c r="AU8" s="11" t="s">
        <v>87</v>
      </c>
      <c r="AV8" s="11"/>
      <c r="AW8" s="11">
        <v>223</v>
      </c>
      <c r="AX8" s="11">
        <v>49</v>
      </c>
      <c r="AY8" s="11"/>
      <c r="AZ8" s="11">
        <v>227</v>
      </c>
      <c r="BA8" s="11">
        <v>58</v>
      </c>
    </row>
    <row r="9" spans="2:53" x14ac:dyDescent="0.35">
      <c r="B9" s="15" t="s">
        <v>220</v>
      </c>
      <c r="C9" s="14">
        <v>0.25897854602001902</v>
      </c>
      <c r="D9" s="14">
        <v>0.34306736668750498</v>
      </c>
      <c r="E9" s="14">
        <v>0.183054596869417</v>
      </c>
      <c r="F9" s="14"/>
      <c r="G9" s="14">
        <v>0</v>
      </c>
      <c r="H9" s="14">
        <v>0.26605179333622397</v>
      </c>
      <c r="I9" s="14">
        <v>0.26501477816720398</v>
      </c>
      <c r="J9" s="14">
        <v>0.22131325562197399</v>
      </c>
      <c r="K9" s="14">
        <v>0.33896536228747098</v>
      </c>
      <c r="L9" s="14" t="s">
        <v>88</v>
      </c>
      <c r="M9" s="14"/>
      <c r="N9" s="14">
        <v>0.28912507432441797</v>
      </c>
      <c r="O9" s="14">
        <v>0.28892876413292901</v>
      </c>
      <c r="P9" s="14">
        <v>0.13207755650170899</v>
      </c>
      <c r="Q9" s="14">
        <v>0.2755931638295</v>
      </c>
      <c r="R9" s="14"/>
      <c r="S9" s="14">
        <v>0.30368407904855599</v>
      </c>
      <c r="T9" s="14">
        <v>0.26756688672870999</v>
      </c>
      <c r="U9" s="14">
        <v>0.15928767793593299</v>
      </c>
      <c r="V9" s="14">
        <v>0.23968210954570801</v>
      </c>
      <c r="W9" s="14">
        <v>0.24529039335424699</v>
      </c>
      <c r="X9" s="14">
        <v>0.210869071770554</v>
      </c>
      <c r="Y9" s="14">
        <v>0.38636681811003798</v>
      </c>
      <c r="Z9" s="14">
        <v>0.304423056475153</v>
      </c>
      <c r="AA9" s="14">
        <v>0.21183008915176499</v>
      </c>
      <c r="AB9" s="14"/>
      <c r="AC9" s="14">
        <v>0.23126933025950699</v>
      </c>
      <c r="AD9" s="14">
        <v>9.7595483245504294E-2</v>
      </c>
      <c r="AE9" s="14">
        <v>0.25526954586428602</v>
      </c>
      <c r="AF9" s="14">
        <v>0.46913816025301203</v>
      </c>
      <c r="AG9" s="14">
        <v>0.82682378682032398</v>
      </c>
      <c r="AH9" s="14"/>
      <c r="AI9" s="14">
        <v>0.35479526573039599</v>
      </c>
      <c r="AJ9" s="14">
        <v>0.132993134054777</v>
      </c>
      <c r="AK9" s="14">
        <v>0.360989756581165</v>
      </c>
      <c r="AL9" s="14">
        <v>0.233063243418625</v>
      </c>
      <c r="AM9" s="14">
        <v>0.138790783526612</v>
      </c>
      <c r="AN9" s="14">
        <v>0.217140693683261</v>
      </c>
      <c r="AO9" s="14"/>
      <c r="AP9" s="14">
        <v>0.26513857010674402</v>
      </c>
      <c r="AQ9" s="14">
        <v>0.249530630709905</v>
      </c>
      <c r="AR9" s="14"/>
      <c r="AS9" s="14" t="s">
        <v>88</v>
      </c>
      <c r="AT9" s="14">
        <v>0.25897854602001902</v>
      </c>
      <c r="AU9" s="14" t="s">
        <v>88</v>
      </c>
      <c r="AV9" s="14"/>
      <c r="AW9" s="14">
        <v>0.218527610319774</v>
      </c>
      <c r="AX9" s="14">
        <v>0.42403017624663703</v>
      </c>
      <c r="AY9" s="14"/>
      <c r="AZ9" s="14">
        <v>0.293422164718186</v>
      </c>
      <c r="BA9" s="14">
        <v>0.124869289805354</v>
      </c>
    </row>
    <row r="10" spans="2:53" x14ac:dyDescent="0.35">
      <c r="B10" s="15" t="s">
        <v>221</v>
      </c>
      <c r="C10" s="14">
        <v>0.47034958355746997</v>
      </c>
      <c r="D10" s="14">
        <v>0.43352290201215599</v>
      </c>
      <c r="E10" s="14">
        <v>0.50360046131788305</v>
      </c>
      <c r="F10" s="14"/>
      <c r="G10" s="14">
        <v>0</v>
      </c>
      <c r="H10" s="14">
        <v>0.42168385140775</v>
      </c>
      <c r="I10" s="14">
        <v>0.45086716423200202</v>
      </c>
      <c r="J10" s="14">
        <v>0.55387337843772999</v>
      </c>
      <c r="K10" s="14">
        <v>0.66103463771252902</v>
      </c>
      <c r="L10" s="14" t="s">
        <v>88</v>
      </c>
      <c r="M10" s="14"/>
      <c r="N10" s="14">
        <v>0.45244977630857403</v>
      </c>
      <c r="O10" s="14">
        <v>0.495908639427944</v>
      </c>
      <c r="P10" s="14">
        <v>0.49672826743297899</v>
      </c>
      <c r="Q10" s="14">
        <v>0.43764840278011002</v>
      </c>
      <c r="R10" s="14"/>
      <c r="S10" s="14">
        <v>0.52608949374250702</v>
      </c>
      <c r="T10" s="14">
        <v>0.40151149891971999</v>
      </c>
      <c r="U10" s="14">
        <v>0.73168217751337306</v>
      </c>
      <c r="V10" s="14">
        <v>0.52608209397700301</v>
      </c>
      <c r="W10" s="14">
        <v>0.38732028493739301</v>
      </c>
      <c r="X10" s="14">
        <v>0.502088483850058</v>
      </c>
      <c r="Y10" s="14">
        <v>0.35534015736458602</v>
      </c>
      <c r="Z10" s="14">
        <v>0.123015463520318</v>
      </c>
      <c r="AA10" s="14">
        <v>0.46873477744680397</v>
      </c>
      <c r="AB10" s="14"/>
      <c r="AC10" s="14">
        <v>0.380096916504927</v>
      </c>
      <c r="AD10" s="14">
        <v>0.54973572724615805</v>
      </c>
      <c r="AE10" s="14">
        <v>0.49348493514636599</v>
      </c>
      <c r="AF10" s="14">
        <v>0.37629349368107601</v>
      </c>
      <c r="AG10" s="14">
        <v>0.121566701342932</v>
      </c>
      <c r="AH10" s="14"/>
      <c r="AI10" s="14">
        <v>0.42394760244711099</v>
      </c>
      <c r="AJ10" s="14">
        <v>0.70280347201917703</v>
      </c>
      <c r="AK10" s="14">
        <v>0.28438393462014799</v>
      </c>
      <c r="AL10" s="14">
        <v>0.53282515155390797</v>
      </c>
      <c r="AM10" s="14">
        <v>0.36445926329452</v>
      </c>
      <c r="AN10" s="14">
        <v>0.56990863749785903</v>
      </c>
      <c r="AO10" s="14"/>
      <c r="AP10" s="14">
        <v>0.46013146301694002</v>
      </c>
      <c r="AQ10" s="14">
        <v>0.486021590052302</v>
      </c>
      <c r="AR10" s="14"/>
      <c r="AS10" s="14" t="s">
        <v>88</v>
      </c>
      <c r="AT10" s="14">
        <v>0.47034958355746997</v>
      </c>
      <c r="AU10" s="14" t="s">
        <v>88</v>
      </c>
      <c r="AV10" s="14"/>
      <c r="AW10" s="14">
        <v>0.48571102521614901</v>
      </c>
      <c r="AX10" s="14">
        <v>0.379659958568692</v>
      </c>
      <c r="AY10" s="14"/>
      <c r="AZ10" s="14">
        <v>0.51089116227757403</v>
      </c>
      <c r="BA10" s="14">
        <v>0.312497384124931</v>
      </c>
    </row>
    <row r="11" spans="2:53" x14ac:dyDescent="0.35">
      <c r="B11" s="15" t="s">
        <v>222</v>
      </c>
      <c r="C11" s="14">
        <v>0.17058962919981999</v>
      </c>
      <c r="D11" s="14">
        <v>0.14864778096012701</v>
      </c>
      <c r="E11" s="14">
        <v>0.19040096389088701</v>
      </c>
      <c r="F11" s="14"/>
      <c r="G11" s="14">
        <v>0</v>
      </c>
      <c r="H11" s="14">
        <v>0.213426809972209</v>
      </c>
      <c r="I11" s="14">
        <v>0.166116788289353</v>
      </c>
      <c r="J11" s="14">
        <v>0.180212254122493</v>
      </c>
      <c r="K11" s="14">
        <v>0</v>
      </c>
      <c r="L11" s="14" t="s">
        <v>88</v>
      </c>
      <c r="M11" s="14"/>
      <c r="N11" s="14">
        <v>0.142306160637173</v>
      </c>
      <c r="O11" s="14">
        <v>0.14471943348008201</v>
      </c>
      <c r="P11" s="14">
        <v>0.27518743823105901</v>
      </c>
      <c r="Q11" s="14">
        <v>0.16161777487655599</v>
      </c>
      <c r="R11" s="14"/>
      <c r="S11" s="14">
        <v>0.10229604904667999</v>
      </c>
      <c r="T11" s="14">
        <v>0.148125217213051</v>
      </c>
      <c r="U11" s="14">
        <v>6.4668251898477996E-2</v>
      </c>
      <c r="V11" s="14">
        <v>0.18393504317498899</v>
      </c>
      <c r="W11" s="14">
        <v>0.31854256621267002</v>
      </c>
      <c r="X11" s="14">
        <v>0.16158141301753901</v>
      </c>
      <c r="Y11" s="14">
        <v>0.17834515420879599</v>
      </c>
      <c r="Z11" s="14">
        <v>0.572561480004529</v>
      </c>
      <c r="AA11" s="14">
        <v>0.16744131935176401</v>
      </c>
      <c r="AB11" s="14"/>
      <c r="AC11" s="14">
        <v>0.374480206276954</v>
      </c>
      <c r="AD11" s="14">
        <v>0.19197116861271099</v>
      </c>
      <c r="AE11" s="14">
        <v>0.13957470637547201</v>
      </c>
      <c r="AF11" s="14">
        <v>3.0193798092157501E-2</v>
      </c>
      <c r="AG11" s="14">
        <v>5.1609511836743997E-2</v>
      </c>
      <c r="AH11" s="14"/>
      <c r="AI11" s="14">
        <v>0.141267949374632</v>
      </c>
      <c r="AJ11" s="14">
        <v>9.1848949744280803E-2</v>
      </c>
      <c r="AK11" s="14">
        <v>0.104695420269855</v>
      </c>
      <c r="AL11" s="14">
        <v>0.20937029422106701</v>
      </c>
      <c r="AM11" s="14">
        <v>0.28693000954423398</v>
      </c>
      <c r="AN11" s="14">
        <v>0.11300633843520599</v>
      </c>
      <c r="AO11" s="14"/>
      <c r="AP11" s="14">
        <v>0.18869644142172101</v>
      </c>
      <c r="AQ11" s="14">
        <v>0.14281836954235699</v>
      </c>
      <c r="AR11" s="14"/>
      <c r="AS11" s="14" t="s">
        <v>88</v>
      </c>
      <c r="AT11" s="14">
        <v>0.17058962919981999</v>
      </c>
      <c r="AU11" s="14" t="s">
        <v>88</v>
      </c>
      <c r="AV11" s="14"/>
      <c r="AW11" s="14">
        <v>0.17996160471596001</v>
      </c>
      <c r="AX11" s="14">
        <v>0.14190452628477199</v>
      </c>
      <c r="AY11" s="14"/>
      <c r="AZ11" s="14">
        <v>0.113908344492333</v>
      </c>
      <c r="BA11" s="14">
        <v>0.39128319220855501</v>
      </c>
    </row>
    <row r="12" spans="2:53" x14ac:dyDescent="0.35">
      <c r="B12" s="15" t="s">
        <v>223</v>
      </c>
      <c r="C12" s="14">
        <v>3.7210479470054798E-2</v>
      </c>
      <c r="D12" s="14">
        <v>2.3316401733199699E-2</v>
      </c>
      <c r="E12" s="14">
        <v>4.9755467534031698E-2</v>
      </c>
      <c r="F12" s="14"/>
      <c r="G12" s="14">
        <v>1</v>
      </c>
      <c r="H12" s="14">
        <v>1.0231193775950199E-2</v>
      </c>
      <c r="I12" s="14">
        <v>4.45952234676769E-2</v>
      </c>
      <c r="J12" s="14">
        <v>2.4947129499151899E-2</v>
      </c>
      <c r="K12" s="14">
        <v>0</v>
      </c>
      <c r="L12" s="14" t="s">
        <v>88</v>
      </c>
      <c r="M12" s="14"/>
      <c r="N12" s="14">
        <v>2.8347149629090001E-2</v>
      </c>
      <c r="O12" s="14">
        <v>3.1226460213121299E-2</v>
      </c>
      <c r="P12" s="14">
        <v>0</v>
      </c>
      <c r="Q12" s="14">
        <v>7.7372595251033002E-2</v>
      </c>
      <c r="R12" s="14"/>
      <c r="S12" s="14">
        <v>4.2804520521832798E-2</v>
      </c>
      <c r="T12" s="14">
        <v>0.100901609794901</v>
      </c>
      <c r="U12" s="14">
        <v>4.4361892652215899E-2</v>
      </c>
      <c r="V12" s="14">
        <v>0</v>
      </c>
      <c r="W12" s="14">
        <v>0</v>
      </c>
      <c r="X12" s="14">
        <v>5.4909132673001099E-2</v>
      </c>
      <c r="Y12" s="14">
        <v>0</v>
      </c>
      <c r="Z12" s="14">
        <v>0</v>
      </c>
      <c r="AA12" s="14">
        <v>2.6145001488080799E-2</v>
      </c>
      <c r="AB12" s="14"/>
      <c r="AC12" s="14">
        <v>0</v>
      </c>
      <c r="AD12" s="14">
        <v>5.1128532450054102E-2</v>
      </c>
      <c r="AE12" s="14">
        <v>4.7857096766355002E-2</v>
      </c>
      <c r="AF12" s="14">
        <v>4.8735689981348897E-2</v>
      </c>
      <c r="AG12" s="14">
        <v>0</v>
      </c>
      <c r="AH12" s="14"/>
      <c r="AI12" s="14">
        <v>3.5472669051630101E-2</v>
      </c>
      <c r="AJ12" s="14">
        <v>4.6462717983948798E-2</v>
      </c>
      <c r="AK12" s="14">
        <v>8.8943317348381498E-2</v>
      </c>
      <c r="AL12" s="14">
        <v>0</v>
      </c>
      <c r="AM12" s="14">
        <v>0</v>
      </c>
      <c r="AN12" s="14">
        <v>3.2935630599410098E-2</v>
      </c>
      <c r="AO12" s="14"/>
      <c r="AP12" s="14">
        <v>1.9452411147221901E-2</v>
      </c>
      <c r="AQ12" s="14">
        <v>6.4446854397049197E-2</v>
      </c>
      <c r="AR12" s="14"/>
      <c r="AS12" s="14" t="s">
        <v>88</v>
      </c>
      <c r="AT12" s="14">
        <v>3.7210479470054798E-2</v>
      </c>
      <c r="AU12" s="14" t="s">
        <v>88</v>
      </c>
      <c r="AV12" s="14"/>
      <c r="AW12" s="14">
        <v>4.75394772053307E-2</v>
      </c>
      <c r="AX12" s="14">
        <v>0</v>
      </c>
      <c r="AY12" s="14"/>
      <c r="AZ12" s="14">
        <v>1.42803532113874E-2</v>
      </c>
      <c r="BA12" s="14">
        <v>0.12649094109651801</v>
      </c>
    </row>
    <row r="13" spans="2:53" x14ac:dyDescent="0.35">
      <c r="B13" s="15" t="s">
        <v>116</v>
      </c>
      <c r="C13" s="18">
        <v>1.9596670840927099E-2</v>
      </c>
      <c r="D13" s="18">
        <v>2.7951333380000901E-2</v>
      </c>
      <c r="E13" s="18">
        <v>1.20532308360379E-2</v>
      </c>
      <c r="F13" s="18"/>
      <c r="G13" s="18">
        <v>0</v>
      </c>
      <c r="H13" s="18">
        <v>1.4621181616640701E-2</v>
      </c>
      <c r="I13" s="18">
        <v>3.1102626355575199E-2</v>
      </c>
      <c r="J13" s="18">
        <v>0</v>
      </c>
      <c r="K13" s="18">
        <v>0</v>
      </c>
      <c r="L13" s="18" t="s">
        <v>88</v>
      </c>
      <c r="M13" s="18"/>
      <c r="N13" s="18">
        <v>2.23055567048503E-2</v>
      </c>
      <c r="O13" s="18">
        <v>2.9763208072837999E-2</v>
      </c>
      <c r="P13" s="18">
        <v>2.6039037204606999E-2</v>
      </c>
      <c r="Q13" s="18">
        <v>0</v>
      </c>
      <c r="R13" s="18"/>
      <c r="S13" s="18">
        <v>0</v>
      </c>
      <c r="T13" s="18">
        <v>3.1973811113354601E-2</v>
      </c>
      <c r="U13" s="18">
        <v>0</v>
      </c>
      <c r="V13" s="18">
        <v>0</v>
      </c>
      <c r="W13" s="18">
        <v>4.8846755495689703E-2</v>
      </c>
      <c r="X13" s="18">
        <v>0</v>
      </c>
      <c r="Y13" s="18">
        <v>1.6817640891234699E-2</v>
      </c>
      <c r="Z13" s="18">
        <v>0</v>
      </c>
      <c r="AA13" s="18">
        <v>5.3729759369649098E-2</v>
      </c>
      <c r="AB13" s="18"/>
      <c r="AC13" s="18">
        <v>0</v>
      </c>
      <c r="AD13" s="18">
        <v>8.8155148391736993E-3</v>
      </c>
      <c r="AE13" s="18">
        <v>2.86256534316028E-2</v>
      </c>
      <c r="AF13" s="18">
        <v>3.8610287723136703E-2</v>
      </c>
      <c r="AG13" s="18">
        <v>0</v>
      </c>
      <c r="AH13" s="18"/>
      <c r="AI13" s="18">
        <v>1.1843665066616001E-2</v>
      </c>
      <c r="AJ13" s="18">
        <v>1.12007635929624E-2</v>
      </c>
      <c r="AK13" s="18">
        <v>7.4043510346974206E-2</v>
      </c>
      <c r="AL13" s="18">
        <v>0</v>
      </c>
      <c r="AM13" s="18">
        <v>0.145812836703056</v>
      </c>
      <c r="AN13" s="18">
        <v>0</v>
      </c>
      <c r="AO13" s="18"/>
      <c r="AP13" s="18">
        <v>1.35356227638015E-2</v>
      </c>
      <c r="AQ13" s="18">
        <v>2.8892782043904899E-2</v>
      </c>
      <c r="AR13" s="18"/>
      <c r="AS13" s="18" t="s">
        <v>88</v>
      </c>
      <c r="AT13" s="18">
        <v>1.9596670840927099E-2</v>
      </c>
      <c r="AU13" s="18" t="s">
        <v>88</v>
      </c>
      <c r="AV13" s="18"/>
      <c r="AW13" s="18">
        <v>2.0557945219960801E-2</v>
      </c>
      <c r="AX13" s="18">
        <v>2.01971361468248E-2</v>
      </c>
      <c r="AY13" s="18"/>
      <c r="AZ13" s="18">
        <v>2.22061404934265E-2</v>
      </c>
      <c r="BA13" s="18">
        <v>9.4364714356872294E-3</v>
      </c>
    </row>
    <row r="14" spans="2:53" x14ac:dyDescent="0.35">
      <c r="B14" s="26" t="s">
        <v>224</v>
      </c>
      <c r="C14" s="27">
        <v>0.72932812957749005</v>
      </c>
      <c r="D14" s="27">
        <v>0.77659026869966097</v>
      </c>
      <c r="E14" s="27">
        <v>0.68665505818730099</v>
      </c>
      <c r="F14" s="27"/>
      <c r="G14" s="27">
        <v>0</v>
      </c>
      <c r="H14" s="27">
        <v>0.68773564474397397</v>
      </c>
      <c r="I14" s="27">
        <v>0.71588194239920699</v>
      </c>
      <c r="J14" s="27">
        <v>0.77518663405970401</v>
      </c>
      <c r="K14" s="27">
        <v>1</v>
      </c>
      <c r="L14" s="27" t="s">
        <v>88</v>
      </c>
      <c r="M14" s="27"/>
      <c r="N14" s="27">
        <v>0.741574850632992</v>
      </c>
      <c r="O14" s="27">
        <v>0.78483740356087295</v>
      </c>
      <c r="P14" s="27">
        <v>0.62880582393468798</v>
      </c>
      <c r="Q14" s="27">
        <v>0.71324156660961002</v>
      </c>
      <c r="R14" s="27"/>
      <c r="S14" s="27">
        <v>0.82977357279106301</v>
      </c>
      <c r="T14" s="27">
        <v>0.66907838564843003</v>
      </c>
      <c r="U14" s="27">
        <v>0.89096985544930596</v>
      </c>
      <c r="V14" s="27">
        <v>0.76576420352271102</v>
      </c>
      <c r="W14" s="27">
        <v>0.63261067829163997</v>
      </c>
      <c r="X14" s="27">
        <v>0.71295755562061103</v>
      </c>
      <c r="Y14" s="27">
        <v>0.74170697547462405</v>
      </c>
      <c r="Z14" s="27">
        <v>0.427438519995471</v>
      </c>
      <c r="AA14" s="27">
        <v>0.68056486659856896</v>
      </c>
      <c r="AB14" s="27"/>
      <c r="AC14" s="27">
        <v>0.61136624676443396</v>
      </c>
      <c r="AD14" s="27">
        <v>0.64733121049166198</v>
      </c>
      <c r="AE14" s="27">
        <v>0.74875448101065101</v>
      </c>
      <c r="AF14" s="27">
        <v>0.84543165393408803</v>
      </c>
      <c r="AG14" s="27">
        <v>0.948390488163256</v>
      </c>
      <c r="AH14" s="27"/>
      <c r="AI14" s="27">
        <v>0.77874286817750704</v>
      </c>
      <c r="AJ14" s="27">
        <v>0.83579660607395401</v>
      </c>
      <c r="AK14" s="27">
        <v>0.64537369120131305</v>
      </c>
      <c r="AL14" s="27">
        <v>0.76588839497253303</v>
      </c>
      <c r="AM14" s="27">
        <v>0.50325004682113195</v>
      </c>
      <c r="AN14" s="27">
        <v>0.78704933118111897</v>
      </c>
      <c r="AO14" s="27"/>
      <c r="AP14" s="27">
        <v>0.72527003312368399</v>
      </c>
      <c r="AQ14" s="27">
        <v>0.73555222076220705</v>
      </c>
      <c r="AR14" s="27"/>
      <c r="AS14" s="27" t="s">
        <v>88</v>
      </c>
      <c r="AT14" s="27">
        <v>0.72932812957749005</v>
      </c>
      <c r="AU14" s="27" t="s">
        <v>88</v>
      </c>
      <c r="AV14" s="27"/>
      <c r="AW14" s="27">
        <v>0.70423863553592303</v>
      </c>
      <c r="AX14" s="27">
        <v>0.80369013481532903</v>
      </c>
      <c r="AY14" s="27"/>
      <c r="AZ14" s="27">
        <v>0.80431332699576097</v>
      </c>
      <c r="BA14" s="27">
        <v>0.437366673930285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BA16"/>
  <sheetViews>
    <sheetView showGridLines="0" workbookViewId="0">
      <pane xSplit="2" topLeftCell="C1" activePane="topRight" state="frozen"/>
      <selection pane="topRight" activeCell="B10" sqref="B1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383</v>
      </c>
      <c r="D7" s="10">
        <v>141</v>
      </c>
      <c r="E7" s="10">
        <v>242</v>
      </c>
      <c r="F7" s="10"/>
      <c r="G7" s="10">
        <v>1</v>
      </c>
      <c r="H7" s="10">
        <v>103</v>
      </c>
      <c r="I7" s="10">
        <v>197</v>
      </c>
      <c r="J7" s="10">
        <v>70</v>
      </c>
      <c r="K7" s="10">
        <v>10</v>
      </c>
      <c r="L7" s="10">
        <v>2</v>
      </c>
      <c r="M7" s="10"/>
      <c r="N7" s="10">
        <v>138</v>
      </c>
      <c r="O7" s="10">
        <v>111</v>
      </c>
      <c r="P7" s="10">
        <v>55</v>
      </c>
      <c r="Q7" s="10">
        <v>78</v>
      </c>
      <c r="R7" s="10"/>
      <c r="S7" s="10">
        <v>69</v>
      </c>
      <c r="T7" s="10">
        <v>61</v>
      </c>
      <c r="U7" s="10">
        <v>28</v>
      </c>
      <c r="V7" s="10">
        <v>26</v>
      </c>
      <c r="W7" s="10">
        <v>35</v>
      </c>
      <c r="X7" s="10">
        <v>49</v>
      </c>
      <c r="Y7" s="10">
        <v>42</v>
      </c>
      <c r="Z7" s="10">
        <v>16</v>
      </c>
      <c r="AA7" s="10">
        <v>57</v>
      </c>
      <c r="AB7" s="10"/>
      <c r="AC7" s="10">
        <v>46</v>
      </c>
      <c r="AD7" s="10">
        <v>81</v>
      </c>
      <c r="AE7" s="10">
        <v>122</v>
      </c>
      <c r="AF7" s="10">
        <v>82</v>
      </c>
      <c r="AG7" s="10">
        <v>9</v>
      </c>
      <c r="AH7" s="10"/>
      <c r="AI7" s="10">
        <v>138</v>
      </c>
      <c r="AJ7" s="10">
        <v>73</v>
      </c>
      <c r="AK7" s="10">
        <v>29</v>
      </c>
      <c r="AL7" s="10">
        <v>53</v>
      </c>
      <c r="AM7" s="10">
        <v>20</v>
      </c>
      <c r="AN7" s="10">
        <v>27</v>
      </c>
      <c r="AO7" s="10"/>
      <c r="AP7" s="10">
        <v>209</v>
      </c>
      <c r="AQ7" s="10">
        <v>174</v>
      </c>
      <c r="AR7" s="10"/>
      <c r="AS7" s="10" t="s">
        <v>87</v>
      </c>
      <c r="AT7" s="10">
        <v>383</v>
      </c>
      <c r="AU7" s="10" t="s">
        <v>87</v>
      </c>
      <c r="AV7" s="10"/>
      <c r="AW7" s="10">
        <v>294</v>
      </c>
      <c r="AX7" s="10">
        <v>72</v>
      </c>
      <c r="AY7" s="10"/>
      <c r="AZ7" s="10">
        <v>295</v>
      </c>
      <c r="BA7" s="10">
        <v>85</v>
      </c>
    </row>
    <row r="8" spans="2:53" ht="30" customHeight="1" x14ac:dyDescent="0.35">
      <c r="B8" s="11" t="s">
        <v>19</v>
      </c>
      <c r="C8" s="11">
        <v>390</v>
      </c>
      <c r="D8" s="11">
        <v>177</v>
      </c>
      <c r="E8" s="11">
        <v>213</v>
      </c>
      <c r="F8" s="11"/>
      <c r="G8" s="11">
        <v>2</v>
      </c>
      <c r="H8" s="11">
        <v>104</v>
      </c>
      <c r="I8" s="11">
        <v>198</v>
      </c>
      <c r="J8" s="11">
        <v>69</v>
      </c>
      <c r="K8" s="11">
        <v>14</v>
      </c>
      <c r="L8" s="11">
        <v>3</v>
      </c>
      <c r="M8" s="11"/>
      <c r="N8" s="11">
        <v>88</v>
      </c>
      <c r="O8" s="11">
        <v>116</v>
      </c>
      <c r="P8" s="11">
        <v>75</v>
      </c>
      <c r="Q8" s="11">
        <v>111</v>
      </c>
      <c r="R8" s="11"/>
      <c r="S8" s="11">
        <v>59</v>
      </c>
      <c r="T8" s="11">
        <v>65</v>
      </c>
      <c r="U8" s="11">
        <v>34</v>
      </c>
      <c r="V8" s="11">
        <v>32</v>
      </c>
      <c r="W8" s="11">
        <v>37</v>
      </c>
      <c r="X8" s="11">
        <v>49</v>
      </c>
      <c r="Y8" s="11">
        <v>40</v>
      </c>
      <c r="Z8" s="11">
        <v>15</v>
      </c>
      <c r="AA8" s="11">
        <v>58</v>
      </c>
      <c r="AB8" s="11"/>
      <c r="AC8" s="11">
        <v>63</v>
      </c>
      <c r="AD8" s="11">
        <v>88</v>
      </c>
      <c r="AE8" s="11">
        <v>114</v>
      </c>
      <c r="AF8" s="11">
        <v>72</v>
      </c>
      <c r="AG8" s="11">
        <v>4</v>
      </c>
      <c r="AH8" s="11"/>
      <c r="AI8" s="11">
        <v>144</v>
      </c>
      <c r="AJ8" s="11">
        <v>70</v>
      </c>
      <c r="AK8" s="11">
        <v>27</v>
      </c>
      <c r="AL8" s="11">
        <v>52</v>
      </c>
      <c r="AM8" s="11">
        <v>21</v>
      </c>
      <c r="AN8" s="11">
        <v>27</v>
      </c>
      <c r="AO8" s="11"/>
      <c r="AP8" s="11">
        <v>222</v>
      </c>
      <c r="AQ8" s="11">
        <v>168</v>
      </c>
      <c r="AR8" s="11"/>
      <c r="AS8" s="11" t="s">
        <v>87</v>
      </c>
      <c r="AT8" s="11">
        <v>390</v>
      </c>
      <c r="AU8" s="11" t="s">
        <v>87</v>
      </c>
      <c r="AV8" s="11"/>
      <c r="AW8" s="11">
        <v>311</v>
      </c>
      <c r="AX8" s="11">
        <v>58</v>
      </c>
      <c r="AY8" s="11"/>
      <c r="AZ8" s="11">
        <v>299</v>
      </c>
      <c r="BA8" s="11">
        <v>87</v>
      </c>
    </row>
    <row r="9" spans="2:53" x14ac:dyDescent="0.35">
      <c r="B9" s="15" t="s">
        <v>154</v>
      </c>
      <c r="C9" s="14">
        <v>0.61595855411781597</v>
      </c>
      <c r="D9" s="14">
        <v>0.55428209556705998</v>
      </c>
      <c r="E9" s="14">
        <v>0.66728411398226695</v>
      </c>
      <c r="F9" s="14"/>
      <c r="G9" s="14">
        <v>0</v>
      </c>
      <c r="H9" s="14">
        <v>0.49283758556016299</v>
      </c>
      <c r="I9" s="14">
        <v>0.67138014082517505</v>
      </c>
      <c r="J9" s="14">
        <v>0.62751250232716305</v>
      </c>
      <c r="K9" s="14">
        <v>0.83561100838509395</v>
      </c>
      <c r="L9" s="14">
        <v>0.34819201228478702</v>
      </c>
      <c r="M9" s="14"/>
      <c r="N9" s="14">
        <v>0.64949533911830903</v>
      </c>
      <c r="O9" s="14">
        <v>0.63364738188651204</v>
      </c>
      <c r="P9" s="14">
        <v>0.58564255649013697</v>
      </c>
      <c r="Q9" s="14">
        <v>0.59688806139454298</v>
      </c>
      <c r="R9" s="14"/>
      <c r="S9" s="14">
        <v>0.66591841300886601</v>
      </c>
      <c r="T9" s="14">
        <v>0.60071307062512302</v>
      </c>
      <c r="U9" s="14">
        <v>0.72321539754486497</v>
      </c>
      <c r="V9" s="14">
        <v>0.38834330562643099</v>
      </c>
      <c r="W9" s="14">
        <v>0.60967024816328497</v>
      </c>
      <c r="X9" s="14">
        <v>0.507140978129062</v>
      </c>
      <c r="Y9" s="14">
        <v>0.80654360219669197</v>
      </c>
      <c r="Z9" s="14">
        <v>0.685769012084403</v>
      </c>
      <c r="AA9" s="14">
        <v>0.59393065277492696</v>
      </c>
      <c r="AB9" s="14"/>
      <c r="AC9" s="14">
        <v>0.531732124521067</v>
      </c>
      <c r="AD9" s="14">
        <v>0.64851568938285098</v>
      </c>
      <c r="AE9" s="14">
        <v>0.70389112059834502</v>
      </c>
      <c r="AF9" s="14">
        <v>0.60594781173470302</v>
      </c>
      <c r="AG9" s="14">
        <v>0.79157942734094699</v>
      </c>
      <c r="AH9" s="14"/>
      <c r="AI9" s="14">
        <v>0.69883628707041601</v>
      </c>
      <c r="AJ9" s="14">
        <v>0.64475006438531901</v>
      </c>
      <c r="AK9" s="14">
        <v>0.56738438087951704</v>
      </c>
      <c r="AL9" s="14">
        <v>0.56505834235072205</v>
      </c>
      <c r="AM9" s="14">
        <v>0.55388278340485597</v>
      </c>
      <c r="AN9" s="14">
        <v>0.39591743879338198</v>
      </c>
      <c r="AO9" s="14"/>
      <c r="AP9" s="14">
        <v>0.61256522960999404</v>
      </c>
      <c r="AQ9" s="14">
        <v>0.62045050919865796</v>
      </c>
      <c r="AR9" s="14"/>
      <c r="AS9" s="14" t="s">
        <v>88</v>
      </c>
      <c r="AT9" s="14">
        <v>0.61595855411781597</v>
      </c>
      <c r="AU9" s="14" t="s">
        <v>88</v>
      </c>
      <c r="AV9" s="14"/>
      <c r="AW9" s="14">
        <v>0.60129999265018497</v>
      </c>
      <c r="AX9" s="14">
        <v>0.701315455452166</v>
      </c>
      <c r="AY9" s="14"/>
      <c r="AZ9" s="14">
        <v>0.62894693124132095</v>
      </c>
      <c r="BA9" s="14">
        <v>0.60440560438832702</v>
      </c>
    </row>
    <row r="10" spans="2:53" x14ac:dyDescent="0.35">
      <c r="B10" s="15" t="s">
        <v>155</v>
      </c>
      <c r="C10" s="14">
        <v>0.22540199212067799</v>
      </c>
      <c r="D10" s="14">
        <v>0.256466913609741</v>
      </c>
      <c r="E10" s="14">
        <v>0.19955056476839</v>
      </c>
      <c r="F10" s="14"/>
      <c r="G10" s="14">
        <v>1</v>
      </c>
      <c r="H10" s="14">
        <v>0.30905463255546001</v>
      </c>
      <c r="I10" s="14">
        <v>0.198586768890615</v>
      </c>
      <c r="J10" s="14">
        <v>0.195506811870202</v>
      </c>
      <c r="K10" s="14">
        <v>8.0135625468646401E-2</v>
      </c>
      <c r="L10" s="14">
        <v>0</v>
      </c>
      <c r="M10" s="14"/>
      <c r="N10" s="14">
        <v>0.200142965078137</v>
      </c>
      <c r="O10" s="14">
        <v>0.25180150416930602</v>
      </c>
      <c r="P10" s="14">
        <v>0.24054479596627701</v>
      </c>
      <c r="Q10" s="14">
        <v>0.20957528816056301</v>
      </c>
      <c r="R10" s="14"/>
      <c r="S10" s="14">
        <v>0.183591817338117</v>
      </c>
      <c r="T10" s="14">
        <v>0.34655926276939503</v>
      </c>
      <c r="U10" s="14">
        <v>0.165176481415925</v>
      </c>
      <c r="V10" s="14">
        <v>0.37137610523171299</v>
      </c>
      <c r="W10" s="14">
        <v>0.26034312170493001</v>
      </c>
      <c r="X10" s="14">
        <v>0.24461664142381001</v>
      </c>
      <c r="Y10" s="14">
        <v>0.113383539068628</v>
      </c>
      <c r="Z10" s="14">
        <v>0.222793548352515</v>
      </c>
      <c r="AA10" s="14">
        <v>0.124254800199986</v>
      </c>
      <c r="AB10" s="14"/>
      <c r="AC10" s="14">
        <v>0.21547136743150699</v>
      </c>
      <c r="AD10" s="14">
        <v>0.232747786701722</v>
      </c>
      <c r="AE10" s="14">
        <v>0.18231253406841599</v>
      </c>
      <c r="AF10" s="14">
        <v>0.257982086830507</v>
      </c>
      <c r="AG10" s="14">
        <v>9.1110381110093105E-2</v>
      </c>
      <c r="AH10" s="14"/>
      <c r="AI10" s="14">
        <v>0.20506192877413301</v>
      </c>
      <c r="AJ10" s="14">
        <v>0.20748706120199001</v>
      </c>
      <c r="AK10" s="14">
        <v>0.302272859734523</v>
      </c>
      <c r="AL10" s="14">
        <v>0.25099510302299399</v>
      </c>
      <c r="AM10" s="14">
        <v>8.1110784635442496E-2</v>
      </c>
      <c r="AN10" s="14">
        <v>0.33567963141008</v>
      </c>
      <c r="AO10" s="14"/>
      <c r="AP10" s="14">
        <v>0.24372352813139</v>
      </c>
      <c r="AQ10" s="14">
        <v>0.201148633332738</v>
      </c>
      <c r="AR10" s="14"/>
      <c r="AS10" s="14" t="s">
        <v>88</v>
      </c>
      <c r="AT10" s="14">
        <v>0.22540199212067799</v>
      </c>
      <c r="AU10" s="14" t="s">
        <v>88</v>
      </c>
      <c r="AV10" s="14"/>
      <c r="AW10" s="14">
        <v>0.225275561941427</v>
      </c>
      <c r="AX10" s="14">
        <v>0.20480307740199299</v>
      </c>
      <c r="AY10" s="14"/>
      <c r="AZ10" s="14">
        <v>0.24460824086706801</v>
      </c>
      <c r="BA10" s="14">
        <v>0.171553649245901</v>
      </c>
    </row>
    <row r="11" spans="2:53" x14ac:dyDescent="0.35">
      <c r="B11" s="26" t="s">
        <v>116</v>
      </c>
      <c r="C11" s="23">
        <v>0.15863945376150501</v>
      </c>
      <c r="D11" s="23">
        <v>0.18925099082319999</v>
      </c>
      <c r="E11" s="23">
        <v>0.13316532124934299</v>
      </c>
      <c r="F11" s="23"/>
      <c r="G11" s="23">
        <v>0</v>
      </c>
      <c r="H11" s="23">
        <v>0.198107781884377</v>
      </c>
      <c r="I11" s="23">
        <v>0.13003309028421001</v>
      </c>
      <c r="J11" s="23">
        <v>0.17698068580263501</v>
      </c>
      <c r="K11" s="23">
        <v>8.4253366146259404E-2</v>
      </c>
      <c r="L11" s="23">
        <v>0.65180798771521298</v>
      </c>
      <c r="M11" s="23"/>
      <c r="N11" s="23">
        <v>0.15036169580355399</v>
      </c>
      <c r="O11" s="23">
        <v>0.11455111394418201</v>
      </c>
      <c r="P11" s="23">
        <v>0.173812647543586</v>
      </c>
      <c r="Q11" s="23">
        <v>0.19353665044489399</v>
      </c>
      <c r="R11" s="23"/>
      <c r="S11" s="23">
        <v>0.150489769653017</v>
      </c>
      <c r="T11" s="23">
        <v>5.2727666605481303E-2</v>
      </c>
      <c r="U11" s="23">
        <v>0.11160812103921</v>
      </c>
      <c r="V11" s="23">
        <v>0.24028058914185599</v>
      </c>
      <c r="W11" s="23">
        <v>0.12998663013178499</v>
      </c>
      <c r="X11" s="23">
        <v>0.24824238044712901</v>
      </c>
      <c r="Y11" s="23">
        <v>8.0072858734679703E-2</v>
      </c>
      <c r="Z11" s="23">
        <v>9.1437439563081396E-2</v>
      </c>
      <c r="AA11" s="23">
        <v>0.28181454702508701</v>
      </c>
      <c r="AB11" s="23"/>
      <c r="AC11" s="23">
        <v>0.25279650804742598</v>
      </c>
      <c r="AD11" s="23">
        <v>0.11873652391542699</v>
      </c>
      <c r="AE11" s="23">
        <v>0.113796345333239</v>
      </c>
      <c r="AF11" s="23">
        <v>0.13607010143479001</v>
      </c>
      <c r="AG11" s="23">
        <v>0.11731019154896</v>
      </c>
      <c r="AH11" s="23"/>
      <c r="AI11" s="23">
        <v>9.6101784155451397E-2</v>
      </c>
      <c r="AJ11" s="23">
        <v>0.14776287441269101</v>
      </c>
      <c r="AK11" s="23">
        <v>0.13034275938595999</v>
      </c>
      <c r="AL11" s="23">
        <v>0.18394655462628401</v>
      </c>
      <c r="AM11" s="23">
        <v>0.36500643195970101</v>
      </c>
      <c r="AN11" s="23">
        <v>0.26840292979653801</v>
      </c>
      <c r="AO11" s="23"/>
      <c r="AP11" s="23">
        <v>0.14371124225861701</v>
      </c>
      <c r="AQ11" s="23">
        <v>0.17840085746860401</v>
      </c>
      <c r="AR11" s="23"/>
      <c r="AS11" s="23" t="s">
        <v>88</v>
      </c>
      <c r="AT11" s="23">
        <v>0.15863945376150501</v>
      </c>
      <c r="AU11" s="23" t="s">
        <v>88</v>
      </c>
      <c r="AV11" s="23"/>
      <c r="AW11" s="23">
        <v>0.173424445408388</v>
      </c>
      <c r="AX11" s="23">
        <v>9.3881467145840794E-2</v>
      </c>
      <c r="AY11" s="23"/>
      <c r="AZ11" s="23">
        <v>0.12644482789161099</v>
      </c>
      <c r="BA11" s="23">
        <v>0.22404074636577201</v>
      </c>
    </row>
    <row r="12" spans="2:53" x14ac:dyDescent="0.35">
      <c r="B12" s="25" t="s">
        <v>320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BA18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245</v>
      </c>
      <c r="D7" s="10">
        <v>84</v>
      </c>
      <c r="E7" s="10">
        <v>161</v>
      </c>
      <c r="F7" s="10"/>
      <c r="G7" s="10" t="s">
        <v>87</v>
      </c>
      <c r="H7" s="10">
        <v>56</v>
      </c>
      <c r="I7" s="10">
        <v>135</v>
      </c>
      <c r="J7" s="10">
        <v>45</v>
      </c>
      <c r="K7" s="10">
        <v>8</v>
      </c>
      <c r="L7" s="10">
        <v>1</v>
      </c>
      <c r="M7" s="10"/>
      <c r="N7" s="10">
        <v>92</v>
      </c>
      <c r="O7" s="10">
        <v>73</v>
      </c>
      <c r="P7" s="10">
        <v>32</v>
      </c>
      <c r="Q7" s="10">
        <v>48</v>
      </c>
      <c r="R7" s="10"/>
      <c r="S7" s="10">
        <v>49</v>
      </c>
      <c r="T7" s="10">
        <v>40</v>
      </c>
      <c r="U7" s="10">
        <v>19</v>
      </c>
      <c r="V7" s="10">
        <v>13</v>
      </c>
      <c r="W7" s="10">
        <v>21</v>
      </c>
      <c r="X7" s="10">
        <v>26</v>
      </c>
      <c r="Y7" s="10">
        <v>33</v>
      </c>
      <c r="Z7" s="10">
        <v>10</v>
      </c>
      <c r="AA7" s="10">
        <v>34</v>
      </c>
      <c r="AB7" s="10"/>
      <c r="AC7" s="10">
        <v>25</v>
      </c>
      <c r="AD7" s="10">
        <v>53</v>
      </c>
      <c r="AE7" s="10">
        <v>84</v>
      </c>
      <c r="AF7" s="10">
        <v>56</v>
      </c>
      <c r="AG7" s="10">
        <v>6</v>
      </c>
      <c r="AH7" s="10"/>
      <c r="AI7" s="10">
        <v>97</v>
      </c>
      <c r="AJ7" s="10">
        <v>49</v>
      </c>
      <c r="AK7" s="10">
        <v>18</v>
      </c>
      <c r="AL7" s="10">
        <v>31</v>
      </c>
      <c r="AM7" s="10">
        <v>12</v>
      </c>
      <c r="AN7" s="10">
        <v>13</v>
      </c>
      <c r="AO7" s="10"/>
      <c r="AP7" s="10">
        <v>136</v>
      </c>
      <c r="AQ7" s="10">
        <v>109</v>
      </c>
      <c r="AR7" s="10"/>
      <c r="AS7" s="10" t="s">
        <v>87</v>
      </c>
      <c r="AT7" s="10">
        <v>245</v>
      </c>
      <c r="AU7" s="10" t="s">
        <v>87</v>
      </c>
      <c r="AV7" s="10"/>
      <c r="AW7" s="10">
        <v>185</v>
      </c>
      <c r="AX7" s="10">
        <v>50</v>
      </c>
      <c r="AY7" s="10"/>
      <c r="AZ7" s="10">
        <v>193</v>
      </c>
      <c r="BA7" s="10">
        <v>52</v>
      </c>
    </row>
    <row r="8" spans="2:53" ht="30" customHeight="1" x14ac:dyDescent="0.35">
      <c r="B8" s="11" t="s">
        <v>19</v>
      </c>
      <c r="C8" s="11">
        <v>240</v>
      </c>
      <c r="D8" s="11">
        <v>98</v>
      </c>
      <c r="E8" s="11">
        <v>142</v>
      </c>
      <c r="F8" s="11"/>
      <c r="G8" s="11" t="s">
        <v>87</v>
      </c>
      <c r="H8" s="11">
        <v>51</v>
      </c>
      <c r="I8" s="11">
        <v>133</v>
      </c>
      <c r="J8" s="11">
        <v>43</v>
      </c>
      <c r="K8" s="11">
        <v>12</v>
      </c>
      <c r="L8" s="11">
        <v>1</v>
      </c>
      <c r="M8" s="11"/>
      <c r="N8" s="11">
        <v>57</v>
      </c>
      <c r="O8" s="11">
        <v>73</v>
      </c>
      <c r="P8" s="11">
        <v>44</v>
      </c>
      <c r="Q8" s="11">
        <v>66</v>
      </c>
      <c r="R8" s="11"/>
      <c r="S8" s="11">
        <v>39</v>
      </c>
      <c r="T8" s="11">
        <v>39</v>
      </c>
      <c r="U8" s="11">
        <v>25</v>
      </c>
      <c r="V8" s="11">
        <v>13</v>
      </c>
      <c r="W8" s="11">
        <v>22</v>
      </c>
      <c r="X8" s="11">
        <v>25</v>
      </c>
      <c r="Y8" s="11">
        <v>32</v>
      </c>
      <c r="Z8" s="11">
        <v>10</v>
      </c>
      <c r="AA8" s="11">
        <v>34</v>
      </c>
      <c r="AB8" s="11"/>
      <c r="AC8" s="11">
        <v>34</v>
      </c>
      <c r="AD8" s="11">
        <v>57</v>
      </c>
      <c r="AE8" s="11">
        <v>80</v>
      </c>
      <c r="AF8" s="11">
        <v>44</v>
      </c>
      <c r="AG8" s="11">
        <v>4</v>
      </c>
      <c r="AH8" s="11"/>
      <c r="AI8" s="11">
        <v>101</v>
      </c>
      <c r="AJ8" s="11">
        <v>45</v>
      </c>
      <c r="AK8" s="11">
        <v>15</v>
      </c>
      <c r="AL8" s="11">
        <v>30</v>
      </c>
      <c r="AM8" s="11">
        <v>12</v>
      </c>
      <c r="AN8" s="11">
        <v>11</v>
      </c>
      <c r="AO8" s="11"/>
      <c r="AP8" s="11">
        <v>136</v>
      </c>
      <c r="AQ8" s="11">
        <v>104</v>
      </c>
      <c r="AR8" s="11"/>
      <c r="AS8" s="11" t="s">
        <v>87</v>
      </c>
      <c r="AT8" s="11">
        <v>240</v>
      </c>
      <c r="AU8" s="11" t="s">
        <v>87</v>
      </c>
      <c r="AV8" s="11"/>
      <c r="AW8" s="11">
        <v>187</v>
      </c>
      <c r="AX8" s="11">
        <v>41</v>
      </c>
      <c r="AY8" s="11"/>
      <c r="AZ8" s="11">
        <v>188</v>
      </c>
      <c r="BA8" s="11">
        <v>53</v>
      </c>
    </row>
    <row r="9" spans="2:53" x14ac:dyDescent="0.35">
      <c r="B9" s="15" t="s">
        <v>214</v>
      </c>
      <c r="C9" s="14">
        <v>0.17957252984388899</v>
      </c>
      <c r="D9" s="14">
        <v>0.15666656489648201</v>
      </c>
      <c r="E9" s="14">
        <v>0.19540624846997401</v>
      </c>
      <c r="F9" s="14"/>
      <c r="G9" s="14" t="s">
        <v>88</v>
      </c>
      <c r="H9" s="14">
        <v>0.237312864367767</v>
      </c>
      <c r="I9" s="14">
        <v>0.202438237985724</v>
      </c>
      <c r="J9" s="14">
        <v>6.7251147716743898E-2</v>
      </c>
      <c r="K9" s="14">
        <v>0</v>
      </c>
      <c r="L9" s="14">
        <v>1</v>
      </c>
      <c r="M9" s="14"/>
      <c r="N9" s="14">
        <v>0.246708474705153</v>
      </c>
      <c r="O9" s="14">
        <v>0.18473752337256</v>
      </c>
      <c r="P9" s="14">
        <v>8.9801388119765804E-2</v>
      </c>
      <c r="Q9" s="14">
        <v>0.175535025103327</v>
      </c>
      <c r="R9" s="14"/>
      <c r="S9" s="14">
        <v>0.30739654644749997</v>
      </c>
      <c r="T9" s="14">
        <v>0.16681458083516901</v>
      </c>
      <c r="U9" s="14">
        <v>0.218801497392977</v>
      </c>
      <c r="V9" s="14">
        <v>0.149150460517537</v>
      </c>
      <c r="W9" s="14">
        <v>0.123719550788886</v>
      </c>
      <c r="X9" s="14">
        <v>0.106262238313053</v>
      </c>
      <c r="Y9" s="14">
        <v>0.17707746290245099</v>
      </c>
      <c r="Z9" s="14">
        <v>0.20682476140923101</v>
      </c>
      <c r="AA9" s="14">
        <v>0.114840826466618</v>
      </c>
      <c r="AB9" s="14"/>
      <c r="AC9" s="14">
        <v>0.20241479773142601</v>
      </c>
      <c r="AD9" s="14">
        <v>0.10111747853443601</v>
      </c>
      <c r="AE9" s="14">
        <v>0.17325036709442099</v>
      </c>
      <c r="AF9" s="14">
        <v>0.27792330579983998</v>
      </c>
      <c r="AG9" s="14">
        <v>0.100728242007126</v>
      </c>
      <c r="AH9" s="14"/>
      <c r="AI9" s="14">
        <v>0.23244730403057301</v>
      </c>
      <c r="AJ9" s="14">
        <v>0.13823187940666301</v>
      </c>
      <c r="AK9" s="14">
        <v>0.45538338651893701</v>
      </c>
      <c r="AL9" s="14">
        <v>5.78041528298417E-2</v>
      </c>
      <c r="AM9" s="14">
        <v>2.11466000473873E-2</v>
      </c>
      <c r="AN9" s="14">
        <v>6.1281736633396297E-2</v>
      </c>
      <c r="AO9" s="14"/>
      <c r="AP9" s="14">
        <v>0.14563962171750899</v>
      </c>
      <c r="AQ9" s="14">
        <v>0.22392075958316701</v>
      </c>
      <c r="AR9" s="14"/>
      <c r="AS9" s="14" t="s">
        <v>88</v>
      </c>
      <c r="AT9" s="14">
        <v>0.17957252984388899</v>
      </c>
      <c r="AU9" s="14" t="s">
        <v>88</v>
      </c>
      <c r="AV9" s="14"/>
      <c r="AW9" s="14">
        <v>0.162598058411977</v>
      </c>
      <c r="AX9" s="14">
        <v>0.23466211771500201</v>
      </c>
      <c r="AY9" s="14"/>
      <c r="AZ9" s="14">
        <v>0.194719391539346</v>
      </c>
      <c r="BA9" s="14">
        <v>0.12545931636657401</v>
      </c>
    </row>
    <row r="10" spans="2:53" x14ac:dyDescent="0.35">
      <c r="B10" s="15" t="s">
        <v>215</v>
      </c>
      <c r="C10" s="14">
        <v>0.55777289176174505</v>
      </c>
      <c r="D10" s="14">
        <v>0.65019948977164299</v>
      </c>
      <c r="E10" s="14">
        <v>0.49388312550150698</v>
      </c>
      <c r="F10" s="14"/>
      <c r="G10" s="14" t="s">
        <v>88</v>
      </c>
      <c r="H10" s="14">
        <v>0.45953228440400101</v>
      </c>
      <c r="I10" s="14">
        <v>0.54914549975426197</v>
      </c>
      <c r="J10" s="14">
        <v>0.63356997611217403</v>
      </c>
      <c r="K10" s="14">
        <v>0.85724970215491303</v>
      </c>
      <c r="L10" s="14">
        <v>0</v>
      </c>
      <c r="M10" s="14"/>
      <c r="N10" s="14">
        <v>0.57678371663219596</v>
      </c>
      <c r="O10" s="14">
        <v>0.48473960799273003</v>
      </c>
      <c r="P10" s="14">
        <v>0.614851899370365</v>
      </c>
      <c r="Q10" s="14">
        <v>0.58463704182096898</v>
      </c>
      <c r="R10" s="14"/>
      <c r="S10" s="14">
        <v>0.47750936906888197</v>
      </c>
      <c r="T10" s="14">
        <v>0.52980031940293504</v>
      </c>
      <c r="U10" s="14">
        <v>0.73746689720606495</v>
      </c>
      <c r="V10" s="14">
        <v>0.34350550306280497</v>
      </c>
      <c r="W10" s="14">
        <v>0.57970635354167699</v>
      </c>
      <c r="X10" s="14">
        <v>0.70686721987345102</v>
      </c>
      <c r="Y10" s="14">
        <v>0.49495452828238301</v>
      </c>
      <c r="Z10" s="14">
        <v>0.49750921827404898</v>
      </c>
      <c r="AA10" s="14">
        <v>0.585566026350964</v>
      </c>
      <c r="AB10" s="14"/>
      <c r="AC10" s="14">
        <v>0.50231239108276504</v>
      </c>
      <c r="AD10" s="14">
        <v>0.60066240100214496</v>
      </c>
      <c r="AE10" s="14">
        <v>0.54060398332980997</v>
      </c>
      <c r="AF10" s="14">
        <v>0.54812426532820302</v>
      </c>
      <c r="AG10" s="14">
        <v>0.60940389272542095</v>
      </c>
      <c r="AH10" s="14"/>
      <c r="AI10" s="14">
        <v>0.50389661556643595</v>
      </c>
      <c r="AJ10" s="14">
        <v>0.69291814180509803</v>
      </c>
      <c r="AK10" s="14">
        <v>0.21777987877522101</v>
      </c>
      <c r="AL10" s="14">
        <v>0.71695745741471895</v>
      </c>
      <c r="AM10" s="14">
        <v>0.61187975899500802</v>
      </c>
      <c r="AN10" s="14">
        <v>0.69575127088335398</v>
      </c>
      <c r="AO10" s="14"/>
      <c r="AP10" s="14">
        <v>0.57508094621163197</v>
      </c>
      <c r="AQ10" s="14">
        <v>0.53515232613781705</v>
      </c>
      <c r="AR10" s="14"/>
      <c r="AS10" s="14" t="s">
        <v>88</v>
      </c>
      <c r="AT10" s="14">
        <v>0.55777289176174505</v>
      </c>
      <c r="AU10" s="14" t="s">
        <v>88</v>
      </c>
      <c r="AV10" s="14"/>
      <c r="AW10" s="14">
        <v>0.54560303826692802</v>
      </c>
      <c r="AX10" s="14">
        <v>0.61366599819541501</v>
      </c>
      <c r="AY10" s="14"/>
      <c r="AZ10" s="14">
        <v>0.53580769090077995</v>
      </c>
      <c r="BA10" s="14">
        <v>0.63624509459555401</v>
      </c>
    </row>
    <row r="11" spans="2:53" x14ac:dyDescent="0.35">
      <c r="B11" s="15" t="s">
        <v>216</v>
      </c>
      <c r="C11" s="14">
        <v>0.16810725974769</v>
      </c>
      <c r="D11" s="14">
        <v>0.144918999683744</v>
      </c>
      <c r="E11" s="14">
        <v>0.184136114507751</v>
      </c>
      <c r="F11" s="14"/>
      <c r="G11" s="14" t="s">
        <v>88</v>
      </c>
      <c r="H11" s="14">
        <v>0.148070912619407</v>
      </c>
      <c r="I11" s="14">
        <v>0.17801841384266601</v>
      </c>
      <c r="J11" s="14">
        <v>0.17293472759559</v>
      </c>
      <c r="K11" s="14">
        <v>0.142750297845087</v>
      </c>
      <c r="L11" s="14">
        <v>0</v>
      </c>
      <c r="M11" s="14"/>
      <c r="N11" s="14">
        <v>9.2177979859657699E-2</v>
      </c>
      <c r="O11" s="14">
        <v>0.172950776724271</v>
      </c>
      <c r="P11" s="14">
        <v>0.22520858179386</v>
      </c>
      <c r="Q11" s="14">
        <v>0.19016612956343601</v>
      </c>
      <c r="R11" s="14"/>
      <c r="S11" s="14">
        <v>0.16355595011492399</v>
      </c>
      <c r="T11" s="14">
        <v>0.16371764906696801</v>
      </c>
      <c r="U11" s="14">
        <v>0</v>
      </c>
      <c r="V11" s="14">
        <v>0.43192340106763899</v>
      </c>
      <c r="W11" s="14">
        <v>0.29657409566943599</v>
      </c>
      <c r="X11" s="14">
        <v>0.119514277143887</v>
      </c>
      <c r="Y11" s="14">
        <v>0.16903670316122801</v>
      </c>
      <c r="Z11" s="14">
        <v>0.22118219710470099</v>
      </c>
      <c r="AA11" s="14">
        <v>0.13678626806871499</v>
      </c>
      <c r="AB11" s="14"/>
      <c r="AC11" s="14">
        <v>0.26892725202061102</v>
      </c>
      <c r="AD11" s="14">
        <v>0.19174301261815899</v>
      </c>
      <c r="AE11" s="14">
        <v>0.16347179797077399</v>
      </c>
      <c r="AF11" s="14">
        <v>0.114796962866407</v>
      </c>
      <c r="AG11" s="14">
        <v>0</v>
      </c>
      <c r="AH11" s="14"/>
      <c r="AI11" s="14">
        <v>0.17129466992265899</v>
      </c>
      <c r="AJ11" s="14">
        <v>0.10293832817205099</v>
      </c>
      <c r="AK11" s="14">
        <v>0.23432992640595701</v>
      </c>
      <c r="AL11" s="14">
        <v>0.10327866896761401</v>
      </c>
      <c r="AM11" s="14">
        <v>0.23466838950623101</v>
      </c>
      <c r="AN11" s="14">
        <v>0.15933763879725599</v>
      </c>
      <c r="AO11" s="14"/>
      <c r="AP11" s="14">
        <v>0.16570621372045199</v>
      </c>
      <c r="AQ11" s="14">
        <v>0.171245279643714</v>
      </c>
      <c r="AR11" s="14"/>
      <c r="AS11" s="14" t="s">
        <v>88</v>
      </c>
      <c r="AT11" s="14">
        <v>0.16810725974769</v>
      </c>
      <c r="AU11" s="14" t="s">
        <v>88</v>
      </c>
      <c r="AV11" s="14"/>
      <c r="AW11" s="14">
        <v>0.18678230313024699</v>
      </c>
      <c r="AX11" s="14">
        <v>0.101922781685845</v>
      </c>
      <c r="AY11" s="14"/>
      <c r="AZ11" s="14">
        <v>0.173169425111658</v>
      </c>
      <c r="BA11" s="14">
        <v>0.15002232304558699</v>
      </c>
    </row>
    <row r="12" spans="2:53" x14ac:dyDescent="0.35">
      <c r="B12" s="15" t="s">
        <v>217</v>
      </c>
      <c r="C12" s="14">
        <v>1.8925014640627399E-2</v>
      </c>
      <c r="D12" s="14">
        <v>1.0991540443515401E-2</v>
      </c>
      <c r="E12" s="14">
        <v>2.44090184122564E-2</v>
      </c>
      <c r="F12" s="14"/>
      <c r="G12" s="14" t="s">
        <v>88</v>
      </c>
      <c r="H12" s="14">
        <v>6.9093032601630203E-2</v>
      </c>
      <c r="I12" s="14">
        <v>0</v>
      </c>
      <c r="J12" s="14">
        <v>2.37261256500748E-2</v>
      </c>
      <c r="K12" s="14">
        <v>0</v>
      </c>
      <c r="L12" s="14">
        <v>0</v>
      </c>
      <c r="M12" s="14"/>
      <c r="N12" s="14">
        <v>1.8989002292677099E-2</v>
      </c>
      <c r="O12" s="14">
        <v>3.3335667226585902E-2</v>
      </c>
      <c r="P12" s="14">
        <v>0</v>
      </c>
      <c r="Q12" s="14">
        <v>1.5409704130128101E-2</v>
      </c>
      <c r="R12" s="14"/>
      <c r="S12" s="14">
        <v>2.19222698544498E-2</v>
      </c>
      <c r="T12" s="14">
        <v>4.9892665209689498E-2</v>
      </c>
      <c r="U12" s="14">
        <v>0</v>
      </c>
      <c r="V12" s="14">
        <v>0</v>
      </c>
      <c r="W12" s="14">
        <v>0</v>
      </c>
      <c r="X12" s="14">
        <v>2.7881860354935398E-2</v>
      </c>
      <c r="Y12" s="14">
        <v>3.1717239228151499E-2</v>
      </c>
      <c r="Z12" s="14">
        <v>0</v>
      </c>
      <c r="AA12" s="14">
        <v>0</v>
      </c>
      <c r="AB12" s="14"/>
      <c r="AC12" s="14">
        <v>0</v>
      </c>
      <c r="AD12" s="14">
        <v>1.5547728219575599E-2</v>
      </c>
      <c r="AE12" s="14">
        <v>2.41931878870736E-2</v>
      </c>
      <c r="AF12" s="14">
        <v>0</v>
      </c>
      <c r="AG12" s="14">
        <v>0.28986786526745301</v>
      </c>
      <c r="AH12" s="14"/>
      <c r="AI12" s="14">
        <v>1.86907871434835E-2</v>
      </c>
      <c r="AJ12" s="14">
        <v>0</v>
      </c>
      <c r="AK12" s="14">
        <v>0</v>
      </c>
      <c r="AL12" s="14">
        <v>8.9911110614914996E-2</v>
      </c>
      <c r="AM12" s="14">
        <v>0</v>
      </c>
      <c r="AN12" s="14">
        <v>0</v>
      </c>
      <c r="AO12" s="14"/>
      <c r="AP12" s="14">
        <v>2.8273514517721001E-2</v>
      </c>
      <c r="AQ12" s="14">
        <v>6.7070986658789101E-3</v>
      </c>
      <c r="AR12" s="14"/>
      <c r="AS12" s="14" t="s">
        <v>88</v>
      </c>
      <c r="AT12" s="14">
        <v>1.8925014640627399E-2</v>
      </c>
      <c r="AU12" s="14" t="s">
        <v>88</v>
      </c>
      <c r="AV12" s="14"/>
      <c r="AW12" s="14">
        <v>1.4210304436163499E-2</v>
      </c>
      <c r="AX12" s="14">
        <v>2.11612869047479E-2</v>
      </c>
      <c r="AY12" s="14"/>
      <c r="AZ12" s="14">
        <v>2.42223267188733E-2</v>
      </c>
      <c r="BA12" s="14">
        <v>0</v>
      </c>
    </row>
    <row r="13" spans="2:53" x14ac:dyDescent="0.35">
      <c r="B13" s="26" t="s">
        <v>116</v>
      </c>
      <c r="C13" s="23">
        <v>4.3802602094534702E-2</v>
      </c>
      <c r="D13" s="23">
        <v>2.3760745660358702E-2</v>
      </c>
      <c r="E13" s="23">
        <v>5.7656509417442298E-2</v>
      </c>
      <c r="F13" s="23"/>
      <c r="G13" s="23" t="s">
        <v>88</v>
      </c>
      <c r="H13" s="23">
        <v>4.0838218812667297E-2</v>
      </c>
      <c r="I13" s="23">
        <v>3.8071537443114499E-2</v>
      </c>
      <c r="J13" s="23">
        <v>7.8369916860903804E-2</v>
      </c>
      <c r="K13" s="23">
        <v>0</v>
      </c>
      <c r="L13" s="23">
        <v>0</v>
      </c>
      <c r="M13" s="23"/>
      <c r="N13" s="23">
        <v>1.75619015788273E-2</v>
      </c>
      <c r="O13" s="23">
        <v>0.10018039793860201</v>
      </c>
      <c r="P13" s="23">
        <v>2.3766559140857801E-2</v>
      </c>
      <c r="Q13" s="23">
        <v>1.7126049691069799E-2</v>
      </c>
      <c r="R13" s="23"/>
      <c r="S13" s="23">
        <v>0</v>
      </c>
      <c r="T13" s="23">
        <v>4.4887392621952703E-2</v>
      </c>
      <c r="U13" s="23">
        <v>4.37316054009576E-2</v>
      </c>
      <c r="V13" s="23">
        <v>7.5420635352018095E-2</v>
      </c>
      <c r="W13" s="23">
        <v>0</v>
      </c>
      <c r="X13" s="23">
        <v>0</v>
      </c>
      <c r="Y13" s="23">
        <v>7.7883753786393298E-2</v>
      </c>
      <c r="Z13" s="23">
        <v>7.4483823212018505E-2</v>
      </c>
      <c r="AA13" s="23">
        <v>0.10080214163046999</v>
      </c>
      <c r="AB13" s="23"/>
      <c r="AC13" s="23">
        <v>0</v>
      </c>
      <c r="AD13" s="23">
        <v>5.2609815633744901E-2</v>
      </c>
      <c r="AE13" s="23">
        <v>7.1290120307104202E-2</v>
      </c>
      <c r="AF13" s="23">
        <v>2.4497405494062201E-2</v>
      </c>
      <c r="AG13" s="23">
        <v>0</v>
      </c>
      <c r="AH13" s="23"/>
      <c r="AI13" s="23">
        <v>3.8327453339915898E-2</v>
      </c>
      <c r="AJ13" s="23">
        <v>6.1505672899166898E-2</v>
      </c>
      <c r="AK13" s="23">
        <v>7.1080451607094697E-2</v>
      </c>
      <c r="AL13" s="23">
        <v>3.20486101729099E-2</v>
      </c>
      <c r="AM13" s="23">
        <v>0</v>
      </c>
      <c r="AN13" s="23">
        <v>0</v>
      </c>
      <c r="AO13" s="23"/>
      <c r="AP13" s="23">
        <v>4.5184549546146001E-2</v>
      </c>
      <c r="AQ13" s="23">
        <v>4.19964815332372E-2</v>
      </c>
      <c r="AR13" s="23"/>
      <c r="AS13" s="23" t="s">
        <v>88</v>
      </c>
      <c r="AT13" s="23">
        <v>4.3802602094534702E-2</v>
      </c>
      <c r="AU13" s="23" t="s">
        <v>88</v>
      </c>
      <c r="AV13" s="23"/>
      <c r="AW13" s="23">
        <v>5.6212605931205098E-2</v>
      </c>
      <c r="AX13" s="23">
        <v>0</v>
      </c>
      <c r="AY13" s="23"/>
      <c r="AZ13" s="23">
        <v>4.1595288737282098E-2</v>
      </c>
      <c r="BA13" s="23">
        <v>5.1688382087374002E-2</v>
      </c>
    </row>
    <row r="14" spans="2:53" x14ac:dyDescent="0.35">
      <c r="B14" s="25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BA19"/>
  <sheetViews>
    <sheetView showGridLines="0" workbookViewId="0">
      <pane xSplit="2" topLeftCell="C1" activePane="topRight" state="frozen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299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245</v>
      </c>
      <c r="D7" s="10">
        <v>84</v>
      </c>
      <c r="E7" s="10">
        <v>161</v>
      </c>
      <c r="F7" s="10"/>
      <c r="G7" s="10" t="s">
        <v>87</v>
      </c>
      <c r="H7" s="10">
        <v>56</v>
      </c>
      <c r="I7" s="10">
        <v>135</v>
      </c>
      <c r="J7" s="10">
        <v>45</v>
      </c>
      <c r="K7" s="10">
        <v>8</v>
      </c>
      <c r="L7" s="10">
        <v>1</v>
      </c>
      <c r="M7" s="10"/>
      <c r="N7" s="10">
        <v>92</v>
      </c>
      <c r="O7" s="10">
        <v>73</v>
      </c>
      <c r="P7" s="10">
        <v>32</v>
      </c>
      <c r="Q7" s="10">
        <v>48</v>
      </c>
      <c r="R7" s="10"/>
      <c r="S7" s="10">
        <v>49</v>
      </c>
      <c r="T7" s="10">
        <v>40</v>
      </c>
      <c r="U7" s="10">
        <v>19</v>
      </c>
      <c r="V7" s="10">
        <v>13</v>
      </c>
      <c r="W7" s="10">
        <v>21</v>
      </c>
      <c r="X7" s="10">
        <v>26</v>
      </c>
      <c r="Y7" s="10">
        <v>33</v>
      </c>
      <c r="Z7" s="10">
        <v>10</v>
      </c>
      <c r="AA7" s="10">
        <v>34</v>
      </c>
      <c r="AB7" s="10"/>
      <c r="AC7" s="10">
        <v>25</v>
      </c>
      <c r="AD7" s="10">
        <v>53</v>
      </c>
      <c r="AE7" s="10">
        <v>84</v>
      </c>
      <c r="AF7" s="10">
        <v>56</v>
      </c>
      <c r="AG7" s="10">
        <v>6</v>
      </c>
      <c r="AH7" s="10"/>
      <c r="AI7" s="10">
        <v>97</v>
      </c>
      <c r="AJ7" s="10">
        <v>49</v>
      </c>
      <c r="AK7" s="10">
        <v>18</v>
      </c>
      <c r="AL7" s="10">
        <v>31</v>
      </c>
      <c r="AM7" s="10">
        <v>12</v>
      </c>
      <c r="AN7" s="10">
        <v>13</v>
      </c>
      <c r="AO7" s="10"/>
      <c r="AP7" s="10">
        <v>136</v>
      </c>
      <c r="AQ7" s="10">
        <v>109</v>
      </c>
      <c r="AR7" s="10"/>
      <c r="AS7" s="10" t="s">
        <v>87</v>
      </c>
      <c r="AT7" s="10">
        <v>245</v>
      </c>
      <c r="AU7" s="10" t="s">
        <v>87</v>
      </c>
      <c r="AV7" s="10"/>
      <c r="AW7" s="10">
        <v>185</v>
      </c>
      <c r="AX7" s="10">
        <v>50</v>
      </c>
      <c r="AY7" s="10"/>
      <c r="AZ7" s="10">
        <v>193</v>
      </c>
      <c r="BA7" s="10">
        <v>52</v>
      </c>
    </row>
    <row r="8" spans="2:53" ht="30" customHeight="1" x14ac:dyDescent="0.35">
      <c r="B8" s="11" t="s">
        <v>19</v>
      </c>
      <c r="C8" s="11">
        <v>240</v>
      </c>
      <c r="D8" s="11">
        <v>98</v>
      </c>
      <c r="E8" s="11">
        <v>142</v>
      </c>
      <c r="F8" s="11"/>
      <c r="G8" s="11" t="s">
        <v>87</v>
      </c>
      <c r="H8" s="11">
        <v>51</v>
      </c>
      <c r="I8" s="11">
        <v>133</v>
      </c>
      <c r="J8" s="11">
        <v>43</v>
      </c>
      <c r="K8" s="11">
        <v>12</v>
      </c>
      <c r="L8" s="11">
        <v>1</v>
      </c>
      <c r="M8" s="11"/>
      <c r="N8" s="11">
        <v>57</v>
      </c>
      <c r="O8" s="11">
        <v>73</v>
      </c>
      <c r="P8" s="11">
        <v>44</v>
      </c>
      <c r="Q8" s="11">
        <v>66</v>
      </c>
      <c r="R8" s="11"/>
      <c r="S8" s="11">
        <v>39</v>
      </c>
      <c r="T8" s="11">
        <v>39</v>
      </c>
      <c r="U8" s="11">
        <v>25</v>
      </c>
      <c r="V8" s="11">
        <v>13</v>
      </c>
      <c r="W8" s="11">
        <v>22</v>
      </c>
      <c r="X8" s="11">
        <v>25</v>
      </c>
      <c r="Y8" s="11">
        <v>32</v>
      </c>
      <c r="Z8" s="11">
        <v>10</v>
      </c>
      <c r="AA8" s="11">
        <v>34</v>
      </c>
      <c r="AB8" s="11"/>
      <c r="AC8" s="11">
        <v>34</v>
      </c>
      <c r="AD8" s="11">
        <v>57</v>
      </c>
      <c r="AE8" s="11">
        <v>80</v>
      </c>
      <c r="AF8" s="11">
        <v>44</v>
      </c>
      <c r="AG8" s="11">
        <v>4</v>
      </c>
      <c r="AH8" s="11"/>
      <c r="AI8" s="11">
        <v>101</v>
      </c>
      <c r="AJ8" s="11">
        <v>45</v>
      </c>
      <c r="AK8" s="11">
        <v>15</v>
      </c>
      <c r="AL8" s="11">
        <v>30</v>
      </c>
      <c r="AM8" s="11">
        <v>12</v>
      </c>
      <c r="AN8" s="11">
        <v>11</v>
      </c>
      <c r="AO8" s="11"/>
      <c r="AP8" s="11">
        <v>136</v>
      </c>
      <c r="AQ8" s="11">
        <v>104</v>
      </c>
      <c r="AR8" s="11"/>
      <c r="AS8" s="11" t="s">
        <v>87</v>
      </c>
      <c r="AT8" s="11">
        <v>240</v>
      </c>
      <c r="AU8" s="11" t="s">
        <v>87</v>
      </c>
      <c r="AV8" s="11"/>
      <c r="AW8" s="11">
        <v>187</v>
      </c>
      <c r="AX8" s="11">
        <v>41</v>
      </c>
      <c r="AY8" s="11"/>
      <c r="AZ8" s="11">
        <v>188</v>
      </c>
      <c r="BA8" s="11">
        <v>53</v>
      </c>
    </row>
    <row r="9" spans="2:53" x14ac:dyDescent="0.35">
      <c r="B9" s="15" t="s">
        <v>220</v>
      </c>
      <c r="C9" s="14">
        <v>0.229050890054181</v>
      </c>
      <c r="D9" s="14">
        <v>0.24000139221530201</v>
      </c>
      <c r="E9" s="14">
        <v>0.22148136960692599</v>
      </c>
      <c r="F9" s="14"/>
      <c r="G9" s="14" t="s">
        <v>88</v>
      </c>
      <c r="H9" s="14">
        <v>0.23128632210910299</v>
      </c>
      <c r="I9" s="14">
        <v>0.26996202861985902</v>
      </c>
      <c r="J9" s="14">
        <v>0.121574766350835</v>
      </c>
      <c r="K9" s="14">
        <v>0.17411249675718499</v>
      </c>
      <c r="L9" s="14">
        <v>0</v>
      </c>
      <c r="M9" s="14"/>
      <c r="N9" s="14">
        <v>0.28799796340454298</v>
      </c>
      <c r="O9" s="14">
        <v>0.27810734387532499</v>
      </c>
      <c r="P9" s="14">
        <v>0.16507595137508799</v>
      </c>
      <c r="Q9" s="14">
        <v>0.16643367152610999</v>
      </c>
      <c r="R9" s="14"/>
      <c r="S9" s="14">
        <v>0.143498914880478</v>
      </c>
      <c r="T9" s="14">
        <v>0.29185098949232802</v>
      </c>
      <c r="U9" s="14">
        <v>0.25150057831707801</v>
      </c>
      <c r="V9" s="14">
        <v>0.341756664836324</v>
      </c>
      <c r="W9" s="14">
        <v>0.29543775493019497</v>
      </c>
      <c r="X9" s="14">
        <v>0.186783141791945</v>
      </c>
      <c r="Y9" s="14">
        <v>0.166916493003468</v>
      </c>
      <c r="Z9" s="14">
        <v>0</v>
      </c>
      <c r="AA9" s="14">
        <v>0.31157813154867697</v>
      </c>
      <c r="AB9" s="14"/>
      <c r="AC9" s="14">
        <v>0.12737805214700801</v>
      </c>
      <c r="AD9" s="14">
        <v>0.21372687861970399</v>
      </c>
      <c r="AE9" s="14">
        <v>0.24470116566550501</v>
      </c>
      <c r="AF9" s="14">
        <v>0.25337984481578402</v>
      </c>
      <c r="AG9" s="14">
        <v>0.63212291014066702</v>
      </c>
      <c r="AH9" s="14"/>
      <c r="AI9" s="14">
        <v>0.25908835650184497</v>
      </c>
      <c r="AJ9" s="14">
        <v>0.19849467943847601</v>
      </c>
      <c r="AK9" s="14">
        <v>0.37031678572091298</v>
      </c>
      <c r="AL9" s="14">
        <v>0.14015376189182799</v>
      </c>
      <c r="AM9" s="14">
        <v>0.19512694887099299</v>
      </c>
      <c r="AN9" s="14">
        <v>0.33028106815358799</v>
      </c>
      <c r="AO9" s="14"/>
      <c r="AP9" s="14">
        <v>0.223173457740692</v>
      </c>
      <c r="AQ9" s="14">
        <v>0.236732333611713</v>
      </c>
      <c r="AR9" s="14"/>
      <c r="AS9" s="14" t="s">
        <v>88</v>
      </c>
      <c r="AT9" s="14">
        <v>0.229050890054181</v>
      </c>
      <c r="AU9" s="14" t="s">
        <v>88</v>
      </c>
      <c r="AV9" s="14"/>
      <c r="AW9" s="14">
        <v>0.21753508483221801</v>
      </c>
      <c r="AX9" s="14">
        <v>0.27112526662221897</v>
      </c>
      <c r="AY9" s="14"/>
      <c r="AZ9" s="14">
        <v>0.247297093916892</v>
      </c>
      <c r="BA9" s="14">
        <v>0.163865061819572</v>
      </c>
    </row>
    <row r="10" spans="2:53" x14ac:dyDescent="0.35">
      <c r="B10" s="15" t="s">
        <v>221</v>
      </c>
      <c r="C10" s="14">
        <v>0.53058657405554499</v>
      </c>
      <c r="D10" s="14">
        <v>0.60195589833078</v>
      </c>
      <c r="E10" s="14">
        <v>0.48125262101307098</v>
      </c>
      <c r="F10" s="14"/>
      <c r="G10" s="14" t="s">
        <v>88</v>
      </c>
      <c r="H10" s="14">
        <v>0.45522337419280801</v>
      </c>
      <c r="I10" s="14">
        <v>0.50674268607631601</v>
      </c>
      <c r="J10" s="14">
        <v>0.60642518114771204</v>
      </c>
      <c r="K10" s="14">
        <v>0.79815629689173495</v>
      </c>
      <c r="L10" s="14">
        <v>1</v>
      </c>
      <c r="M10" s="14"/>
      <c r="N10" s="14">
        <v>0.52235775825917397</v>
      </c>
      <c r="O10" s="14">
        <v>0.48564001758008701</v>
      </c>
      <c r="P10" s="14">
        <v>0.49928133521395301</v>
      </c>
      <c r="Q10" s="14">
        <v>0.60804590280929904</v>
      </c>
      <c r="R10" s="14"/>
      <c r="S10" s="14">
        <v>0.67726424693001297</v>
      </c>
      <c r="T10" s="14">
        <v>0.37264211733401797</v>
      </c>
      <c r="U10" s="14">
        <v>0.57490537916620799</v>
      </c>
      <c r="V10" s="14">
        <v>0.266218923844938</v>
      </c>
      <c r="W10" s="14">
        <v>0.49998210869225101</v>
      </c>
      <c r="X10" s="14">
        <v>0.55285938506593102</v>
      </c>
      <c r="Y10" s="14">
        <v>0.54268423953586298</v>
      </c>
      <c r="Z10" s="14">
        <v>1</v>
      </c>
      <c r="AA10" s="14">
        <v>0.46127292153239202</v>
      </c>
      <c r="AB10" s="14"/>
      <c r="AC10" s="14">
        <v>0.60497517697324799</v>
      </c>
      <c r="AD10" s="14">
        <v>0.51455961903214498</v>
      </c>
      <c r="AE10" s="14">
        <v>0.46745554330608302</v>
      </c>
      <c r="AF10" s="14">
        <v>0.60576739012589698</v>
      </c>
      <c r="AG10" s="14">
        <v>7.8009224591880102E-2</v>
      </c>
      <c r="AH10" s="14"/>
      <c r="AI10" s="14">
        <v>0.53596452451964605</v>
      </c>
      <c r="AJ10" s="14">
        <v>0.65083849453305498</v>
      </c>
      <c r="AK10" s="14">
        <v>0.35909466801911399</v>
      </c>
      <c r="AL10" s="14">
        <v>0.55299235466650398</v>
      </c>
      <c r="AM10" s="14">
        <v>0.50195099534954302</v>
      </c>
      <c r="AN10" s="14">
        <v>0.32585194420531699</v>
      </c>
      <c r="AO10" s="14"/>
      <c r="AP10" s="14">
        <v>0.52328264984650796</v>
      </c>
      <c r="AQ10" s="14">
        <v>0.54013235503058898</v>
      </c>
      <c r="AR10" s="14"/>
      <c r="AS10" s="14" t="s">
        <v>88</v>
      </c>
      <c r="AT10" s="14">
        <v>0.53058657405554499</v>
      </c>
      <c r="AU10" s="14" t="s">
        <v>88</v>
      </c>
      <c r="AV10" s="14"/>
      <c r="AW10" s="14">
        <v>0.53366447501469005</v>
      </c>
      <c r="AX10" s="14">
        <v>0.50602709088283404</v>
      </c>
      <c r="AY10" s="14"/>
      <c r="AZ10" s="14">
        <v>0.53051600120411202</v>
      </c>
      <c r="BA10" s="14">
        <v>0.53083870045981996</v>
      </c>
    </row>
    <row r="11" spans="2:53" x14ac:dyDescent="0.35">
      <c r="B11" s="15" t="s">
        <v>222</v>
      </c>
      <c r="C11" s="14">
        <v>0.15358516722627899</v>
      </c>
      <c r="D11" s="14">
        <v>0.123423027968302</v>
      </c>
      <c r="E11" s="14">
        <v>0.17443470695395</v>
      </c>
      <c r="F11" s="14"/>
      <c r="G11" s="14" t="s">
        <v>88</v>
      </c>
      <c r="H11" s="14">
        <v>0.15318292223916199</v>
      </c>
      <c r="I11" s="14">
        <v>0.15632175383444699</v>
      </c>
      <c r="J11" s="14">
        <v>0.18471919358289299</v>
      </c>
      <c r="K11" s="14">
        <v>2.7731206351080499E-2</v>
      </c>
      <c r="L11" s="14">
        <v>0</v>
      </c>
      <c r="M11" s="14"/>
      <c r="N11" s="14">
        <v>9.4177181252423706E-2</v>
      </c>
      <c r="O11" s="14">
        <v>0.17022305338291599</v>
      </c>
      <c r="P11" s="14">
        <v>0.23074480038520601</v>
      </c>
      <c r="Q11" s="14">
        <v>0.13518851115772301</v>
      </c>
      <c r="R11" s="14"/>
      <c r="S11" s="14">
        <v>0.149620973675265</v>
      </c>
      <c r="T11" s="14">
        <v>0.18029682892757101</v>
      </c>
      <c r="U11" s="14">
        <v>0.111680008570386</v>
      </c>
      <c r="V11" s="14">
        <v>0.31660377596672001</v>
      </c>
      <c r="W11" s="14">
        <v>0.149750116049051</v>
      </c>
      <c r="X11" s="14">
        <v>0.144271462634809</v>
      </c>
      <c r="Y11" s="14">
        <v>0.17131813324936801</v>
      </c>
      <c r="Z11" s="14">
        <v>0</v>
      </c>
      <c r="AA11" s="14">
        <v>0.13613452714423399</v>
      </c>
      <c r="AB11" s="14"/>
      <c r="AC11" s="14">
        <v>0.22570954332913901</v>
      </c>
      <c r="AD11" s="14">
        <v>0.10771323353886</v>
      </c>
      <c r="AE11" s="14">
        <v>0.212272069424746</v>
      </c>
      <c r="AF11" s="14">
        <v>8.7444655186566494E-2</v>
      </c>
      <c r="AG11" s="14">
        <v>0</v>
      </c>
      <c r="AH11" s="14"/>
      <c r="AI11" s="14">
        <v>0.14918067776494701</v>
      </c>
      <c r="AJ11" s="14">
        <v>3.1487747934921803E-2</v>
      </c>
      <c r="AK11" s="14">
        <v>0.158418428093374</v>
      </c>
      <c r="AL11" s="14">
        <v>0.192418644160186</v>
      </c>
      <c r="AM11" s="14">
        <v>0.21785332933816501</v>
      </c>
      <c r="AN11" s="14">
        <v>0.27427404879968498</v>
      </c>
      <c r="AO11" s="14"/>
      <c r="AP11" s="14">
        <v>0.168097977279758</v>
      </c>
      <c r="AQ11" s="14">
        <v>0.13461781458980099</v>
      </c>
      <c r="AR11" s="14"/>
      <c r="AS11" s="14" t="s">
        <v>88</v>
      </c>
      <c r="AT11" s="14">
        <v>0.15358516722627899</v>
      </c>
      <c r="AU11" s="14" t="s">
        <v>88</v>
      </c>
      <c r="AV11" s="14"/>
      <c r="AW11" s="14">
        <v>0.151925181935053</v>
      </c>
      <c r="AX11" s="14">
        <v>0.18148087467503299</v>
      </c>
      <c r="AY11" s="14"/>
      <c r="AZ11" s="14">
        <v>0.121360128021643</v>
      </c>
      <c r="BA11" s="14">
        <v>0.268711353815698</v>
      </c>
    </row>
    <row r="12" spans="2:53" x14ac:dyDescent="0.35">
      <c r="B12" s="15" t="s">
        <v>223</v>
      </c>
      <c r="C12" s="14">
        <v>2.9933845282577799E-2</v>
      </c>
      <c r="D12" s="14">
        <v>1.0991540443515401E-2</v>
      </c>
      <c r="E12" s="14">
        <v>4.30276889883505E-2</v>
      </c>
      <c r="F12" s="14"/>
      <c r="G12" s="14" t="s">
        <v>88</v>
      </c>
      <c r="H12" s="14">
        <v>7.3398965055007995E-2</v>
      </c>
      <c r="I12" s="14">
        <v>2.0654641094472601E-2</v>
      </c>
      <c r="J12" s="14">
        <v>1.6222868984981199E-2</v>
      </c>
      <c r="K12" s="14">
        <v>0</v>
      </c>
      <c r="L12" s="14">
        <v>0</v>
      </c>
      <c r="M12" s="14"/>
      <c r="N12" s="14">
        <v>1.8989002292677099E-2</v>
      </c>
      <c r="O12" s="14">
        <v>2.9049302492744199E-2</v>
      </c>
      <c r="P12" s="14">
        <v>3.4759782309743602E-2</v>
      </c>
      <c r="Q12" s="14">
        <v>3.71121761008869E-2</v>
      </c>
      <c r="R12" s="14"/>
      <c r="S12" s="14">
        <v>0</v>
      </c>
      <c r="T12" s="14">
        <v>5.8668903769995402E-2</v>
      </c>
      <c r="U12" s="14">
        <v>6.1914033946328197E-2</v>
      </c>
      <c r="V12" s="14">
        <v>0</v>
      </c>
      <c r="W12" s="14">
        <v>5.4830020328502697E-2</v>
      </c>
      <c r="X12" s="14">
        <v>5.5763719649490902E-2</v>
      </c>
      <c r="Y12" s="14">
        <v>2.2801204196545299E-2</v>
      </c>
      <c r="Z12" s="14">
        <v>0</v>
      </c>
      <c r="AA12" s="14">
        <v>0</v>
      </c>
      <c r="AB12" s="14"/>
      <c r="AC12" s="14">
        <v>0</v>
      </c>
      <c r="AD12" s="14">
        <v>6.1445507590576799E-2</v>
      </c>
      <c r="AE12" s="14">
        <v>3.7398889456485701E-2</v>
      </c>
      <c r="AF12" s="14">
        <v>0</v>
      </c>
      <c r="AG12" s="14">
        <v>0</v>
      </c>
      <c r="AH12" s="14"/>
      <c r="AI12" s="14">
        <v>0</v>
      </c>
      <c r="AJ12" s="14">
        <v>6.1285618750855302E-2</v>
      </c>
      <c r="AK12" s="14">
        <v>0</v>
      </c>
      <c r="AL12" s="14">
        <v>6.0084936491993597E-2</v>
      </c>
      <c r="AM12" s="14">
        <v>0</v>
      </c>
      <c r="AN12" s="14">
        <v>6.9592938841409602E-2</v>
      </c>
      <c r="AO12" s="14"/>
      <c r="AP12" s="14">
        <v>7.9298734623635594E-3</v>
      </c>
      <c r="AQ12" s="14">
        <v>5.8691686898305701E-2</v>
      </c>
      <c r="AR12" s="14"/>
      <c r="AS12" s="14" t="s">
        <v>88</v>
      </c>
      <c r="AT12" s="14">
        <v>2.9933845282577799E-2</v>
      </c>
      <c r="AU12" s="14" t="s">
        <v>88</v>
      </c>
      <c r="AV12" s="14"/>
      <c r="AW12" s="14">
        <v>3.8414600238672998E-2</v>
      </c>
      <c r="AX12" s="14">
        <v>0</v>
      </c>
      <c r="AY12" s="14"/>
      <c r="AZ12" s="14">
        <v>3.8312645678501199E-2</v>
      </c>
      <c r="BA12" s="14">
        <v>0</v>
      </c>
    </row>
    <row r="13" spans="2:53" x14ac:dyDescent="0.35">
      <c r="B13" s="15" t="s">
        <v>116</v>
      </c>
      <c r="C13" s="18">
        <v>1.4694522498306399E-2</v>
      </c>
      <c r="D13" s="18">
        <v>0</v>
      </c>
      <c r="E13" s="18">
        <v>2.4852092158309198E-2</v>
      </c>
      <c r="F13" s="18"/>
      <c r="G13" s="18" t="s">
        <v>88</v>
      </c>
      <c r="H13" s="18">
        <v>3.1519142880653599E-2</v>
      </c>
      <c r="I13" s="18">
        <v>1.44466696269318E-2</v>
      </c>
      <c r="J13" s="18">
        <v>0</v>
      </c>
      <c r="K13" s="18">
        <v>0</v>
      </c>
      <c r="L13" s="18">
        <v>0</v>
      </c>
      <c r="M13" s="18"/>
      <c r="N13" s="18">
        <v>1.16094265412312E-2</v>
      </c>
      <c r="O13" s="18">
        <v>2.49522692963027E-2</v>
      </c>
      <c r="P13" s="18">
        <v>2.3766559140857801E-2</v>
      </c>
      <c r="Q13" s="18">
        <v>0</v>
      </c>
      <c r="R13" s="18"/>
      <c r="S13" s="18">
        <v>0</v>
      </c>
      <c r="T13" s="18">
        <v>3.92253463862548E-2</v>
      </c>
      <c r="U13" s="18">
        <v>0</v>
      </c>
      <c r="V13" s="18">
        <v>7.5420635352018095E-2</v>
      </c>
      <c r="W13" s="18">
        <v>0</v>
      </c>
      <c r="X13" s="18">
        <v>0</v>
      </c>
      <c r="Y13" s="18">
        <v>3.2281345393302602E-2</v>
      </c>
      <c r="Z13" s="18">
        <v>0</v>
      </c>
      <c r="AA13" s="18">
        <v>0</v>
      </c>
      <c r="AB13" s="18"/>
      <c r="AC13" s="18">
        <v>0</v>
      </c>
      <c r="AD13" s="18">
        <v>4.6649159998492999E-2</v>
      </c>
      <c r="AE13" s="18">
        <v>1.0981788736363201E-2</v>
      </c>
      <c r="AF13" s="18">
        <v>0</v>
      </c>
      <c r="AG13" s="18">
        <v>0</v>
      </c>
      <c r="AH13" s="18"/>
      <c r="AI13" s="18">
        <v>1.0301644577059701E-2</v>
      </c>
      <c r="AJ13" s="18">
        <v>1.96434706734715E-2</v>
      </c>
      <c r="AK13" s="18">
        <v>0</v>
      </c>
      <c r="AL13" s="18">
        <v>5.4350302789488603E-2</v>
      </c>
      <c r="AM13" s="18">
        <v>0</v>
      </c>
      <c r="AN13" s="18">
        <v>0</v>
      </c>
      <c r="AO13" s="18"/>
      <c r="AP13" s="18">
        <v>1.89709829461636E-2</v>
      </c>
      <c r="AQ13" s="18">
        <v>9.1054509779355305E-3</v>
      </c>
      <c r="AR13" s="18"/>
      <c r="AS13" s="18" t="s">
        <v>88</v>
      </c>
      <c r="AT13" s="18">
        <v>1.4694522498306399E-2</v>
      </c>
      <c r="AU13" s="18" t="s">
        <v>88</v>
      </c>
      <c r="AV13" s="18"/>
      <c r="AW13" s="18">
        <v>1.8857724496864701E-2</v>
      </c>
      <c r="AX13" s="18">
        <v>0</v>
      </c>
      <c r="AY13" s="18"/>
      <c r="AZ13" s="18">
        <v>1.41062079397738E-2</v>
      </c>
      <c r="BA13" s="18">
        <v>1.6796317044119002E-2</v>
      </c>
    </row>
    <row r="14" spans="2:53" x14ac:dyDescent="0.35">
      <c r="B14" s="26" t="s">
        <v>224</v>
      </c>
      <c r="C14" s="27">
        <v>0.75963746410972699</v>
      </c>
      <c r="D14" s="27">
        <v>0.84195729054608104</v>
      </c>
      <c r="E14" s="27">
        <v>0.70273399061999697</v>
      </c>
      <c r="F14" s="27"/>
      <c r="G14" s="27" t="s">
        <v>88</v>
      </c>
      <c r="H14" s="27">
        <v>0.68650969630191105</v>
      </c>
      <c r="I14" s="27">
        <v>0.77670471469617497</v>
      </c>
      <c r="J14" s="27">
        <v>0.72799994749854602</v>
      </c>
      <c r="K14" s="27">
        <v>0.97226879364891905</v>
      </c>
      <c r="L14" s="27">
        <v>1</v>
      </c>
      <c r="M14" s="27"/>
      <c r="N14" s="27">
        <v>0.81035572166371606</v>
      </c>
      <c r="O14" s="27">
        <v>0.763747361455412</v>
      </c>
      <c r="P14" s="27">
        <v>0.66435728658904103</v>
      </c>
      <c r="Q14" s="27">
        <v>0.77447957433540904</v>
      </c>
      <c r="R14" s="27"/>
      <c r="S14" s="27">
        <v>0.82076316181049103</v>
      </c>
      <c r="T14" s="27">
        <v>0.66449310682634599</v>
      </c>
      <c r="U14" s="27">
        <v>0.82640595748328605</v>
      </c>
      <c r="V14" s="27">
        <v>0.607975588681262</v>
      </c>
      <c r="W14" s="27">
        <v>0.79541986362244599</v>
      </c>
      <c r="X14" s="27">
        <v>0.73964252685787601</v>
      </c>
      <c r="Y14" s="27">
        <v>0.70960073253932998</v>
      </c>
      <c r="Z14" s="27">
        <v>1</v>
      </c>
      <c r="AA14" s="27">
        <v>0.77285105308106805</v>
      </c>
      <c r="AB14" s="27"/>
      <c r="AC14" s="27">
        <v>0.73235322912025602</v>
      </c>
      <c r="AD14" s="27">
        <v>0.72828649765184905</v>
      </c>
      <c r="AE14" s="27">
        <v>0.712156708971588</v>
      </c>
      <c r="AF14" s="27">
        <v>0.85914723494168099</v>
      </c>
      <c r="AG14" s="27">
        <v>0.71013213473254699</v>
      </c>
      <c r="AH14" s="27"/>
      <c r="AI14" s="27">
        <v>0.79505288102149096</v>
      </c>
      <c r="AJ14" s="27">
        <v>0.84933317397152996</v>
      </c>
      <c r="AK14" s="27">
        <v>0.72941145374002603</v>
      </c>
      <c r="AL14" s="27">
        <v>0.69314611655833203</v>
      </c>
      <c r="AM14" s="27">
        <v>0.69707794422053704</v>
      </c>
      <c r="AN14" s="27">
        <v>0.65613301235890498</v>
      </c>
      <c r="AO14" s="27"/>
      <c r="AP14" s="27">
        <v>0.74645610758719905</v>
      </c>
      <c r="AQ14" s="27">
        <v>0.77686468864230196</v>
      </c>
      <c r="AR14" s="27"/>
      <c r="AS14" s="27" t="s">
        <v>88</v>
      </c>
      <c r="AT14" s="27">
        <v>0.75963746410972699</v>
      </c>
      <c r="AU14" s="27" t="s">
        <v>88</v>
      </c>
      <c r="AV14" s="27"/>
      <c r="AW14" s="27">
        <v>0.751199559846908</v>
      </c>
      <c r="AX14" s="27">
        <v>0.77715235750505196</v>
      </c>
      <c r="AY14" s="27"/>
      <c r="AZ14" s="27">
        <v>0.77781309512100405</v>
      </c>
      <c r="BA14" s="27">
        <v>0.69470376227939101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BA18"/>
  <sheetViews>
    <sheetView showGridLines="0" topLeftCell="A3" workbookViewId="0">
      <pane xSplit="2" topLeftCell="C1" activePane="topRight" state="frozen"/>
      <selection pane="topRight" activeCell="C14" sqref="C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245</v>
      </c>
      <c r="D7" s="10">
        <v>84</v>
      </c>
      <c r="E7" s="10">
        <v>161</v>
      </c>
      <c r="F7" s="10"/>
      <c r="G7" s="10" t="s">
        <v>87</v>
      </c>
      <c r="H7" s="10">
        <v>56</v>
      </c>
      <c r="I7" s="10">
        <v>135</v>
      </c>
      <c r="J7" s="10">
        <v>45</v>
      </c>
      <c r="K7" s="10">
        <v>8</v>
      </c>
      <c r="L7" s="10">
        <v>1</v>
      </c>
      <c r="M7" s="10"/>
      <c r="N7" s="10">
        <v>92</v>
      </c>
      <c r="O7" s="10">
        <v>73</v>
      </c>
      <c r="P7" s="10">
        <v>32</v>
      </c>
      <c r="Q7" s="10">
        <v>48</v>
      </c>
      <c r="R7" s="10"/>
      <c r="S7" s="10">
        <v>49</v>
      </c>
      <c r="T7" s="10">
        <v>40</v>
      </c>
      <c r="U7" s="10">
        <v>19</v>
      </c>
      <c r="V7" s="10">
        <v>13</v>
      </c>
      <c r="W7" s="10">
        <v>21</v>
      </c>
      <c r="X7" s="10">
        <v>26</v>
      </c>
      <c r="Y7" s="10">
        <v>33</v>
      </c>
      <c r="Z7" s="10">
        <v>10</v>
      </c>
      <c r="AA7" s="10">
        <v>34</v>
      </c>
      <c r="AB7" s="10"/>
      <c r="AC7" s="10">
        <v>25</v>
      </c>
      <c r="AD7" s="10">
        <v>53</v>
      </c>
      <c r="AE7" s="10">
        <v>84</v>
      </c>
      <c r="AF7" s="10">
        <v>56</v>
      </c>
      <c r="AG7" s="10">
        <v>6</v>
      </c>
      <c r="AH7" s="10"/>
      <c r="AI7" s="10">
        <v>97</v>
      </c>
      <c r="AJ7" s="10">
        <v>49</v>
      </c>
      <c r="AK7" s="10">
        <v>18</v>
      </c>
      <c r="AL7" s="10">
        <v>31</v>
      </c>
      <c r="AM7" s="10">
        <v>12</v>
      </c>
      <c r="AN7" s="10">
        <v>13</v>
      </c>
      <c r="AO7" s="10"/>
      <c r="AP7" s="10">
        <v>136</v>
      </c>
      <c r="AQ7" s="10">
        <v>109</v>
      </c>
      <c r="AR7" s="10"/>
      <c r="AS7" s="10" t="s">
        <v>87</v>
      </c>
      <c r="AT7" s="10">
        <v>245</v>
      </c>
      <c r="AU7" s="10" t="s">
        <v>87</v>
      </c>
      <c r="AV7" s="10"/>
      <c r="AW7" s="10">
        <v>185</v>
      </c>
      <c r="AX7" s="10">
        <v>50</v>
      </c>
      <c r="AY7" s="10"/>
      <c r="AZ7" s="10">
        <v>193</v>
      </c>
      <c r="BA7" s="10">
        <v>52</v>
      </c>
    </row>
    <row r="8" spans="2:53" ht="30" customHeight="1" x14ac:dyDescent="0.35">
      <c r="B8" s="11" t="s">
        <v>19</v>
      </c>
      <c r="C8" s="11">
        <v>240</v>
      </c>
      <c r="D8" s="11">
        <v>98</v>
      </c>
      <c r="E8" s="11">
        <v>142</v>
      </c>
      <c r="F8" s="11"/>
      <c r="G8" s="11" t="s">
        <v>87</v>
      </c>
      <c r="H8" s="11">
        <v>51</v>
      </c>
      <c r="I8" s="11">
        <v>133</v>
      </c>
      <c r="J8" s="11">
        <v>43</v>
      </c>
      <c r="K8" s="11">
        <v>12</v>
      </c>
      <c r="L8" s="11">
        <v>1</v>
      </c>
      <c r="M8" s="11"/>
      <c r="N8" s="11">
        <v>57</v>
      </c>
      <c r="O8" s="11">
        <v>73</v>
      </c>
      <c r="P8" s="11">
        <v>44</v>
      </c>
      <c r="Q8" s="11">
        <v>66</v>
      </c>
      <c r="R8" s="11"/>
      <c r="S8" s="11">
        <v>39</v>
      </c>
      <c r="T8" s="11">
        <v>39</v>
      </c>
      <c r="U8" s="11">
        <v>25</v>
      </c>
      <c r="V8" s="11">
        <v>13</v>
      </c>
      <c r="W8" s="11">
        <v>22</v>
      </c>
      <c r="X8" s="11">
        <v>25</v>
      </c>
      <c r="Y8" s="11">
        <v>32</v>
      </c>
      <c r="Z8" s="11">
        <v>10</v>
      </c>
      <c r="AA8" s="11">
        <v>34</v>
      </c>
      <c r="AB8" s="11"/>
      <c r="AC8" s="11">
        <v>34</v>
      </c>
      <c r="AD8" s="11">
        <v>57</v>
      </c>
      <c r="AE8" s="11">
        <v>80</v>
      </c>
      <c r="AF8" s="11">
        <v>44</v>
      </c>
      <c r="AG8" s="11">
        <v>4</v>
      </c>
      <c r="AH8" s="11"/>
      <c r="AI8" s="11">
        <v>101</v>
      </c>
      <c r="AJ8" s="11">
        <v>45</v>
      </c>
      <c r="AK8" s="11">
        <v>15</v>
      </c>
      <c r="AL8" s="11">
        <v>30</v>
      </c>
      <c r="AM8" s="11">
        <v>12</v>
      </c>
      <c r="AN8" s="11">
        <v>11</v>
      </c>
      <c r="AO8" s="11"/>
      <c r="AP8" s="11">
        <v>136</v>
      </c>
      <c r="AQ8" s="11">
        <v>104</v>
      </c>
      <c r="AR8" s="11"/>
      <c r="AS8" s="11" t="s">
        <v>87</v>
      </c>
      <c r="AT8" s="11">
        <v>240</v>
      </c>
      <c r="AU8" s="11" t="s">
        <v>87</v>
      </c>
      <c r="AV8" s="11"/>
      <c r="AW8" s="11">
        <v>187</v>
      </c>
      <c r="AX8" s="11">
        <v>41</v>
      </c>
      <c r="AY8" s="11"/>
      <c r="AZ8" s="11">
        <v>188</v>
      </c>
      <c r="BA8" s="11">
        <v>53</v>
      </c>
    </row>
    <row r="9" spans="2:53" x14ac:dyDescent="0.35">
      <c r="B9" s="15" t="s">
        <v>226</v>
      </c>
      <c r="C9" s="14">
        <v>0.19720575494347101</v>
      </c>
      <c r="D9" s="14">
        <v>0.24379660463202801</v>
      </c>
      <c r="E9" s="14">
        <v>0.16499989039191501</v>
      </c>
      <c r="F9" s="14"/>
      <c r="G9" s="14" t="s">
        <v>88</v>
      </c>
      <c r="H9" s="14">
        <v>0.17288610437763499</v>
      </c>
      <c r="I9" s="14">
        <v>0.248718757470104</v>
      </c>
      <c r="J9" s="14">
        <v>3.9234840592761298E-2</v>
      </c>
      <c r="K9" s="14">
        <v>0.31686279460227101</v>
      </c>
      <c r="L9" s="14">
        <v>0</v>
      </c>
      <c r="M9" s="14"/>
      <c r="N9" s="14">
        <v>0.27649319372845499</v>
      </c>
      <c r="O9" s="14">
        <v>0.18266900762221799</v>
      </c>
      <c r="P9" s="14">
        <v>0.16564923569760001</v>
      </c>
      <c r="Q9" s="14">
        <v>0.166138523289736</v>
      </c>
      <c r="R9" s="14"/>
      <c r="S9" s="14">
        <v>0.15989068380326099</v>
      </c>
      <c r="T9" s="14">
        <v>0.117900672956671</v>
      </c>
      <c r="U9" s="14">
        <v>4.2708013734842003E-2</v>
      </c>
      <c r="V9" s="14">
        <v>0.13188880980195</v>
      </c>
      <c r="W9" s="14">
        <v>0.35026777611218701</v>
      </c>
      <c r="X9" s="14">
        <v>0.241190957741758</v>
      </c>
      <c r="Y9" s="14">
        <v>0.27734826647428001</v>
      </c>
      <c r="Z9" s="14">
        <v>0.20682476140923101</v>
      </c>
      <c r="AA9" s="14">
        <v>0.254863263731261</v>
      </c>
      <c r="AB9" s="14"/>
      <c r="AC9" s="14">
        <v>0.23210771167651501</v>
      </c>
      <c r="AD9" s="14">
        <v>0.101487327682352</v>
      </c>
      <c r="AE9" s="14">
        <v>0.21115849974095999</v>
      </c>
      <c r="AF9" s="14">
        <v>0.30661887624704298</v>
      </c>
      <c r="AG9" s="14">
        <v>0.63212291014066702</v>
      </c>
      <c r="AH9" s="14"/>
      <c r="AI9" s="14">
        <v>0.27578231514786899</v>
      </c>
      <c r="AJ9" s="14">
        <v>0.10732888185888</v>
      </c>
      <c r="AK9" s="14">
        <v>0.35595406951811098</v>
      </c>
      <c r="AL9" s="14">
        <v>4.7477719046090001E-2</v>
      </c>
      <c r="AM9" s="14">
        <v>6.8383125057462704E-2</v>
      </c>
      <c r="AN9" s="14">
        <v>0.152392345974914</v>
      </c>
      <c r="AO9" s="14"/>
      <c r="AP9" s="14">
        <v>0.218512395778</v>
      </c>
      <c r="AQ9" s="14">
        <v>0.16935928215714799</v>
      </c>
      <c r="AR9" s="14"/>
      <c r="AS9" s="14" t="s">
        <v>88</v>
      </c>
      <c r="AT9" s="14">
        <v>0.19720575494347101</v>
      </c>
      <c r="AU9" s="14" t="s">
        <v>88</v>
      </c>
      <c r="AV9" s="14"/>
      <c r="AW9" s="14">
        <v>0.19941938487455599</v>
      </c>
      <c r="AX9" s="14">
        <v>0.206209301919629</v>
      </c>
      <c r="AY9" s="14"/>
      <c r="AZ9" s="14">
        <v>0.22980741048846501</v>
      </c>
      <c r="BA9" s="14">
        <v>8.0734080368840194E-2</v>
      </c>
    </row>
    <row r="10" spans="2:53" x14ac:dyDescent="0.35">
      <c r="B10" s="15" t="s">
        <v>227</v>
      </c>
      <c r="C10" s="14">
        <v>0.49628805914771701</v>
      </c>
      <c r="D10" s="14">
        <v>0.55906431843271898</v>
      </c>
      <c r="E10" s="14">
        <v>0.45289405115900599</v>
      </c>
      <c r="F10" s="14"/>
      <c r="G10" s="14" t="s">
        <v>88</v>
      </c>
      <c r="H10" s="14">
        <v>0.51421033055457999</v>
      </c>
      <c r="I10" s="14">
        <v>0.48551935651032102</v>
      </c>
      <c r="J10" s="14">
        <v>0.45022780517601502</v>
      </c>
      <c r="K10" s="14">
        <v>0.65540599904664798</v>
      </c>
      <c r="L10" s="14">
        <v>1</v>
      </c>
      <c r="M10" s="14"/>
      <c r="N10" s="14">
        <v>0.43220091206142303</v>
      </c>
      <c r="O10" s="14">
        <v>0.54568445367017604</v>
      </c>
      <c r="P10" s="14">
        <v>0.413835554735768</v>
      </c>
      <c r="Q10" s="14">
        <v>0.550976763184997</v>
      </c>
      <c r="R10" s="14"/>
      <c r="S10" s="14">
        <v>0.54789530772522099</v>
      </c>
      <c r="T10" s="14">
        <v>0.45060652132491003</v>
      </c>
      <c r="U10" s="14">
        <v>0.77368901900925902</v>
      </c>
      <c r="V10" s="14">
        <v>0.47795272274516098</v>
      </c>
      <c r="W10" s="14">
        <v>0.39097948593182402</v>
      </c>
      <c r="X10" s="14">
        <v>0.41093723952256</v>
      </c>
      <c r="Y10" s="14">
        <v>0.38493659025416799</v>
      </c>
      <c r="Z10" s="14">
        <v>0.61323920391796305</v>
      </c>
      <c r="AA10" s="14">
        <v>0.49854684318785902</v>
      </c>
      <c r="AB10" s="14"/>
      <c r="AC10" s="14">
        <v>0.44267741929425197</v>
      </c>
      <c r="AD10" s="14">
        <v>0.406460067699976</v>
      </c>
      <c r="AE10" s="14">
        <v>0.50084119870345201</v>
      </c>
      <c r="AF10" s="14">
        <v>0.57856360647071103</v>
      </c>
      <c r="AG10" s="14">
        <v>7.8009224591880102E-2</v>
      </c>
      <c r="AH10" s="14"/>
      <c r="AI10" s="14">
        <v>0.514704549644734</v>
      </c>
      <c r="AJ10" s="14">
        <v>0.51625580351934397</v>
      </c>
      <c r="AK10" s="14">
        <v>0.35203102701009698</v>
      </c>
      <c r="AL10" s="14">
        <v>0.50308607970617203</v>
      </c>
      <c r="AM10" s="14">
        <v>0.66530131038156304</v>
      </c>
      <c r="AN10" s="14">
        <v>0.48654059653631399</v>
      </c>
      <c r="AO10" s="14"/>
      <c r="AP10" s="14">
        <v>0.50657528228822801</v>
      </c>
      <c r="AQ10" s="14">
        <v>0.48284328944170102</v>
      </c>
      <c r="AR10" s="14"/>
      <c r="AS10" s="14" t="s">
        <v>88</v>
      </c>
      <c r="AT10" s="14">
        <v>0.49628805914771701</v>
      </c>
      <c r="AU10" s="14" t="s">
        <v>88</v>
      </c>
      <c r="AV10" s="14"/>
      <c r="AW10" s="14">
        <v>0.47437098887186901</v>
      </c>
      <c r="AX10" s="14">
        <v>0.51126777590908901</v>
      </c>
      <c r="AY10" s="14"/>
      <c r="AZ10" s="14">
        <v>0.49272623559551298</v>
      </c>
      <c r="BA10" s="14">
        <v>0.50901292071470305</v>
      </c>
    </row>
    <row r="11" spans="2:53" x14ac:dyDescent="0.35">
      <c r="B11" s="15" t="s">
        <v>228</v>
      </c>
      <c r="C11" s="14">
        <v>0.18621647778126499</v>
      </c>
      <c r="D11" s="14">
        <v>0.131905439343107</v>
      </c>
      <c r="E11" s="14">
        <v>0.223758912814882</v>
      </c>
      <c r="F11" s="14"/>
      <c r="G11" s="14" t="s">
        <v>88</v>
      </c>
      <c r="H11" s="14">
        <v>0.10316292506348999</v>
      </c>
      <c r="I11" s="14">
        <v>0.176633489919792</v>
      </c>
      <c r="J11" s="14">
        <v>0.36330302888419802</v>
      </c>
      <c r="K11" s="14">
        <v>2.7731206351080499E-2</v>
      </c>
      <c r="L11" s="14">
        <v>0</v>
      </c>
      <c r="M11" s="14"/>
      <c r="N11" s="14">
        <v>0.18676168318897601</v>
      </c>
      <c r="O11" s="14">
        <v>0.13974195582973101</v>
      </c>
      <c r="P11" s="14">
        <v>0.31150321358323202</v>
      </c>
      <c r="Q11" s="14">
        <v>0.15450762940008</v>
      </c>
      <c r="R11" s="14"/>
      <c r="S11" s="14">
        <v>0.232103527217422</v>
      </c>
      <c r="T11" s="14">
        <v>0.25950109029646901</v>
      </c>
      <c r="U11" s="14">
        <v>0.13987136185494101</v>
      </c>
      <c r="V11" s="14">
        <v>0.20982523448679299</v>
      </c>
      <c r="W11" s="14">
        <v>0.13945057486503401</v>
      </c>
      <c r="X11" s="14">
        <v>0.19768586519286099</v>
      </c>
      <c r="Y11" s="14">
        <v>0.14303169621218001</v>
      </c>
      <c r="Z11" s="14">
        <v>0.105452211460788</v>
      </c>
      <c r="AA11" s="14">
        <v>0.160865342972002</v>
      </c>
      <c r="AB11" s="14"/>
      <c r="AC11" s="14">
        <v>0.19659348283900399</v>
      </c>
      <c r="AD11" s="14">
        <v>0.32179496598333202</v>
      </c>
      <c r="AE11" s="14">
        <v>0.18163885188555901</v>
      </c>
      <c r="AF11" s="14">
        <v>3.6912001916431202E-2</v>
      </c>
      <c r="AG11" s="14">
        <v>0.28986786526745301</v>
      </c>
      <c r="AH11" s="14"/>
      <c r="AI11" s="14">
        <v>0.14589054383653799</v>
      </c>
      <c r="AJ11" s="14">
        <v>0.29108394247389102</v>
      </c>
      <c r="AK11" s="14">
        <v>6.5095343865991098E-2</v>
      </c>
      <c r="AL11" s="14">
        <v>0.229557164388486</v>
      </c>
      <c r="AM11" s="14">
        <v>0.18124683811967501</v>
      </c>
      <c r="AN11" s="14">
        <v>0.17746793843830599</v>
      </c>
      <c r="AO11" s="14"/>
      <c r="AP11" s="14">
        <v>0.164268751403679</v>
      </c>
      <c r="AQ11" s="14">
        <v>0.21490081005313899</v>
      </c>
      <c r="AR11" s="14"/>
      <c r="AS11" s="14" t="s">
        <v>88</v>
      </c>
      <c r="AT11" s="14">
        <v>0.18621647778126499</v>
      </c>
      <c r="AU11" s="14" t="s">
        <v>88</v>
      </c>
      <c r="AV11" s="14"/>
      <c r="AW11" s="14">
        <v>0.18087070767480701</v>
      </c>
      <c r="AX11" s="14">
        <v>0.241156154351367</v>
      </c>
      <c r="AY11" s="14"/>
      <c r="AZ11" s="14">
        <v>0.172288321536718</v>
      </c>
      <c r="BA11" s="14">
        <v>0.23597578154731699</v>
      </c>
    </row>
    <row r="12" spans="2:53" x14ac:dyDescent="0.35">
      <c r="B12" s="15" t="s">
        <v>229</v>
      </c>
      <c r="C12" s="14">
        <v>5.2820925713725098E-2</v>
      </c>
      <c r="D12" s="14">
        <v>4.3071293713009801E-2</v>
      </c>
      <c r="E12" s="14">
        <v>5.95603462167099E-2</v>
      </c>
      <c r="F12" s="14"/>
      <c r="G12" s="14" t="s">
        <v>88</v>
      </c>
      <c r="H12" s="14">
        <v>9.9252449561867295E-2</v>
      </c>
      <c r="I12" s="14">
        <v>3.6213679660830798E-2</v>
      </c>
      <c r="J12" s="14">
        <v>6.5212947982984298E-2</v>
      </c>
      <c r="K12" s="14">
        <v>0</v>
      </c>
      <c r="L12" s="14">
        <v>0</v>
      </c>
      <c r="M12" s="14"/>
      <c r="N12" s="14">
        <v>3.0598429678763601E-2</v>
      </c>
      <c r="O12" s="14">
        <v>7.4567509558176107E-2</v>
      </c>
      <c r="P12" s="14">
        <v>3.8873865267389701E-2</v>
      </c>
      <c r="Q12" s="14">
        <v>5.7009715373669098E-2</v>
      </c>
      <c r="R12" s="14"/>
      <c r="S12" s="14">
        <v>0</v>
      </c>
      <c r="T12" s="14">
        <v>7.5450554945861698E-2</v>
      </c>
      <c r="U12" s="14">
        <v>4.37316054009576E-2</v>
      </c>
      <c r="V12" s="14">
        <v>0.10491259761407799</v>
      </c>
      <c r="W12" s="14">
        <v>0.119302163090955</v>
      </c>
      <c r="X12" s="14">
        <v>5.5763719649490902E-2</v>
      </c>
      <c r="Y12" s="14">
        <v>7.56023128480698E-2</v>
      </c>
      <c r="Z12" s="14">
        <v>0</v>
      </c>
      <c r="AA12" s="14">
        <v>2.37198126256443E-2</v>
      </c>
      <c r="AB12" s="14"/>
      <c r="AC12" s="14">
        <v>5.0769059054213E-2</v>
      </c>
      <c r="AD12" s="14">
        <v>3.4655183858797102E-2</v>
      </c>
      <c r="AE12" s="14">
        <v>6.20245103726269E-2</v>
      </c>
      <c r="AF12" s="14">
        <v>2.4497405494062201E-2</v>
      </c>
      <c r="AG12" s="14">
        <v>0</v>
      </c>
      <c r="AH12" s="14"/>
      <c r="AI12" s="14">
        <v>1.3069391979532901E-2</v>
      </c>
      <c r="AJ12" s="14">
        <v>2.74379128051923E-2</v>
      </c>
      <c r="AK12" s="14">
        <v>0.114749441439201</v>
      </c>
      <c r="AL12" s="14">
        <v>0.136656915686727</v>
      </c>
      <c r="AM12" s="14">
        <v>0</v>
      </c>
      <c r="AN12" s="14">
        <v>6.9592938841409602E-2</v>
      </c>
      <c r="AO12" s="14"/>
      <c r="AP12" s="14">
        <v>3.61125082648295E-2</v>
      </c>
      <c r="AQ12" s="14">
        <v>7.4657802554450203E-2</v>
      </c>
      <c r="AR12" s="14"/>
      <c r="AS12" s="14" t="s">
        <v>88</v>
      </c>
      <c r="AT12" s="14">
        <v>5.2820925713725098E-2</v>
      </c>
      <c r="AU12" s="14" t="s">
        <v>88</v>
      </c>
      <c r="AV12" s="14"/>
      <c r="AW12" s="14">
        <v>6.7785970241196203E-2</v>
      </c>
      <c r="AX12" s="14">
        <v>0</v>
      </c>
      <c r="AY12" s="14"/>
      <c r="AZ12" s="14">
        <v>4.4960565623036998E-2</v>
      </c>
      <c r="BA12" s="14">
        <v>8.0902607064492593E-2</v>
      </c>
    </row>
    <row r="13" spans="2:53" x14ac:dyDescent="0.35">
      <c r="B13" s="26" t="s">
        <v>116</v>
      </c>
      <c r="C13" s="23">
        <v>2.5918883477357001E-2</v>
      </c>
      <c r="D13" s="23">
        <v>0</v>
      </c>
      <c r="E13" s="23">
        <v>4.3835278138094902E-2</v>
      </c>
      <c r="F13" s="23"/>
      <c r="G13" s="23" t="s">
        <v>88</v>
      </c>
      <c r="H13" s="23">
        <v>5.5098916919162702E-2</v>
      </c>
      <c r="I13" s="23">
        <v>1.44466696269318E-2</v>
      </c>
      <c r="J13" s="23">
        <v>3.4689513080536603E-2</v>
      </c>
      <c r="K13" s="23">
        <v>0</v>
      </c>
      <c r="L13" s="23">
        <v>0</v>
      </c>
      <c r="M13" s="23"/>
      <c r="N13" s="23">
        <v>1.16094265412312E-2</v>
      </c>
      <c r="O13" s="23">
        <v>4.5309059947073398E-2</v>
      </c>
      <c r="P13" s="23">
        <v>2.3766559140857801E-2</v>
      </c>
      <c r="Q13" s="23">
        <v>1.8147630345537499E-2</v>
      </c>
      <c r="R13" s="23"/>
      <c r="S13" s="23">
        <v>3.0494616739850801E-2</v>
      </c>
      <c r="T13" s="23">
        <v>3.92253463862548E-2</v>
      </c>
      <c r="U13" s="23">
        <v>0</v>
      </c>
      <c r="V13" s="23">
        <v>7.5420635352018095E-2</v>
      </c>
      <c r="W13" s="23">
        <v>0</v>
      </c>
      <c r="X13" s="23">
        <v>0</v>
      </c>
      <c r="Y13" s="23">
        <v>5.5082549589847901E-2</v>
      </c>
      <c r="Z13" s="23">
        <v>7.4483823212018505E-2</v>
      </c>
      <c r="AA13" s="23">
        <v>0</v>
      </c>
      <c r="AB13" s="23"/>
      <c r="AC13" s="23">
        <v>3.5915099585409997E-2</v>
      </c>
      <c r="AD13" s="23">
        <v>4.6649159998492999E-2</v>
      </c>
      <c r="AE13" s="23">
        <v>2.9567898291738601E-2</v>
      </c>
      <c r="AF13" s="23">
        <v>0</v>
      </c>
      <c r="AG13" s="23">
        <v>0</v>
      </c>
      <c r="AH13" s="23"/>
      <c r="AI13" s="23">
        <v>2.51002806834374E-2</v>
      </c>
      <c r="AJ13" s="23">
        <v>1.96434706734715E-2</v>
      </c>
      <c r="AK13" s="23">
        <v>0</v>
      </c>
      <c r="AL13" s="23">
        <v>5.4350302789488603E-2</v>
      </c>
      <c r="AM13" s="23">
        <v>0</v>
      </c>
      <c r="AN13" s="23">
        <v>0.11400618020905599</v>
      </c>
      <c r="AO13" s="23"/>
      <c r="AP13" s="23">
        <v>2.4548989293262501E-2</v>
      </c>
      <c r="AQ13" s="23">
        <v>2.7709251157264001E-2</v>
      </c>
      <c r="AR13" s="23"/>
      <c r="AS13" s="23" t="s">
        <v>88</v>
      </c>
      <c r="AT13" s="23">
        <v>2.5918883477357001E-2</v>
      </c>
      <c r="AU13" s="23" t="s">
        <v>88</v>
      </c>
      <c r="AV13" s="23"/>
      <c r="AW13" s="23">
        <v>3.3262133147822302E-2</v>
      </c>
      <c r="AX13" s="23">
        <v>0</v>
      </c>
      <c r="AY13" s="23"/>
      <c r="AZ13" s="23">
        <v>1.8018577172634099E-2</v>
      </c>
      <c r="BA13" s="23">
        <v>5.4143275447072398E-2</v>
      </c>
    </row>
    <row r="14" spans="2:53" x14ac:dyDescent="0.35">
      <c r="B14" s="25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BA17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245</v>
      </c>
      <c r="D7" s="10">
        <v>84</v>
      </c>
      <c r="E7" s="10">
        <v>161</v>
      </c>
      <c r="F7" s="10"/>
      <c r="G7" s="10" t="s">
        <v>87</v>
      </c>
      <c r="H7" s="10">
        <v>56</v>
      </c>
      <c r="I7" s="10">
        <v>135</v>
      </c>
      <c r="J7" s="10">
        <v>45</v>
      </c>
      <c r="K7" s="10">
        <v>8</v>
      </c>
      <c r="L7" s="10">
        <v>1</v>
      </c>
      <c r="M7" s="10"/>
      <c r="N7" s="10">
        <v>92</v>
      </c>
      <c r="O7" s="10">
        <v>73</v>
      </c>
      <c r="P7" s="10">
        <v>32</v>
      </c>
      <c r="Q7" s="10">
        <v>48</v>
      </c>
      <c r="R7" s="10"/>
      <c r="S7" s="10">
        <v>49</v>
      </c>
      <c r="T7" s="10">
        <v>40</v>
      </c>
      <c r="U7" s="10">
        <v>19</v>
      </c>
      <c r="V7" s="10">
        <v>13</v>
      </c>
      <c r="W7" s="10">
        <v>21</v>
      </c>
      <c r="X7" s="10">
        <v>26</v>
      </c>
      <c r="Y7" s="10">
        <v>33</v>
      </c>
      <c r="Z7" s="10">
        <v>10</v>
      </c>
      <c r="AA7" s="10">
        <v>34</v>
      </c>
      <c r="AB7" s="10"/>
      <c r="AC7" s="10">
        <v>25</v>
      </c>
      <c r="AD7" s="10">
        <v>53</v>
      </c>
      <c r="AE7" s="10">
        <v>84</v>
      </c>
      <c r="AF7" s="10">
        <v>56</v>
      </c>
      <c r="AG7" s="10">
        <v>6</v>
      </c>
      <c r="AH7" s="10"/>
      <c r="AI7" s="10">
        <v>97</v>
      </c>
      <c r="AJ7" s="10">
        <v>49</v>
      </c>
      <c r="AK7" s="10">
        <v>18</v>
      </c>
      <c r="AL7" s="10">
        <v>31</v>
      </c>
      <c r="AM7" s="10">
        <v>12</v>
      </c>
      <c r="AN7" s="10">
        <v>13</v>
      </c>
      <c r="AO7" s="10"/>
      <c r="AP7" s="10">
        <v>136</v>
      </c>
      <c r="AQ7" s="10">
        <v>109</v>
      </c>
      <c r="AR7" s="10"/>
      <c r="AS7" s="10" t="s">
        <v>87</v>
      </c>
      <c r="AT7" s="10">
        <v>245</v>
      </c>
      <c r="AU7" s="10" t="s">
        <v>87</v>
      </c>
      <c r="AV7" s="10"/>
      <c r="AW7" s="10">
        <v>185</v>
      </c>
      <c r="AX7" s="10">
        <v>50</v>
      </c>
      <c r="AY7" s="10"/>
      <c r="AZ7" s="10">
        <v>193</v>
      </c>
      <c r="BA7" s="10">
        <v>52</v>
      </c>
    </row>
    <row r="8" spans="2:53" ht="30" customHeight="1" x14ac:dyDescent="0.35">
      <c r="B8" s="11" t="s">
        <v>19</v>
      </c>
      <c r="C8" s="11">
        <v>240</v>
      </c>
      <c r="D8" s="11">
        <v>98</v>
      </c>
      <c r="E8" s="11">
        <v>142</v>
      </c>
      <c r="F8" s="11"/>
      <c r="G8" s="11" t="s">
        <v>87</v>
      </c>
      <c r="H8" s="11">
        <v>51</v>
      </c>
      <c r="I8" s="11">
        <v>133</v>
      </c>
      <c r="J8" s="11">
        <v>43</v>
      </c>
      <c r="K8" s="11">
        <v>12</v>
      </c>
      <c r="L8" s="11">
        <v>1</v>
      </c>
      <c r="M8" s="11"/>
      <c r="N8" s="11">
        <v>57</v>
      </c>
      <c r="O8" s="11">
        <v>73</v>
      </c>
      <c r="P8" s="11">
        <v>44</v>
      </c>
      <c r="Q8" s="11">
        <v>66</v>
      </c>
      <c r="R8" s="11"/>
      <c r="S8" s="11">
        <v>39</v>
      </c>
      <c r="T8" s="11">
        <v>39</v>
      </c>
      <c r="U8" s="11">
        <v>25</v>
      </c>
      <c r="V8" s="11">
        <v>13</v>
      </c>
      <c r="W8" s="11">
        <v>22</v>
      </c>
      <c r="X8" s="11">
        <v>25</v>
      </c>
      <c r="Y8" s="11">
        <v>32</v>
      </c>
      <c r="Z8" s="11">
        <v>10</v>
      </c>
      <c r="AA8" s="11">
        <v>34</v>
      </c>
      <c r="AB8" s="11"/>
      <c r="AC8" s="11">
        <v>34</v>
      </c>
      <c r="AD8" s="11">
        <v>57</v>
      </c>
      <c r="AE8" s="11">
        <v>80</v>
      </c>
      <c r="AF8" s="11">
        <v>44</v>
      </c>
      <c r="AG8" s="11">
        <v>4</v>
      </c>
      <c r="AH8" s="11"/>
      <c r="AI8" s="11">
        <v>101</v>
      </c>
      <c r="AJ8" s="11">
        <v>45</v>
      </c>
      <c r="AK8" s="11">
        <v>15</v>
      </c>
      <c r="AL8" s="11">
        <v>30</v>
      </c>
      <c r="AM8" s="11">
        <v>12</v>
      </c>
      <c r="AN8" s="11">
        <v>11</v>
      </c>
      <c r="AO8" s="11"/>
      <c r="AP8" s="11">
        <v>136</v>
      </c>
      <c r="AQ8" s="11">
        <v>104</v>
      </c>
      <c r="AR8" s="11"/>
      <c r="AS8" s="11" t="s">
        <v>87</v>
      </c>
      <c r="AT8" s="11">
        <v>240</v>
      </c>
      <c r="AU8" s="11" t="s">
        <v>87</v>
      </c>
      <c r="AV8" s="11"/>
      <c r="AW8" s="11">
        <v>187</v>
      </c>
      <c r="AX8" s="11">
        <v>41</v>
      </c>
      <c r="AY8" s="11"/>
      <c r="AZ8" s="11">
        <v>188</v>
      </c>
      <c r="BA8" s="11">
        <v>53</v>
      </c>
    </row>
    <row r="9" spans="2:53" ht="29" x14ac:dyDescent="0.35">
      <c r="B9" s="15" t="s">
        <v>231</v>
      </c>
      <c r="C9" s="14">
        <v>0.122701238189196</v>
      </c>
      <c r="D9" s="14">
        <v>0.14979191376940201</v>
      </c>
      <c r="E9" s="14">
        <v>0.103974843753841</v>
      </c>
      <c r="F9" s="14"/>
      <c r="G9" s="14" t="s">
        <v>88</v>
      </c>
      <c r="H9" s="14">
        <v>0.13392771920964699</v>
      </c>
      <c r="I9" s="14">
        <v>0.124858746526866</v>
      </c>
      <c r="J9" s="14">
        <v>9.1934012648687405E-2</v>
      </c>
      <c r="K9" s="14">
        <v>0.17411249675718499</v>
      </c>
      <c r="L9" s="14">
        <v>0</v>
      </c>
      <c r="M9" s="14"/>
      <c r="N9" s="14">
        <v>0.107469756144995</v>
      </c>
      <c r="O9" s="14">
        <v>8.9279291289415197E-2</v>
      </c>
      <c r="P9" s="14">
        <v>0.13702133006749001</v>
      </c>
      <c r="Q9" s="14">
        <v>0.16330095996396199</v>
      </c>
      <c r="R9" s="14"/>
      <c r="S9" s="14">
        <v>0.146400924986576</v>
      </c>
      <c r="T9" s="14">
        <v>0.16746662716430299</v>
      </c>
      <c r="U9" s="14">
        <v>0.14345271726617001</v>
      </c>
      <c r="V9" s="14">
        <v>0.10491259761407799</v>
      </c>
      <c r="W9" s="14">
        <v>0.10966004151049399</v>
      </c>
      <c r="X9" s="14">
        <v>6.4566463565230894E-2</v>
      </c>
      <c r="Y9" s="14">
        <v>0.14461442920879999</v>
      </c>
      <c r="Z9" s="14">
        <v>0</v>
      </c>
      <c r="AA9" s="14">
        <v>0.10274337931507101</v>
      </c>
      <c r="AB9" s="14"/>
      <c r="AC9" s="14">
        <v>0.22980437187247599</v>
      </c>
      <c r="AD9" s="14">
        <v>7.3195975241893502E-2</v>
      </c>
      <c r="AE9" s="14">
        <v>8.0981851437993593E-2</v>
      </c>
      <c r="AF9" s="14">
        <v>0.16993311758208099</v>
      </c>
      <c r="AG9" s="14">
        <v>0.28986786526745301</v>
      </c>
      <c r="AH9" s="14"/>
      <c r="AI9" s="14">
        <v>0.13143871560470399</v>
      </c>
      <c r="AJ9" s="14">
        <v>0.108373801620988</v>
      </c>
      <c r="AK9" s="14">
        <v>0.21390607982343299</v>
      </c>
      <c r="AL9" s="14">
        <v>0.137727675532269</v>
      </c>
      <c r="AM9" s="14">
        <v>2.11466000473873E-2</v>
      </c>
      <c r="AN9" s="14">
        <v>6.2531528435877198E-2</v>
      </c>
      <c r="AO9" s="14"/>
      <c r="AP9" s="14">
        <v>0.15102789841222</v>
      </c>
      <c r="AQ9" s="14">
        <v>8.5680030615756506E-2</v>
      </c>
      <c r="AR9" s="14"/>
      <c r="AS9" s="14" t="s">
        <v>88</v>
      </c>
      <c r="AT9" s="14">
        <v>0.122701238189196</v>
      </c>
      <c r="AU9" s="14" t="s">
        <v>88</v>
      </c>
      <c r="AV9" s="14"/>
      <c r="AW9" s="14">
        <v>0.10972276075546</v>
      </c>
      <c r="AX9" s="14">
        <v>0.15411422500174801</v>
      </c>
      <c r="AY9" s="14"/>
      <c r="AZ9" s="14">
        <v>0.12725166283540501</v>
      </c>
      <c r="BA9" s="14">
        <v>0.106444530678187</v>
      </c>
    </row>
    <row r="10" spans="2:53" ht="29" x14ac:dyDescent="0.35">
      <c r="B10" s="15" t="s">
        <v>232</v>
      </c>
      <c r="C10" s="14">
        <v>0.70764977628654202</v>
      </c>
      <c r="D10" s="14">
        <v>0.71908461908890497</v>
      </c>
      <c r="E10" s="14">
        <v>0.699745455997838</v>
      </c>
      <c r="F10" s="14"/>
      <c r="G10" s="14" t="s">
        <v>88</v>
      </c>
      <c r="H10" s="14">
        <v>0.65312309534329305</v>
      </c>
      <c r="I10" s="14">
        <v>0.70667279654204995</v>
      </c>
      <c r="J10" s="14">
        <v>0.77001268085818397</v>
      </c>
      <c r="K10" s="14">
        <v>0.79815629689173495</v>
      </c>
      <c r="L10" s="14">
        <v>0</v>
      </c>
      <c r="M10" s="14"/>
      <c r="N10" s="14">
        <v>0.772930749803039</v>
      </c>
      <c r="O10" s="14">
        <v>0.73966424661534902</v>
      </c>
      <c r="P10" s="14">
        <v>0.63224860401379701</v>
      </c>
      <c r="Q10" s="14">
        <v>0.66600370788452901</v>
      </c>
      <c r="R10" s="14"/>
      <c r="S10" s="14">
        <v>0.64122461685795995</v>
      </c>
      <c r="T10" s="14">
        <v>0.75313093507212103</v>
      </c>
      <c r="U10" s="14">
        <v>0.70825195225539495</v>
      </c>
      <c r="V10" s="14">
        <v>0.74424613168188603</v>
      </c>
      <c r="W10" s="14">
        <v>0.67581584866712596</v>
      </c>
      <c r="X10" s="14">
        <v>0.76718952574871302</v>
      </c>
      <c r="Y10" s="14">
        <v>0.68071566078215995</v>
      </c>
      <c r="Z10" s="14">
        <v>0.70617673888691701</v>
      </c>
      <c r="AA10" s="14">
        <v>0.72113205316492601</v>
      </c>
      <c r="AB10" s="14"/>
      <c r="AC10" s="14">
        <v>0.53222120312798704</v>
      </c>
      <c r="AD10" s="14">
        <v>0.74136621548700699</v>
      </c>
      <c r="AE10" s="14">
        <v>0.73862303306678601</v>
      </c>
      <c r="AF10" s="14">
        <v>0.77892092231509202</v>
      </c>
      <c r="AG10" s="14">
        <v>0.45971961556927299</v>
      </c>
      <c r="AH10" s="14"/>
      <c r="AI10" s="14">
        <v>0.72491595076291604</v>
      </c>
      <c r="AJ10" s="14">
        <v>0.68632221318263098</v>
      </c>
      <c r="AK10" s="14">
        <v>0.61269987625393596</v>
      </c>
      <c r="AL10" s="14">
        <v>0.677302197670961</v>
      </c>
      <c r="AM10" s="14">
        <v>0.87092883425991197</v>
      </c>
      <c r="AN10" s="14">
        <v>0.64101267631557801</v>
      </c>
      <c r="AO10" s="14"/>
      <c r="AP10" s="14">
        <v>0.71637572760953605</v>
      </c>
      <c r="AQ10" s="14">
        <v>0.69624549308969197</v>
      </c>
      <c r="AR10" s="14"/>
      <c r="AS10" s="14" t="s">
        <v>88</v>
      </c>
      <c r="AT10" s="14">
        <v>0.70764977628654202</v>
      </c>
      <c r="AU10" s="14" t="s">
        <v>88</v>
      </c>
      <c r="AV10" s="14"/>
      <c r="AW10" s="14">
        <v>0.73091233858764804</v>
      </c>
      <c r="AX10" s="14">
        <v>0.60931197742818399</v>
      </c>
      <c r="AY10" s="14"/>
      <c r="AZ10" s="14">
        <v>0.70870129104159696</v>
      </c>
      <c r="BA10" s="14">
        <v>0.70389316692686599</v>
      </c>
    </row>
    <row r="11" spans="2:53" ht="29" x14ac:dyDescent="0.35">
      <c r="B11" s="15" t="s">
        <v>233</v>
      </c>
      <c r="C11" s="14">
        <v>0.13964103940557199</v>
      </c>
      <c r="D11" s="14">
        <v>0.12095798564385001</v>
      </c>
      <c r="E11" s="14">
        <v>0.15255567613964399</v>
      </c>
      <c r="F11" s="14"/>
      <c r="G11" s="14" t="s">
        <v>88</v>
      </c>
      <c r="H11" s="14">
        <v>0.17211096663439299</v>
      </c>
      <c r="I11" s="14">
        <v>0.14315295012218801</v>
      </c>
      <c r="J11" s="14">
        <v>9.7236508231773905E-2</v>
      </c>
      <c r="K11" s="14">
        <v>2.7731206351080499E-2</v>
      </c>
      <c r="L11" s="14">
        <v>1</v>
      </c>
      <c r="M11" s="14"/>
      <c r="N11" s="14">
        <v>0.102037592473139</v>
      </c>
      <c r="O11" s="14">
        <v>0.13314564371049001</v>
      </c>
      <c r="P11" s="14">
        <v>0.17828509284705901</v>
      </c>
      <c r="Q11" s="14">
        <v>0.15356928246043899</v>
      </c>
      <c r="R11" s="14"/>
      <c r="S11" s="14">
        <v>0.21237445815546399</v>
      </c>
      <c r="T11" s="14">
        <v>7.94024377635765E-2</v>
      </c>
      <c r="U11" s="14">
        <v>0.10456372507747699</v>
      </c>
      <c r="V11" s="14">
        <v>7.5420635352018095E-2</v>
      </c>
      <c r="W11" s="14">
        <v>0.15871891153843901</v>
      </c>
      <c r="X11" s="14">
        <v>0.16824401068605599</v>
      </c>
      <c r="Y11" s="14">
        <v>0.14238856461573801</v>
      </c>
      <c r="Z11" s="14">
        <v>0.219339437901065</v>
      </c>
      <c r="AA11" s="14">
        <v>0.114119830036769</v>
      </c>
      <c r="AB11" s="14"/>
      <c r="AC11" s="14">
        <v>0.237974424999537</v>
      </c>
      <c r="AD11" s="14">
        <v>0.13282799363735501</v>
      </c>
      <c r="AE11" s="14">
        <v>0.141207493854554</v>
      </c>
      <c r="AF11" s="14">
        <v>2.6648554608765099E-2</v>
      </c>
      <c r="AG11" s="14">
        <v>0.25041251916327401</v>
      </c>
      <c r="AH11" s="14"/>
      <c r="AI11" s="14">
        <v>0.12582138851364599</v>
      </c>
      <c r="AJ11" s="14">
        <v>0.183085253432934</v>
      </c>
      <c r="AK11" s="14">
        <v>0.10231359231553599</v>
      </c>
      <c r="AL11" s="14">
        <v>0.152921516623859</v>
      </c>
      <c r="AM11" s="14">
        <v>0</v>
      </c>
      <c r="AN11" s="14">
        <v>0.29645579524854498</v>
      </c>
      <c r="AO11" s="14"/>
      <c r="AP11" s="14">
        <v>9.4486311190907404E-2</v>
      </c>
      <c r="AQ11" s="14">
        <v>0.19865549974066701</v>
      </c>
      <c r="AR11" s="14"/>
      <c r="AS11" s="14" t="s">
        <v>88</v>
      </c>
      <c r="AT11" s="14">
        <v>0.13964103940557199</v>
      </c>
      <c r="AU11" s="14" t="s">
        <v>88</v>
      </c>
      <c r="AV11" s="14"/>
      <c r="AW11" s="14">
        <v>0.127556777325008</v>
      </c>
      <c r="AX11" s="14">
        <v>0.236573797570067</v>
      </c>
      <c r="AY11" s="14"/>
      <c r="AZ11" s="14">
        <v>0.13540621663074001</v>
      </c>
      <c r="BA11" s="14">
        <v>0.15477023735169201</v>
      </c>
    </row>
    <row r="12" spans="2:53" x14ac:dyDescent="0.35">
      <c r="B12" s="26" t="s">
        <v>116</v>
      </c>
      <c r="C12" s="23">
        <v>3.0007946118690301E-2</v>
      </c>
      <c r="D12" s="23">
        <v>1.01654814978435E-2</v>
      </c>
      <c r="E12" s="23">
        <v>4.3724024108677498E-2</v>
      </c>
      <c r="F12" s="23"/>
      <c r="G12" s="23" t="s">
        <v>88</v>
      </c>
      <c r="H12" s="23">
        <v>4.0838218812667297E-2</v>
      </c>
      <c r="I12" s="23">
        <v>2.53155068088965E-2</v>
      </c>
      <c r="J12" s="23">
        <v>4.0816798261355001E-2</v>
      </c>
      <c r="K12" s="23">
        <v>0</v>
      </c>
      <c r="L12" s="23">
        <v>0</v>
      </c>
      <c r="M12" s="23"/>
      <c r="N12" s="23">
        <v>1.75619015788273E-2</v>
      </c>
      <c r="O12" s="23">
        <v>3.7910818384745797E-2</v>
      </c>
      <c r="P12" s="23">
        <v>5.2444973071654501E-2</v>
      </c>
      <c r="Q12" s="23">
        <v>1.7126049691069799E-2</v>
      </c>
      <c r="R12" s="23"/>
      <c r="S12" s="23">
        <v>0</v>
      </c>
      <c r="T12" s="23">
        <v>0</v>
      </c>
      <c r="U12" s="23">
        <v>4.37316054009576E-2</v>
      </c>
      <c r="V12" s="23">
        <v>7.5420635352018095E-2</v>
      </c>
      <c r="W12" s="23">
        <v>5.5805198283941003E-2</v>
      </c>
      <c r="X12" s="23">
        <v>0</v>
      </c>
      <c r="Y12" s="23">
        <v>3.2281345393302602E-2</v>
      </c>
      <c r="Z12" s="23">
        <v>7.4483823212018505E-2</v>
      </c>
      <c r="AA12" s="23">
        <v>6.2004737483234401E-2</v>
      </c>
      <c r="AB12" s="23"/>
      <c r="AC12" s="23">
        <v>0</v>
      </c>
      <c r="AD12" s="23">
        <v>5.2609815633744901E-2</v>
      </c>
      <c r="AE12" s="23">
        <v>3.91876216406669E-2</v>
      </c>
      <c r="AF12" s="23">
        <v>2.4497405494062201E-2</v>
      </c>
      <c r="AG12" s="23">
        <v>0</v>
      </c>
      <c r="AH12" s="23"/>
      <c r="AI12" s="23">
        <v>1.7823945118733701E-2</v>
      </c>
      <c r="AJ12" s="23">
        <v>2.22187317634472E-2</v>
      </c>
      <c r="AK12" s="23">
        <v>7.1080451607094697E-2</v>
      </c>
      <c r="AL12" s="23">
        <v>3.20486101729099E-2</v>
      </c>
      <c r="AM12" s="23">
        <v>0.10792456569269999</v>
      </c>
      <c r="AN12" s="23">
        <v>0</v>
      </c>
      <c r="AO12" s="23"/>
      <c r="AP12" s="23">
        <v>3.8110062787337202E-2</v>
      </c>
      <c r="AQ12" s="23">
        <v>1.9418976553884401E-2</v>
      </c>
      <c r="AR12" s="23"/>
      <c r="AS12" s="23" t="s">
        <v>88</v>
      </c>
      <c r="AT12" s="23">
        <v>3.0007946118690301E-2</v>
      </c>
      <c r="AU12" s="23" t="s">
        <v>88</v>
      </c>
      <c r="AV12" s="23"/>
      <c r="AW12" s="23">
        <v>3.1808123331883702E-2</v>
      </c>
      <c r="AX12" s="23">
        <v>0</v>
      </c>
      <c r="AY12" s="23"/>
      <c r="AZ12" s="23">
        <v>2.8640829492257502E-2</v>
      </c>
      <c r="BA12" s="23">
        <v>3.4892065043254997E-2</v>
      </c>
    </row>
    <row r="13" spans="2:53" x14ac:dyDescent="0.35">
      <c r="B13" s="25" t="s">
        <v>328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BA18"/>
  <sheetViews>
    <sheetView showGridLines="0" topLeftCell="A6" workbookViewId="0">
      <pane xSplit="2" topLeftCell="C1" activePane="topRight" state="frozen"/>
      <selection pane="topRight" activeCell="B10" sqref="B1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245</v>
      </c>
      <c r="D7" s="10">
        <v>84</v>
      </c>
      <c r="E7" s="10">
        <v>161</v>
      </c>
      <c r="F7" s="10"/>
      <c r="G7" s="10" t="s">
        <v>87</v>
      </c>
      <c r="H7" s="10">
        <v>56</v>
      </c>
      <c r="I7" s="10">
        <v>135</v>
      </c>
      <c r="J7" s="10">
        <v>45</v>
      </c>
      <c r="K7" s="10">
        <v>8</v>
      </c>
      <c r="L7" s="10">
        <v>1</v>
      </c>
      <c r="M7" s="10"/>
      <c r="N7" s="10">
        <v>92</v>
      </c>
      <c r="O7" s="10">
        <v>73</v>
      </c>
      <c r="P7" s="10">
        <v>32</v>
      </c>
      <c r="Q7" s="10">
        <v>48</v>
      </c>
      <c r="R7" s="10"/>
      <c r="S7" s="10">
        <v>49</v>
      </c>
      <c r="T7" s="10">
        <v>40</v>
      </c>
      <c r="U7" s="10">
        <v>19</v>
      </c>
      <c r="V7" s="10">
        <v>13</v>
      </c>
      <c r="W7" s="10">
        <v>21</v>
      </c>
      <c r="X7" s="10">
        <v>26</v>
      </c>
      <c r="Y7" s="10">
        <v>33</v>
      </c>
      <c r="Z7" s="10">
        <v>10</v>
      </c>
      <c r="AA7" s="10">
        <v>34</v>
      </c>
      <c r="AB7" s="10"/>
      <c r="AC7" s="10">
        <v>25</v>
      </c>
      <c r="AD7" s="10">
        <v>53</v>
      </c>
      <c r="AE7" s="10">
        <v>84</v>
      </c>
      <c r="AF7" s="10">
        <v>56</v>
      </c>
      <c r="AG7" s="10">
        <v>6</v>
      </c>
      <c r="AH7" s="10"/>
      <c r="AI7" s="10">
        <v>97</v>
      </c>
      <c r="AJ7" s="10">
        <v>49</v>
      </c>
      <c r="AK7" s="10">
        <v>18</v>
      </c>
      <c r="AL7" s="10">
        <v>31</v>
      </c>
      <c r="AM7" s="10">
        <v>12</v>
      </c>
      <c r="AN7" s="10">
        <v>13</v>
      </c>
      <c r="AO7" s="10"/>
      <c r="AP7" s="10">
        <v>136</v>
      </c>
      <c r="AQ7" s="10">
        <v>109</v>
      </c>
      <c r="AR7" s="10"/>
      <c r="AS7" s="10" t="s">
        <v>87</v>
      </c>
      <c r="AT7" s="10">
        <v>245</v>
      </c>
      <c r="AU7" s="10" t="s">
        <v>87</v>
      </c>
      <c r="AV7" s="10"/>
      <c r="AW7" s="10">
        <v>185</v>
      </c>
      <c r="AX7" s="10">
        <v>50</v>
      </c>
      <c r="AY7" s="10"/>
      <c r="AZ7" s="10">
        <v>193</v>
      </c>
      <c r="BA7" s="10">
        <v>52</v>
      </c>
    </row>
    <row r="8" spans="2:53" ht="30" customHeight="1" x14ac:dyDescent="0.35">
      <c r="B8" s="11" t="s">
        <v>19</v>
      </c>
      <c r="C8" s="11">
        <v>240</v>
      </c>
      <c r="D8" s="11">
        <v>98</v>
      </c>
      <c r="E8" s="11">
        <v>142</v>
      </c>
      <c r="F8" s="11"/>
      <c r="G8" s="11" t="s">
        <v>87</v>
      </c>
      <c r="H8" s="11">
        <v>51</v>
      </c>
      <c r="I8" s="11">
        <v>133</v>
      </c>
      <c r="J8" s="11">
        <v>43</v>
      </c>
      <c r="K8" s="11">
        <v>12</v>
      </c>
      <c r="L8" s="11">
        <v>1</v>
      </c>
      <c r="M8" s="11"/>
      <c r="N8" s="11">
        <v>57</v>
      </c>
      <c r="O8" s="11">
        <v>73</v>
      </c>
      <c r="P8" s="11">
        <v>44</v>
      </c>
      <c r="Q8" s="11">
        <v>66</v>
      </c>
      <c r="R8" s="11"/>
      <c r="S8" s="11">
        <v>39</v>
      </c>
      <c r="T8" s="11">
        <v>39</v>
      </c>
      <c r="U8" s="11">
        <v>25</v>
      </c>
      <c r="V8" s="11">
        <v>13</v>
      </c>
      <c r="W8" s="11">
        <v>22</v>
      </c>
      <c r="X8" s="11">
        <v>25</v>
      </c>
      <c r="Y8" s="11">
        <v>32</v>
      </c>
      <c r="Z8" s="11">
        <v>10</v>
      </c>
      <c r="AA8" s="11">
        <v>34</v>
      </c>
      <c r="AB8" s="11"/>
      <c r="AC8" s="11">
        <v>34</v>
      </c>
      <c r="AD8" s="11">
        <v>57</v>
      </c>
      <c r="AE8" s="11">
        <v>80</v>
      </c>
      <c r="AF8" s="11">
        <v>44</v>
      </c>
      <c r="AG8" s="11">
        <v>4</v>
      </c>
      <c r="AH8" s="11"/>
      <c r="AI8" s="11">
        <v>101</v>
      </c>
      <c r="AJ8" s="11">
        <v>45</v>
      </c>
      <c r="AK8" s="11">
        <v>15</v>
      </c>
      <c r="AL8" s="11">
        <v>30</v>
      </c>
      <c r="AM8" s="11">
        <v>12</v>
      </c>
      <c r="AN8" s="11">
        <v>11</v>
      </c>
      <c r="AO8" s="11"/>
      <c r="AP8" s="11">
        <v>136</v>
      </c>
      <c r="AQ8" s="11">
        <v>104</v>
      </c>
      <c r="AR8" s="11"/>
      <c r="AS8" s="11" t="s">
        <v>87</v>
      </c>
      <c r="AT8" s="11">
        <v>240</v>
      </c>
      <c r="AU8" s="11" t="s">
        <v>87</v>
      </c>
      <c r="AV8" s="11"/>
      <c r="AW8" s="11">
        <v>187</v>
      </c>
      <c r="AX8" s="11">
        <v>41</v>
      </c>
      <c r="AY8" s="11"/>
      <c r="AZ8" s="11">
        <v>188</v>
      </c>
      <c r="BA8" s="11">
        <v>53</v>
      </c>
    </row>
    <row r="9" spans="2:53" x14ac:dyDescent="0.35">
      <c r="B9" s="15" t="s">
        <v>235</v>
      </c>
      <c r="C9" s="14">
        <v>0.47623753235126398</v>
      </c>
      <c r="D9" s="14">
        <v>0.42850926387670901</v>
      </c>
      <c r="E9" s="14">
        <v>0.50922963616664696</v>
      </c>
      <c r="F9" s="14"/>
      <c r="G9" s="14" t="s">
        <v>88</v>
      </c>
      <c r="H9" s="14">
        <v>0.47707953120052798</v>
      </c>
      <c r="I9" s="14">
        <v>0.50788851416201397</v>
      </c>
      <c r="J9" s="14">
        <v>0.46232518443688497</v>
      </c>
      <c r="K9" s="14">
        <v>0.116518120627773</v>
      </c>
      <c r="L9" s="14">
        <v>1</v>
      </c>
      <c r="M9" s="14"/>
      <c r="N9" s="14">
        <v>0.49597374029038599</v>
      </c>
      <c r="O9" s="14">
        <v>0.48235860362049199</v>
      </c>
      <c r="P9" s="14">
        <v>0.37882991721784898</v>
      </c>
      <c r="Q9" s="14">
        <v>0.51682143935166402</v>
      </c>
      <c r="R9" s="14"/>
      <c r="S9" s="14">
        <v>0.33733335763437</v>
      </c>
      <c r="T9" s="14">
        <v>0.63683693718608103</v>
      </c>
      <c r="U9" s="14">
        <v>0.33910086939942202</v>
      </c>
      <c r="V9" s="14">
        <v>0.55158186006447896</v>
      </c>
      <c r="W9" s="14">
        <v>0.55230491597726705</v>
      </c>
      <c r="X9" s="14">
        <v>0.410757301737604</v>
      </c>
      <c r="Y9" s="14">
        <v>0.56751159276032104</v>
      </c>
      <c r="Z9" s="14">
        <v>0.50064806814273399</v>
      </c>
      <c r="AA9" s="14">
        <v>0.42763482155348997</v>
      </c>
      <c r="AB9" s="14"/>
      <c r="AC9" s="14">
        <v>0.477474254147496</v>
      </c>
      <c r="AD9" s="14">
        <v>0.420352164602106</v>
      </c>
      <c r="AE9" s="14">
        <v>0.59934685012258304</v>
      </c>
      <c r="AF9" s="14">
        <v>0.48673541453882702</v>
      </c>
      <c r="AG9" s="14">
        <v>0.92199077540812002</v>
      </c>
      <c r="AH9" s="14"/>
      <c r="AI9" s="14">
        <v>0.39611841205109</v>
      </c>
      <c r="AJ9" s="14">
        <v>0.463828504998753</v>
      </c>
      <c r="AK9" s="14">
        <v>0.80932363911238203</v>
      </c>
      <c r="AL9" s="14">
        <v>0.46393690900766799</v>
      </c>
      <c r="AM9" s="14">
        <v>0.58482697029577002</v>
      </c>
      <c r="AN9" s="14">
        <v>0.52970890580305996</v>
      </c>
      <c r="AO9" s="14"/>
      <c r="AP9" s="14">
        <v>0.428525006134372</v>
      </c>
      <c r="AQ9" s="14">
        <v>0.53859487779974202</v>
      </c>
      <c r="AR9" s="14"/>
      <c r="AS9" s="14" t="s">
        <v>88</v>
      </c>
      <c r="AT9" s="14">
        <v>0.47623753235126398</v>
      </c>
      <c r="AU9" s="14" t="s">
        <v>88</v>
      </c>
      <c r="AV9" s="14"/>
      <c r="AW9" s="14">
        <v>0.46165590648449401</v>
      </c>
      <c r="AX9" s="14">
        <v>0.50915749575426394</v>
      </c>
      <c r="AY9" s="14"/>
      <c r="AZ9" s="14">
        <v>0.47706477825393401</v>
      </c>
      <c r="BA9" s="14">
        <v>0.47328213901438299</v>
      </c>
    </row>
    <row r="10" spans="2:53" x14ac:dyDescent="0.35">
      <c r="B10" s="15" t="s">
        <v>236</v>
      </c>
      <c r="C10" s="14">
        <v>0.46572869705104403</v>
      </c>
      <c r="D10" s="14">
        <v>0.54253698954520102</v>
      </c>
      <c r="E10" s="14">
        <v>0.41263506426609298</v>
      </c>
      <c r="F10" s="14"/>
      <c r="G10" s="14" t="s">
        <v>88</v>
      </c>
      <c r="H10" s="14">
        <v>0.45026061914625598</v>
      </c>
      <c r="I10" s="14">
        <v>0.43459202759634002</v>
      </c>
      <c r="J10" s="14">
        <v>0.47770426563215701</v>
      </c>
      <c r="K10" s="14">
        <v>0.883481879372227</v>
      </c>
      <c r="L10" s="14">
        <v>0</v>
      </c>
      <c r="M10" s="14"/>
      <c r="N10" s="14">
        <v>0.46617951625176401</v>
      </c>
      <c r="O10" s="14">
        <v>0.45385484481045202</v>
      </c>
      <c r="P10" s="14">
        <v>0.50677380812630801</v>
      </c>
      <c r="Q10" s="14">
        <v>0.45139771093766101</v>
      </c>
      <c r="R10" s="14"/>
      <c r="S10" s="14">
        <v>0.59382874111613504</v>
      </c>
      <c r="T10" s="14">
        <v>0.301494018774766</v>
      </c>
      <c r="U10" s="14">
        <v>0.61716752519962104</v>
      </c>
      <c r="V10" s="14">
        <v>0.44841813993552099</v>
      </c>
      <c r="W10" s="14">
        <v>0.447695084022733</v>
      </c>
      <c r="X10" s="14">
        <v>0.472434048311838</v>
      </c>
      <c r="Y10" s="14">
        <v>0.28340736857339699</v>
      </c>
      <c r="Z10" s="14">
        <v>0.49935193185726601</v>
      </c>
      <c r="AA10" s="14">
        <v>0.57236517844651003</v>
      </c>
      <c r="AB10" s="14"/>
      <c r="AC10" s="14">
        <v>0.44541112763309199</v>
      </c>
      <c r="AD10" s="14">
        <v>0.45757966937745698</v>
      </c>
      <c r="AE10" s="14">
        <v>0.36471954933627698</v>
      </c>
      <c r="AF10" s="14">
        <v>0.49400048323031498</v>
      </c>
      <c r="AG10" s="14">
        <v>7.8009224591880102E-2</v>
      </c>
      <c r="AH10" s="14"/>
      <c r="AI10" s="14">
        <v>0.535411981801582</v>
      </c>
      <c r="AJ10" s="14">
        <v>0.47487885596681401</v>
      </c>
      <c r="AK10" s="14">
        <v>0.190676360887618</v>
      </c>
      <c r="AL10" s="14">
        <v>0.51245600211174003</v>
      </c>
      <c r="AM10" s="14">
        <v>0.41517302970422998</v>
      </c>
      <c r="AN10" s="14">
        <v>0.310953455399684</v>
      </c>
      <c r="AO10" s="14"/>
      <c r="AP10" s="14">
        <v>0.51334517850461003</v>
      </c>
      <c r="AQ10" s="14">
        <v>0.40349687621759101</v>
      </c>
      <c r="AR10" s="14"/>
      <c r="AS10" s="14" t="s">
        <v>88</v>
      </c>
      <c r="AT10" s="14">
        <v>0.46572869705104403</v>
      </c>
      <c r="AU10" s="14" t="s">
        <v>88</v>
      </c>
      <c r="AV10" s="14"/>
      <c r="AW10" s="14">
        <v>0.46732269151627298</v>
      </c>
      <c r="AX10" s="14">
        <v>0.47501973920569501</v>
      </c>
      <c r="AY10" s="14"/>
      <c r="AZ10" s="14">
        <v>0.49024078195079301</v>
      </c>
      <c r="BA10" s="14">
        <v>0.37815757442357101</v>
      </c>
    </row>
    <row r="11" spans="2:53" x14ac:dyDescent="0.35">
      <c r="B11" s="15" t="s">
        <v>237</v>
      </c>
      <c r="C11" s="14">
        <v>4.94540570797165E-2</v>
      </c>
      <c r="D11" s="14">
        <v>2.89537465780897E-2</v>
      </c>
      <c r="E11" s="14">
        <v>6.3624870183440096E-2</v>
      </c>
      <c r="F11" s="14"/>
      <c r="G11" s="14" t="s">
        <v>88</v>
      </c>
      <c r="H11" s="14">
        <v>5.2637547321162201E-2</v>
      </c>
      <c r="I11" s="14">
        <v>4.9705332370115797E-2</v>
      </c>
      <c r="J11" s="14">
        <v>5.9970549930957698E-2</v>
      </c>
      <c r="K11" s="14">
        <v>0</v>
      </c>
      <c r="L11" s="14">
        <v>0</v>
      </c>
      <c r="M11" s="14"/>
      <c r="N11" s="14">
        <v>3.7846743457849497E-2</v>
      </c>
      <c r="O11" s="14">
        <v>6.3786551569056299E-2</v>
      </c>
      <c r="P11" s="14">
        <v>9.0629715514985498E-2</v>
      </c>
      <c r="Q11" s="14">
        <v>1.63711455805465E-2</v>
      </c>
      <c r="R11" s="14"/>
      <c r="S11" s="14">
        <v>6.8837901249494904E-2</v>
      </c>
      <c r="T11" s="14">
        <v>6.1669044039152798E-2</v>
      </c>
      <c r="U11" s="14">
        <v>4.37316054009576E-2</v>
      </c>
      <c r="V11" s="14">
        <v>0</v>
      </c>
      <c r="W11" s="14">
        <v>0</v>
      </c>
      <c r="X11" s="14">
        <v>0.11680864995055799</v>
      </c>
      <c r="Y11" s="14">
        <v>8.5082454044827102E-2</v>
      </c>
      <c r="Z11" s="14">
        <v>0</v>
      </c>
      <c r="AA11" s="14">
        <v>0</v>
      </c>
      <c r="AB11" s="14"/>
      <c r="AC11" s="14">
        <v>7.7114618219411304E-2</v>
      </c>
      <c r="AD11" s="14">
        <v>8.5753172857748694E-2</v>
      </c>
      <c r="AE11" s="14">
        <v>3.59336005411394E-2</v>
      </c>
      <c r="AF11" s="14">
        <v>1.9264102230857699E-2</v>
      </c>
      <c r="AG11" s="14">
        <v>0</v>
      </c>
      <c r="AH11" s="14"/>
      <c r="AI11" s="14">
        <v>5.8167961570268198E-2</v>
      </c>
      <c r="AJ11" s="14">
        <v>6.1292639034432897E-2</v>
      </c>
      <c r="AK11" s="14">
        <v>0</v>
      </c>
      <c r="AL11" s="14">
        <v>2.3607088880592E-2</v>
      </c>
      <c r="AM11" s="14">
        <v>0</v>
      </c>
      <c r="AN11" s="14">
        <v>6.2531528435877198E-2</v>
      </c>
      <c r="AO11" s="14"/>
      <c r="AP11" s="14">
        <v>4.2985361102144501E-2</v>
      </c>
      <c r="AQ11" s="14">
        <v>5.7908245982667902E-2</v>
      </c>
      <c r="AR11" s="14"/>
      <c r="AS11" s="14" t="s">
        <v>88</v>
      </c>
      <c r="AT11" s="14">
        <v>4.94540570797165E-2</v>
      </c>
      <c r="AU11" s="14" t="s">
        <v>88</v>
      </c>
      <c r="AV11" s="14"/>
      <c r="AW11" s="14">
        <v>6.0010913308453699E-2</v>
      </c>
      <c r="AX11" s="14">
        <v>1.58227650400414E-2</v>
      </c>
      <c r="AY11" s="14"/>
      <c r="AZ11" s="14">
        <v>2.7155410302644501E-2</v>
      </c>
      <c r="BA11" s="14">
        <v>0.12911751856526299</v>
      </c>
    </row>
    <row r="12" spans="2:53" x14ac:dyDescent="0.35">
      <c r="B12" s="15" t="s">
        <v>238</v>
      </c>
      <c r="C12" s="14">
        <v>4.2520444439238204E-3</v>
      </c>
      <c r="D12" s="14">
        <v>0</v>
      </c>
      <c r="E12" s="14">
        <v>7.1912646629926601E-3</v>
      </c>
      <c r="F12" s="14"/>
      <c r="G12" s="14" t="s">
        <v>88</v>
      </c>
      <c r="H12" s="14">
        <v>2.0022302332053502E-2</v>
      </c>
      <c r="I12" s="14">
        <v>0</v>
      </c>
      <c r="J12" s="14">
        <v>0</v>
      </c>
      <c r="K12" s="14">
        <v>0</v>
      </c>
      <c r="L12" s="14">
        <v>0</v>
      </c>
      <c r="M12" s="14"/>
      <c r="N12" s="14">
        <v>0</v>
      </c>
      <c r="O12" s="14">
        <v>0</v>
      </c>
      <c r="P12" s="14">
        <v>0</v>
      </c>
      <c r="Q12" s="14">
        <v>1.5409704130128101E-2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3.1717239228151499E-2</v>
      </c>
      <c r="Z12" s="14">
        <v>0</v>
      </c>
      <c r="AA12" s="14">
        <v>0</v>
      </c>
      <c r="AB12" s="14"/>
      <c r="AC12" s="14">
        <v>0</v>
      </c>
      <c r="AD12" s="14">
        <v>1.7997449983035301E-2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9.6806110361379094E-2</v>
      </c>
      <c r="AO12" s="14"/>
      <c r="AP12" s="14">
        <v>7.5054828407480302E-3</v>
      </c>
      <c r="AQ12" s="14">
        <v>0</v>
      </c>
      <c r="AR12" s="14"/>
      <c r="AS12" s="14" t="s">
        <v>88</v>
      </c>
      <c r="AT12" s="14">
        <v>4.2520444439238204E-3</v>
      </c>
      <c r="AU12" s="14" t="s">
        <v>88</v>
      </c>
      <c r="AV12" s="14"/>
      <c r="AW12" s="14">
        <v>5.45671917418081E-3</v>
      </c>
      <c r="AX12" s="14">
        <v>0</v>
      </c>
      <c r="AY12" s="14"/>
      <c r="AZ12" s="14">
        <v>0</v>
      </c>
      <c r="BA12" s="14">
        <v>1.94427679967831E-2</v>
      </c>
    </row>
    <row r="13" spans="2:53" x14ac:dyDescent="0.35">
      <c r="B13" s="15" t="s">
        <v>116</v>
      </c>
      <c r="C13" s="23">
        <v>4.3276690740519297E-3</v>
      </c>
      <c r="D13" s="23">
        <v>0</v>
      </c>
      <c r="E13" s="23">
        <v>7.31916472082702E-3</v>
      </c>
      <c r="F13" s="23"/>
      <c r="G13" s="23" t="s">
        <v>88</v>
      </c>
      <c r="H13" s="23">
        <v>0</v>
      </c>
      <c r="I13" s="23">
        <v>7.8141258715306704E-3</v>
      </c>
      <c r="J13" s="23">
        <v>0</v>
      </c>
      <c r="K13" s="23">
        <v>0</v>
      </c>
      <c r="L13" s="23">
        <v>0</v>
      </c>
      <c r="M13" s="23"/>
      <c r="N13" s="23">
        <v>0</v>
      </c>
      <c r="O13" s="23">
        <v>0</v>
      </c>
      <c r="P13" s="23">
        <v>2.3766559140857801E-2</v>
      </c>
      <c r="Q13" s="23">
        <v>0</v>
      </c>
      <c r="R13" s="23"/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3.2281345393302602E-2</v>
      </c>
      <c r="Z13" s="23">
        <v>0</v>
      </c>
      <c r="AA13" s="23">
        <v>0</v>
      </c>
      <c r="AB13" s="23"/>
      <c r="AC13" s="23">
        <v>0</v>
      </c>
      <c r="AD13" s="23">
        <v>1.8317543179652999E-2</v>
      </c>
      <c r="AE13" s="23">
        <v>0</v>
      </c>
      <c r="AF13" s="23">
        <v>0</v>
      </c>
      <c r="AG13" s="23">
        <v>0</v>
      </c>
      <c r="AH13" s="23"/>
      <c r="AI13" s="23">
        <v>1.0301644577059701E-2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/>
      <c r="AP13" s="23">
        <v>7.6389714181253196E-3</v>
      </c>
      <c r="AQ13" s="23">
        <v>0</v>
      </c>
      <c r="AR13" s="23"/>
      <c r="AS13" s="23" t="s">
        <v>88</v>
      </c>
      <c r="AT13" s="23">
        <v>4.3276690740519297E-3</v>
      </c>
      <c r="AU13" s="23" t="s">
        <v>88</v>
      </c>
      <c r="AV13" s="23"/>
      <c r="AW13" s="23">
        <v>5.5537695165990397E-3</v>
      </c>
      <c r="AX13" s="23">
        <v>0</v>
      </c>
      <c r="AY13" s="23"/>
      <c r="AZ13" s="23">
        <v>5.5390294926278899E-3</v>
      </c>
      <c r="BA13" s="23">
        <v>0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BA19"/>
  <sheetViews>
    <sheetView showGridLines="0" topLeftCell="A6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245</v>
      </c>
      <c r="D7" s="10">
        <v>84</v>
      </c>
      <c r="E7" s="10">
        <v>161</v>
      </c>
      <c r="F7" s="10"/>
      <c r="G7" s="10" t="s">
        <v>87</v>
      </c>
      <c r="H7" s="10">
        <v>56</v>
      </c>
      <c r="I7" s="10">
        <v>135</v>
      </c>
      <c r="J7" s="10">
        <v>45</v>
      </c>
      <c r="K7" s="10">
        <v>8</v>
      </c>
      <c r="L7" s="10">
        <v>1</v>
      </c>
      <c r="M7" s="10"/>
      <c r="N7" s="10">
        <v>92</v>
      </c>
      <c r="O7" s="10">
        <v>73</v>
      </c>
      <c r="P7" s="10">
        <v>32</v>
      </c>
      <c r="Q7" s="10">
        <v>48</v>
      </c>
      <c r="R7" s="10"/>
      <c r="S7" s="10">
        <v>49</v>
      </c>
      <c r="T7" s="10">
        <v>40</v>
      </c>
      <c r="U7" s="10">
        <v>19</v>
      </c>
      <c r="V7" s="10">
        <v>13</v>
      </c>
      <c r="W7" s="10">
        <v>21</v>
      </c>
      <c r="X7" s="10">
        <v>26</v>
      </c>
      <c r="Y7" s="10">
        <v>33</v>
      </c>
      <c r="Z7" s="10">
        <v>10</v>
      </c>
      <c r="AA7" s="10">
        <v>34</v>
      </c>
      <c r="AB7" s="10"/>
      <c r="AC7" s="10">
        <v>25</v>
      </c>
      <c r="AD7" s="10">
        <v>53</v>
      </c>
      <c r="AE7" s="10">
        <v>84</v>
      </c>
      <c r="AF7" s="10">
        <v>56</v>
      </c>
      <c r="AG7" s="10">
        <v>6</v>
      </c>
      <c r="AH7" s="10"/>
      <c r="AI7" s="10">
        <v>97</v>
      </c>
      <c r="AJ7" s="10">
        <v>49</v>
      </c>
      <c r="AK7" s="10">
        <v>18</v>
      </c>
      <c r="AL7" s="10">
        <v>31</v>
      </c>
      <c r="AM7" s="10">
        <v>12</v>
      </c>
      <c r="AN7" s="10">
        <v>13</v>
      </c>
      <c r="AO7" s="10"/>
      <c r="AP7" s="10">
        <v>136</v>
      </c>
      <c r="AQ7" s="10">
        <v>109</v>
      </c>
      <c r="AR7" s="10"/>
      <c r="AS7" s="10" t="s">
        <v>87</v>
      </c>
      <c r="AT7" s="10">
        <v>245</v>
      </c>
      <c r="AU7" s="10" t="s">
        <v>87</v>
      </c>
      <c r="AV7" s="10"/>
      <c r="AW7" s="10">
        <v>185</v>
      </c>
      <c r="AX7" s="10">
        <v>50</v>
      </c>
      <c r="AY7" s="10"/>
      <c r="AZ7" s="10">
        <v>193</v>
      </c>
      <c r="BA7" s="10">
        <v>52</v>
      </c>
    </row>
    <row r="8" spans="2:53" ht="30" customHeight="1" x14ac:dyDescent="0.35">
      <c r="B8" s="11" t="s">
        <v>19</v>
      </c>
      <c r="C8" s="11">
        <v>240</v>
      </c>
      <c r="D8" s="11">
        <v>98</v>
      </c>
      <c r="E8" s="11">
        <v>142</v>
      </c>
      <c r="F8" s="11"/>
      <c r="G8" s="11" t="s">
        <v>87</v>
      </c>
      <c r="H8" s="11">
        <v>51</v>
      </c>
      <c r="I8" s="11">
        <v>133</v>
      </c>
      <c r="J8" s="11">
        <v>43</v>
      </c>
      <c r="K8" s="11">
        <v>12</v>
      </c>
      <c r="L8" s="11">
        <v>1</v>
      </c>
      <c r="M8" s="11"/>
      <c r="N8" s="11">
        <v>57</v>
      </c>
      <c r="O8" s="11">
        <v>73</v>
      </c>
      <c r="P8" s="11">
        <v>44</v>
      </c>
      <c r="Q8" s="11">
        <v>66</v>
      </c>
      <c r="R8" s="11"/>
      <c r="S8" s="11">
        <v>39</v>
      </c>
      <c r="T8" s="11">
        <v>39</v>
      </c>
      <c r="U8" s="11">
        <v>25</v>
      </c>
      <c r="V8" s="11">
        <v>13</v>
      </c>
      <c r="W8" s="11">
        <v>22</v>
      </c>
      <c r="X8" s="11">
        <v>25</v>
      </c>
      <c r="Y8" s="11">
        <v>32</v>
      </c>
      <c r="Z8" s="11">
        <v>10</v>
      </c>
      <c r="AA8" s="11">
        <v>34</v>
      </c>
      <c r="AB8" s="11"/>
      <c r="AC8" s="11">
        <v>34</v>
      </c>
      <c r="AD8" s="11">
        <v>57</v>
      </c>
      <c r="AE8" s="11">
        <v>80</v>
      </c>
      <c r="AF8" s="11">
        <v>44</v>
      </c>
      <c r="AG8" s="11">
        <v>4</v>
      </c>
      <c r="AH8" s="11"/>
      <c r="AI8" s="11">
        <v>101</v>
      </c>
      <c r="AJ8" s="11">
        <v>45</v>
      </c>
      <c r="AK8" s="11">
        <v>15</v>
      </c>
      <c r="AL8" s="11">
        <v>30</v>
      </c>
      <c r="AM8" s="11">
        <v>12</v>
      </c>
      <c r="AN8" s="11">
        <v>11</v>
      </c>
      <c r="AO8" s="11"/>
      <c r="AP8" s="11">
        <v>136</v>
      </c>
      <c r="AQ8" s="11">
        <v>104</v>
      </c>
      <c r="AR8" s="11"/>
      <c r="AS8" s="11" t="s">
        <v>87</v>
      </c>
      <c r="AT8" s="11">
        <v>240</v>
      </c>
      <c r="AU8" s="11" t="s">
        <v>87</v>
      </c>
      <c r="AV8" s="11"/>
      <c r="AW8" s="11">
        <v>187</v>
      </c>
      <c r="AX8" s="11">
        <v>41</v>
      </c>
      <c r="AY8" s="11"/>
      <c r="AZ8" s="11">
        <v>188</v>
      </c>
      <c r="BA8" s="11">
        <v>53</v>
      </c>
    </row>
    <row r="9" spans="2:53" x14ac:dyDescent="0.35">
      <c r="B9" s="15" t="s">
        <v>220</v>
      </c>
      <c r="C9" s="14">
        <v>0.39886876042456398</v>
      </c>
      <c r="D9" s="14">
        <v>0.41957406029073802</v>
      </c>
      <c r="E9" s="14">
        <v>0.38455624868788502</v>
      </c>
      <c r="F9" s="14"/>
      <c r="G9" s="14" t="s">
        <v>88</v>
      </c>
      <c r="H9" s="14">
        <v>0.40839856058410701</v>
      </c>
      <c r="I9" s="14">
        <v>0.413648744734264</v>
      </c>
      <c r="J9" s="14">
        <v>0.34349709638214398</v>
      </c>
      <c r="K9" s="14">
        <v>0.43338091523004402</v>
      </c>
      <c r="L9" s="14">
        <v>0</v>
      </c>
      <c r="M9" s="14"/>
      <c r="N9" s="14">
        <v>0.46543281096954398</v>
      </c>
      <c r="O9" s="14">
        <v>0.41834093556042001</v>
      </c>
      <c r="P9" s="14">
        <v>0.203606927982422</v>
      </c>
      <c r="Q9" s="14">
        <v>0.44910115739284201</v>
      </c>
      <c r="R9" s="14"/>
      <c r="S9" s="14">
        <v>0.267611932012908</v>
      </c>
      <c r="T9" s="14">
        <v>0.51059438126901802</v>
      </c>
      <c r="U9" s="14">
        <v>0.26615431904779302</v>
      </c>
      <c r="V9" s="14">
        <v>0.53432021124750195</v>
      </c>
      <c r="W9" s="14">
        <v>0.53657389014391599</v>
      </c>
      <c r="X9" s="14">
        <v>0.19837568575168399</v>
      </c>
      <c r="Y9" s="14">
        <v>0.39957564985121102</v>
      </c>
      <c r="Z9" s="14">
        <v>0.42616424493071497</v>
      </c>
      <c r="AA9" s="14">
        <v>0.51417287838028303</v>
      </c>
      <c r="AB9" s="14"/>
      <c r="AC9" s="14">
        <v>0.36320765826426599</v>
      </c>
      <c r="AD9" s="14">
        <v>0.27013669109143201</v>
      </c>
      <c r="AE9" s="14">
        <v>0.43473782516854098</v>
      </c>
      <c r="AF9" s="14">
        <v>0.50496092902044698</v>
      </c>
      <c r="AG9" s="14">
        <v>0.92199077540812002</v>
      </c>
      <c r="AH9" s="14"/>
      <c r="AI9" s="14">
        <v>0.45509749367188901</v>
      </c>
      <c r="AJ9" s="14">
        <v>0.33561460869659399</v>
      </c>
      <c r="AK9" s="14">
        <v>0.53562280960590003</v>
      </c>
      <c r="AL9" s="14">
        <v>0.26056633112390198</v>
      </c>
      <c r="AM9" s="14">
        <v>0.49804900465045698</v>
      </c>
      <c r="AN9" s="14">
        <v>0.43118106331143302</v>
      </c>
      <c r="AO9" s="14"/>
      <c r="AP9" s="14">
        <v>0.37491089145625101</v>
      </c>
      <c r="AQ9" s="14">
        <v>0.43018022577593201</v>
      </c>
      <c r="AR9" s="14"/>
      <c r="AS9" s="14" t="s">
        <v>88</v>
      </c>
      <c r="AT9" s="14">
        <v>0.39886876042456398</v>
      </c>
      <c r="AU9" s="14" t="s">
        <v>88</v>
      </c>
      <c r="AV9" s="14"/>
      <c r="AW9" s="14">
        <v>0.35423367049598098</v>
      </c>
      <c r="AX9" s="14">
        <v>0.55746130879538003</v>
      </c>
      <c r="AY9" s="14"/>
      <c r="AZ9" s="14">
        <v>0.46285186766188102</v>
      </c>
      <c r="BA9" s="14">
        <v>0.17028467413074599</v>
      </c>
    </row>
    <row r="10" spans="2:53" x14ac:dyDescent="0.35">
      <c r="B10" s="15" t="s">
        <v>221</v>
      </c>
      <c r="C10" s="14">
        <v>0.47034564135002799</v>
      </c>
      <c r="D10" s="14">
        <v>0.510928517597801</v>
      </c>
      <c r="E10" s="14">
        <v>0.44229278066418198</v>
      </c>
      <c r="F10" s="14"/>
      <c r="G10" s="14" t="s">
        <v>88</v>
      </c>
      <c r="H10" s="14">
        <v>0.48768116119490401</v>
      </c>
      <c r="I10" s="14">
        <v>0.434778022500585</v>
      </c>
      <c r="J10" s="14">
        <v>0.51828085994800299</v>
      </c>
      <c r="K10" s="14">
        <v>0.56661908476995604</v>
      </c>
      <c r="L10" s="14">
        <v>1</v>
      </c>
      <c r="M10" s="14"/>
      <c r="N10" s="14">
        <v>0.43104468398698997</v>
      </c>
      <c r="O10" s="14">
        <v>0.49201003325052101</v>
      </c>
      <c r="P10" s="14">
        <v>0.59177446417343005</v>
      </c>
      <c r="Q10" s="14">
        <v>0.39993254393293898</v>
      </c>
      <c r="R10" s="14"/>
      <c r="S10" s="14">
        <v>0.62076839989815902</v>
      </c>
      <c r="T10" s="14">
        <v>0.33920082532717499</v>
      </c>
      <c r="U10" s="14">
        <v>0.66589727778277796</v>
      </c>
      <c r="V10" s="14">
        <v>0.46567978875249799</v>
      </c>
      <c r="W10" s="14">
        <v>0.39286505758770301</v>
      </c>
      <c r="X10" s="14">
        <v>0.61090645918794395</v>
      </c>
      <c r="Y10" s="14">
        <v>0.37977590081172002</v>
      </c>
      <c r="Z10" s="14">
        <v>0.46838354360849599</v>
      </c>
      <c r="AA10" s="14">
        <v>0.34351325121452903</v>
      </c>
      <c r="AB10" s="14"/>
      <c r="AC10" s="14">
        <v>0.405043004910003</v>
      </c>
      <c r="AD10" s="14">
        <v>0.53636015802375803</v>
      </c>
      <c r="AE10" s="14">
        <v>0.46042624064507798</v>
      </c>
      <c r="AF10" s="14">
        <v>0.47290519573377399</v>
      </c>
      <c r="AG10" s="14">
        <v>7.8009224591880102E-2</v>
      </c>
      <c r="AH10" s="14"/>
      <c r="AI10" s="14">
        <v>0.43266835319395502</v>
      </c>
      <c r="AJ10" s="14">
        <v>0.61831874228933503</v>
      </c>
      <c r="AK10" s="14">
        <v>0.44295083370131</v>
      </c>
      <c r="AL10" s="14">
        <v>0.55561664763122598</v>
      </c>
      <c r="AM10" s="14">
        <v>0.28869522276814102</v>
      </c>
      <c r="AN10" s="14">
        <v>0.32585194420531699</v>
      </c>
      <c r="AO10" s="14"/>
      <c r="AP10" s="14">
        <v>0.47397956973704303</v>
      </c>
      <c r="AQ10" s="14">
        <v>0.46559631982523603</v>
      </c>
      <c r="AR10" s="14"/>
      <c r="AS10" s="14" t="s">
        <v>88</v>
      </c>
      <c r="AT10" s="14">
        <v>0.47034564135002799</v>
      </c>
      <c r="AU10" s="14" t="s">
        <v>88</v>
      </c>
      <c r="AV10" s="14"/>
      <c r="AW10" s="14">
        <v>0.50158156458898495</v>
      </c>
      <c r="AX10" s="14">
        <v>0.36488379482600097</v>
      </c>
      <c r="AY10" s="14"/>
      <c r="AZ10" s="14">
        <v>0.45299517514655302</v>
      </c>
      <c r="BA10" s="14">
        <v>0.53233138469917396</v>
      </c>
    </row>
    <row r="11" spans="2:53" x14ac:dyDescent="0.35">
      <c r="B11" s="15" t="s">
        <v>222</v>
      </c>
      <c r="C11" s="14">
        <v>7.4453774312913001E-2</v>
      </c>
      <c r="D11" s="14">
        <v>4.5869281069360002E-2</v>
      </c>
      <c r="E11" s="14">
        <v>9.4212768274828496E-2</v>
      </c>
      <c r="F11" s="14"/>
      <c r="G11" s="14" t="s">
        <v>88</v>
      </c>
      <c r="H11" s="14">
        <v>7.4663071077266802E-2</v>
      </c>
      <c r="I11" s="14">
        <v>9.1658955275399107E-2</v>
      </c>
      <c r="J11" s="14">
        <v>4.3717512352608297E-2</v>
      </c>
      <c r="K11" s="14">
        <v>0</v>
      </c>
      <c r="L11" s="14">
        <v>0</v>
      </c>
      <c r="M11" s="14"/>
      <c r="N11" s="14">
        <v>2.08660450834471E-2</v>
      </c>
      <c r="O11" s="14">
        <v>6.5593004443808098E-2</v>
      </c>
      <c r="P11" s="14">
        <v>0.128407075631636</v>
      </c>
      <c r="Q11" s="14">
        <v>9.4602028361183907E-2</v>
      </c>
      <c r="R11" s="14"/>
      <c r="S11" s="14">
        <v>5.2959244654312003E-2</v>
      </c>
      <c r="T11" s="14">
        <v>5.36636309409248E-2</v>
      </c>
      <c r="U11" s="14">
        <v>6.7948403169428198E-2</v>
      </c>
      <c r="V11" s="14">
        <v>0</v>
      </c>
      <c r="W11" s="14">
        <v>1.47558539844401E-2</v>
      </c>
      <c r="X11" s="14">
        <v>0.169869968517222</v>
      </c>
      <c r="Y11" s="14">
        <v>0.107319552076221</v>
      </c>
      <c r="Z11" s="14">
        <v>0.105452211460788</v>
      </c>
      <c r="AA11" s="14">
        <v>8.4294505822262902E-2</v>
      </c>
      <c r="AB11" s="14"/>
      <c r="AC11" s="14">
        <v>0.148877432496445</v>
      </c>
      <c r="AD11" s="14">
        <v>8.7935795970502495E-2</v>
      </c>
      <c r="AE11" s="14">
        <v>6.8590973172778E-2</v>
      </c>
      <c r="AF11" s="14">
        <v>0</v>
      </c>
      <c r="AG11" s="14">
        <v>0</v>
      </c>
      <c r="AH11" s="14"/>
      <c r="AI11" s="14">
        <v>5.3274919777386603E-2</v>
      </c>
      <c r="AJ11" s="14">
        <v>0</v>
      </c>
      <c r="AK11" s="14">
        <v>0</v>
      </c>
      <c r="AL11" s="14">
        <v>0.13747430356941301</v>
      </c>
      <c r="AM11" s="14">
        <v>0.105331206888702</v>
      </c>
      <c r="AN11" s="14">
        <v>9.6806110361379094E-2</v>
      </c>
      <c r="AO11" s="14"/>
      <c r="AP11" s="14">
        <v>9.6599543162085494E-2</v>
      </c>
      <c r="AQ11" s="14">
        <v>4.5510612677068699E-2</v>
      </c>
      <c r="AR11" s="14"/>
      <c r="AS11" s="14" t="s">
        <v>88</v>
      </c>
      <c r="AT11" s="14">
        <v>7.4453774312913001E-2</v>
      </c>
      <c r="AU11" s="14" t="s">
        <v>88</v>
      </c>
      <c r="AV11" s="14"/>
      <c r="AW11" s="14">
        <v>8.6568299258525605E-2</v>
      </c>
      <c r="AX11" s="14">
        <v>4.1131348085624297E-2</v>
      </c>
      <c r="AY11" s="14"/>
      <c r="AZ11" s="14">
        <v>4.8640650891449803E-2</v>
      </c>
      <c r="BA11" s="14">
        <v>0.166672947254913</v>
      </c>
    </row>
    <row r="12" spans="2:53" x14ac:dyDescent="0.35">
      <c r="B12" s="15" t="s">
        <v>223</v>
      </c>
      <c r="C12" s="14">
        <v>8.4539835843467793E-3</v>
      </c>
      <c r="D12" s="14">
        <v>0</v>
      </c>
      <c r="E12" s="14">
        <v>1.4297788796283401E-2</v>
      </c>
      <c r="F12" s="14"/>
      <c r="G12" s="14" t="s">
        <v>88</v>
      </c>
      <c r="H12" s="14">
        <v>0</v>
      </c>
      <c r="I12" s="14">
        <v>0</v>
      </c>
      <c r="J12" s="14">
        <v>4.7172667033739797E-2</v>
      </c>
      <c r="K12" s="14">
        <v>0</v>
      </c>
      <c r="L12" s="14">
        <v>0</v>
      </c>
      <c r="M12" s="14"/>
      <c r="N12" s="14">
        <v>1.16094273860866E-2</v>
      </c>
      <c r="O12" s="14">
        <v>0</v>
      </c>
      <c r="P12" s="14">
        <v>0</v>
      </c>
      <c r="Q12" s="14">
        <v>2.0683985038853998E-2</v>
      </c>
      <c r="R12" s="14"/>
      <c r="S12" s="14">
        <v>0</v>
      </c>
      <c r="T12" s="14">
        <v>5.1653769599595702E-2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4.0934676778681497E-2</v>
      </c>
      <c r="AD12" s="14">
        <v>0</v>
      </c>
      <c r="AE12" s="14">
        <v>8.2113277740145894E-3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4.6342717675459097E-2</v>
      </c>
      <c r="AM12" s="14">
        <v>0</v>
      </c>
      <c r="AN12" s="14">
        <v>6.2531528435877198E-2</v>
      </c>
      <c r="AO12" s="14"/>
      <c r="AP12" s="14">
        <v>0</v>
      </c>
      <c r="AQ12" s="14">
        <v>1.9502821627179801E-2</v>
      </c>
      <c r="AR12" s="14"/>
      <c r="AS12" s="14" t="s">
        <v>88</v>
      </c>
      <c r="AT12" s="14">
        <v>8.4539835843467793E-3</v>
      </c>
      <c r="AU12" s="14" t="s">
        <v>88</v>
      </c>
      <c r="AV12" s="14"/>
      <c r="AW12" s="14">
        <v>1.0849137381157E-2</v>
      </c>
      <c r="AX12" s="14">
        <v>0</v>
      </c>
      <c r="AY12" s="14"/>
      <c r="AZ12" s="14">
        <v>0</v>
      </c>
      <c r="BA12" s="14">
        <v>3.8656426019711601E-2</v>
      </c>
    </row>
    <row r="13" spans="2:53" x14ac:dyDescent="0.35">
      <c r="B13" s="15" t="s">
        <v>116</v>
      </c>
      <c r="C13" s="18">
        <v>1.1835342561878801E-2</v>
      </c>
      <c r="D13" s="18">
        <v>0</v>
      </c>
      <c r="E13" s="18">
        <v>2.00165077910405E-2</v>
      </c>
      <c r="F13" s="18"/>
      <c r="G13" s="18" t="s">
        <v>88</v>
      </c>
      <c r="H13" s="18">
        <v>0</v>
      </c>
      <c r="I13" s="18">
        <v>2.1370131340614398E-2</v>
      </c>
      <c r="J13" s="18">
        <v>0</v>
      </c>
      <c r="K13" s="18">
        <v>0</v>
      </c>
      <c r="L13" s="18">
        <v>0</v>
      </c>
      <c r="M13" s="18"/>
      <c r="N13" s="18">
        <v>9.6608919429569309E-3</v>
      </c>
      <c r="O13" s="18">
        <v>0</v>
      </c>
      <c r="P13" s="18">
        <v>5.2444973071654501E-2</v>
      </c>
      <c r="Q13" s="18">
        <v>0</v>
      </c>
      <c r="R13" s="18"/>
      <c r="S13" s="18">
        <v>0</v>
      </c>
      <c r="T13" s="18">
        <v>0</v>
      </c>
      <c r="U13" s="18">
        <v>0</v>
      </c>
      <c r="V13" s="18">
        <v>0</v>
      </c>
      <c r="W13" s="18">
        <v>5.5805198283941003E-2</v>
      </c>
      <c r="X13" s="18">
        <v>0</v>
      </c>
      <c r="Y13" s="18">
        <v>4.9330312639393699E-2</v>
      </c>
      <c r="Z13" s="18">
        <v>0</v>
      </c>
      <c r="AA13" s="18">
        <v>0</v>
      </c>
      <c r="AB13" s="18"/>
      <c r="AC13" s="18">
        <v>0</v>
      </c>
      <c r="AD13" s="18">
        <v>2.7991712266904101E-2</v>
      </c>
      <c r="AE13" s="18">
        <v>1.56121308344347E-2</v>
      </c>
      <c r="AF13" s="18">
        <v>0</v>
      </c>
      <c r="AG13" s="18">
        <v>0</v>
      </c>
      <c r="AH13" s="18"/>
      <c r="AI13" s="18">
        <v>1.0301644577059701E-2</v>
      </c>
      <c r="AJ13" s="18">
        <v>1.2222638061871099E-2</v>
      </c>
      <c r="AK13" s="18">
        <v>0</v>
      </c>
      <c r="AL13" s="18">
        <v>0</v>
      </c>
      <c r="AM13" s="18">
        <v>0.10792456569269999</v>
      </c>
      <c r="AN13" s="18">
        <v>0</v>
      </c>
      <c r="AO13" s="18"/>
      <c r="AP13" s="18">
        <v>1.68566954915234E-2</v>
      </c>
      <c r="AQ13" s="18">
        <v>5.2727422537501697E-3</v>
      </c>
      <c r="AR13" s="18"/>
      <c r="AS13" s="18" t="s">
        <v>88</v>
      </c>
      <c r="AT13" s="18">
        <v>1.1835342561878801E-2</v>
      </c>
      <c r="AU13" s="18" t="s">
        <v>88</v>
      </c>
      <c r="AV13" s="18"/>
      <c r="AW13" s="18">
        <v>8.4869197130118899E-3</v>
      </c>
      <c r="AX13" s="18">
        <v>0</v>
      </c>
      <c r="AY13" s="18"/>
      <c r="AZ13" s="18">
        <v>1.22228148745593E-2</v>
      </c>
      <c r="BA13" s="18">
        <v>1.0451070862948501E-2</v>
      </c>
    </row>
    <row r="14" spans="2:53" x14ac:dyDescent="0.35">
      <c r="B14" s="26" t="s">
        <v>224</v>
      </c>
      <c r="C14" s="27">
        <v>0.86921440177459297</v>
      </c>
      <c r="D14" s="27">
        <v>0.93050257788853896</v>
      </c>
      <c r="E14" s="27">
        <v>0.82684902935206805</v>
      </c>
      <c r="F14" s="27"/>
      <c r="G14" s="27" t="s">
        <v>88</v>
      </c>
      <c r="H14" s="27">
        <v>0.89607972177901196</v>
      </c>
      <c r="I14" s="27">
        <v>0.848426767234849</v>
      </c>
      <c r="J14" s="27">
        <v>0.86177795633014698</v>
      </c>
      <c r="K14" s="27">
        <v>1</v>
      </c>
      <c r="L14" s="27">
        <v>1</v>
      </c>
      <c r="M14" s="27"/>
      <c r="N14" s="27">
        <v>0.89647749495653395</v>
      </c>
      <c r="O14" s="27">
        <v>0.91035096881094102</v>
      </c>
      <c r="P14" s="27">
        <v>0.79538139215585202</v>
      </c>
      <c r="Q14" s="27">
        <v>0.84903370132578104</v>
      </c>
      <c r="R14" s="27"/>
      <c r="S14" s="27">
        <v>0.88838033191106702</v>
      </c>
      <c r="T14" s="27">
        <v>0.84979520659619301</v>
      </c>
      <c r="U14" s="27">
        <v>0.93205159683057204</v>
      </c>
      <c r="V14" s="27">
        <v>1</v>
      </c>
      <c r="W14" s="27">
        <v>0.92943894773161895</v>
      </c>
      <c r="X14" s="27">
        <v>0.80928214493962802</v>
      </c>
      <c r="Y14" s="27">
        <v>0.77935155066293105</v>
      </c>
      <c r="Z14" s="27">
        <v>0.89454778853921202</v>
      </c>
      <c r="AA14" s="27">
        <v>0.85768612959481105</v>
      </c>
      <c r="AB14" s="27"/>
      <c r="AC14" s="27">
        <v>0.76825066317426804</v>
      </c>
      <c r="AD14" s="27">
        <v>0.80649684911519004</v>
      </c>
      <c r="AE14" s="27">
        <v>0.89516406581361896</v>
      </c>
      <c r="AF14" s="27">
        <v>0.97786612475421997</v>
      </c>
      <c r="AG14" s="27">
        <v>1</v>
      </c>
      <c r="AH14" s="27"/>
      <c r="AI14" s="27">
        <v>0.88776584686584403</v>
      </c>
      <c r="AJ14" s="27">
        <v>0.95393335098592902</v>
      </c>
      <c r="AK14" s="27">
        <v>0.97857364330720997</v>
      </c>
      <c r="AL14" s="27">
        <v>0.81618297875512802</v>
      </c>
      <c r="AM14" s="27">
        <v>0.78674422741859795</v>
      </c>
      <c r="AN14" s="27">
        <v>0.75703300751674996</v>
      </c>
      <c r="AO14" s="27"/>
      <c r="AP14" s="27">
        <v>0.84889046119329503</v>
      </c>
      <c r="AQ14" s="27">
        <v>0.89577654560116804</v>
      </c>
      <c r="AR14" s="27"/>
      <c r="AS14" s="27" t="s">
        <v>88</v>
      </c>
      <c r="AT14" s="27">
        <v>0.86921440177459297</v>
      </c>
      <c r="AU14" s="27" t="s">
        <v>88</v>
      </c>
      <c r="AV14" s="27"/>
      <c r="AW14" s="27">
        <v>0.85581523508496604</v>
      </c>
      <c r="AX14" s="27">
        <v>0.922345103621382</v>
      </c>
      <c r="AY14" s="27"/>
      <c r="AZ14" s="27">
        <v>0.91584704280843499</v>
      </c>
      <c r="BA14" s="27">
        <v>0.70261605882991995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BA16"/>
  <sheetViews>
    <sheetView showGridLines="0" workbookViewId="0">
      <pane xSplit="2" topLeftCell="C1" activePane="topRight" state="frozen"/>
      <selection pane="topRight" activeCell="B7" sqref="B7: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383</v>
      </c>
      <c r="D7" s="10">
        <v>141</v>
      </c>
      <c r="E7" s="10">
        <v>242</v>
      </c>
      <c r="F7" s="10"/>
      <c r="G7" s="10">
        <v>1</v>
      </c>
      <c r="H7" s="10">
        <v>103</v>
      </c>
      <c r="I7" s="10">
        <v>197</v>
      </c>
      <c r="J7" s="10">
        <v>70</v>
      </c>
      <c r="K7" s="10">
        <v>10</v>
      </c>
      <c r="L7" s="10">
        <v>2</v>
      </c>
      <c r="M7" s="10"/>
      <c r="N7" s="10">
        <v>138</v>
      </c>
      <c r="O7" s="10">
        <v>111</v>
      </c>
      <c r="P7" s="10">
        <v>55</v>
      </c>
      <c r="Q7" s="10">
        <v>78</v>
      </c>
      <c r="R7" s="10"/>
      <c r="S7" s="10">
        <v>69</v>
      </c>
      <c r="T7" s="10">
        <v>61</v>
      </c>
      <c r="U7" s="10">
        <v>28</v>
      </c>
      <c r="V7" s="10">
        <v>26</v>
      </c>
      <c r="W7" s="10">
        <v>35</v>
      </c>
      <c r="X7" s="10">
        <v>49</v>
      </c>
      <c r="Y7" s="10">
        <v>42</v>
      </c>
      <c r="Z7" s="10">
        <v>16</v>
      </c>
      <c r="AA7" s="10">
        <v>57</v>
      </c>
      <c r="AB7" s="10"/>
      <c r="AC7" s="10">
        <v>46</v>
      </c>
      <c r="AD7" s="10">
        <v>81</v>
      </c>
      <c r="AE7" s="10">
        <v>122</v>
      </c>
      <c r="AF7" s="10">
        <v>82</v>
      </c>
      <c r="AG7" s="10">
        <v>9</v>
      </c>
      <c r="AH7" s="10"/>
      <c r="AI7" s="10">
        <v>138</v>
      </c>
      <c r="AJ7" s="10">
        <v>73</v>
      </c>
      <c r="AK7" s="10">
        <v>29</v>
      </c>
      <c r="AL7" s="10">
        <v>53</v>
      </c>
      <c r="AM7" s="10">
        <v>20</v>
      </c>
      <c r="AN7" s="10">
        <v>27</v>
      </c>
      <c r="AO7" s="10"/>
      <c r="AP7" s="10">
        <v>209</v>
      </c>
      <c r="AQ7" s="10">
        <v>174</v>
      </c>
      <c r="AR7" s="10"/>
      <c r="AS7" s="10" t="s">
        <v>87</v>
      </c>
      <c r="AT7" s="10">
        <v>383</v>
      </c>
      <c r="AU7" s="10" t="s">
        <v>87</v>
      </c>
      <c r="AV7" s="10"/>
      <c r="AW7" s="10">
        <v>294</v>
      </c>
      <c r="AX7" s="10">
        <v>72</v>
      </c>
      <c r="AY7" s="10"/>
      <c r="AZ7" s="10">
        <v>295</v>
      </c>
      <c r="BA7" s="10">
        <v>85</v>
      </c>
    </row>
    <row r="8" spans="2:53" ht="30" customHeight="1" x14ac:dyDescent="0.35">
      <c r="B8" s="11" t="s">
        <v>19</v>
      </c>
      <c r="C8" s="11">
        <v>390</v>
      </c>
      <c r="D8" s="11">
        <v>177</v>
      </c>
      <c r="E8" s="11">
        <v>213</v>
      </c>
      <c r="F8" s="11"/>
      <c r="G8" s="11">
        <v>2</v>
      </c>
      <c r="H8" s="11">
        <v>104</v>
      </c>
      <c r="I8" s="11">
        <v>198</v>
      </c>
      <c r="J8" s="11">
        <v>69</v>
      </c>
      <c r="K8" s="11">
        <v>14</v>
      </c>
      <c r="L8" s="11">
        <v>3</v>
      </c>
      <c r="M8" s="11"/>
      <c r="N8" s="11">
        <v>88</v>
      </c>
      <c r="O8" s="11">
        <v>116</v>
      </c>
      <c r="P8" s="11">
        <v>75</v>
      </c>
      <c r="Q8" s="11">
        <v>111</v>
      </c>
      <c r="R8" s="11"/>
      <c r="S8" s="11">
        <v>59</v>
      </c>
      <c r="T8" s="11">
        <v>65</v>
      </c>
      <c r="U8" s="11">
        <v>34</v>
      </c>
      <c r="V8" s="11">
        <v>32</v>
      </c>
      <c r="W8" s="11">
        <v>37</v>
      </c>
      <c r="X8" s="11">
        <v>49</v>
      </c>
      <c r="Y8" s="11">
        <v>40</v>
      </c>
      <c r="Z8" s="11">
        <v>15</v>
      </c>
      <c r="AA8" s="11">
        <v>58</v>
      </c>
      <c r="AB8" s="11"/>
      <c r="AC8" s="11">
        <v>63</v>
      </c>
      <c r="AD8" s="11">
        <v>88</v>
      </c>
      <c r="AE8" s="11">
        <v>114</v>
      </c>
      <c r="AF8" s="11">
        <v>72</v>
      </c>
      <c r="AG8" s="11">
        <v>4</v>
      </c>
      <c r="AH8" s="11"/>
      <c r="AI8" s="11">
        <v>144</v>
      </c>
      <c r="AJ8" s="11">
        <v>70</v>
      </c>
      <c r="AK8" s="11">
        <v>27</v>
      </c>
      <c r="AL8" s="11">
        <v>52</v>
      </c>
      <c r="AM8" s="11">
        <v>21</v>
      </c>
      <c r="AN8" s="11">
        <v>27</v>
      </c>
      <c r="AO8" s="11"/>
      <c r="AP8" s="11">
        <v>222</v>
      </c>
      <c r="AQ8" s="11">
        <v>168</v>
      </c>
      <c r="AR8" s="11"/>
      <c r="AS8" s="11" t="s">
        <v>87</v>
      </c>
      <c r="AT8" s="11">
        <v>390</v>
      </c>
      <c r="AU8" s="11" t="s">
        <v>87</v>
      </c>
      <c r="AV8" s="11"/>
      <c r="AW8" s="11">
        <v>311</v>
      </c>
      <c r="AX8" s="11">
        <v>58</v>
      </c>
      <c r="AY8" s="11"/>
      <c r="AZ8" s="11">
        <v>299</v>
      </c>
      <c r="BA8" s="11">
        <v>87</v>
      </c>
    </row>
    <row r="9" spans="2:53" x14ac:dyDescent="0.35">
      <c r="B9" s="15" t="s">
        <v>154</v>
      </c>
      <c r="C9" s="14">
        <v>0.66448741909535902</v>
      </c>
      <c r="D9" s="14">
        <v>0.58226670516689605</v>
      </c>
      <c r="E9" s="14">
        <v>0.73290937901318298</v>
      </c>
      <c r="F9" s="14"/>
      <c r="G9" s="14">
        <v>1</v>
      </c>
      <c r="H9" s="14">
        <v>0.70432179925063498</v>
      </c>
      <c r="I9" s="14">
        <v>0.63037754454509998</v>
      </c>
      <c r="J9" s="14">
        <v>0.65595353719035399</v>
      </c>
      <c r="K9" s="14">
        <v>0.91986437453135395</v>
      </c>
      <c r="L9" s="14">
        <v>0.34819201228478702</v>
      </c>
      <c r="M9" s="14"/>
      <c r="N9" s="14">
        <v>0.73776498563359405</v>
      </c>
      <c r="O9" s="14">
        <v>0.730295769405364</v>
      </c>
      <c r="P9" s="14">
        <v>0.513247519472813</v>
      </c>
      <c r="Q9" s="14">
        <v>0.64569282206296597</v>
      </c>
      <c r="R9" s="14"/>
      <c r="S9" s="14">
        <v>0.69196917454402895</v>
      </c>
      <c r="T9" s="14">
        <v>0.69057264395758899</v>
      </c>
      <c r="U9" s="14">
        <v>0.79164107461840105</v>
      </c>
      <c r="V9" s="14">
        <v>0.61651181673657596</v>
      </c>
      <c r="W9" s="14">
        <v>0.61367613132953902</v>
      </c>
      <c r="X9" s="14">
        <v>0.51085263593770402</v>
      </c>
      <c r="Y9" s="14">
        <v>0.75428668892949502</v>
      </c>
      <c r="Z9" s="14">
        <v>0.79446138445270897</v>
      </c>
      <c r="AA9" s="14">
        <v>0.62728354148300103</v>
      </c>
      <c r="AB9" s="14"/>
      <c r="AC9" s="14">
        <v>0.56276592268509096</v>
      </c>
      <c r="AD9" s="14">
        <v>0.70420264779820596</v>
      </c>
      <c r="AE9" s="14">
        <v>0.66056426446209504</v>
      </c>
      <c r="AF9" s="14">
        <v>0.71272657019359198</v>
      </c>
      <c r="AG9" s="14">
        <v>0.88268980845103995</v>
      </c>
      <c r="AH9" s="14"/>
      <c r="AI9" s="14">
        <v>0.67497945759706701</v>
      </c>
      <c r="AJ9" s="14">
        <v>0.61392254459946105</v>
      </c>
      <c r="AK9" s="14">
        <v>0.67732628567921205</v>
      </c>
      <c r="AL9" s="14">
        <v>0.65417362204807505</v>
      </c>
      <c r="AM9" s="14">
        <v>0.66866575295287001</v>
      </c>
      <c r="AN9" s="14">
        <v>0.721874513085356</v>
      </c>
      <c r="AO9" s="14"/>
      <c r="AP9" s="14">
        <v>0.64552507149556704</v>
      </c>
      <c r="AQ9" s="14">
        <v>0.68958906011118504</v>
      </c>
      <c r="AR9" s="14"/>
      <c r="AS9" s="14" t="s">
        <v>88</v>
      </c>
      <c r="AT9" s="14">
        <v>0.66448741909535902</v>
      </c>
      <c r="AU9" s="14" t="s">
        <v>88</v>
      </c>
      <c r="AV9" s="14"/>
      <c r="AW9" s="14">
        <v>0.67002154681472403</v>
      </c>
      <c r="AX9" s="14">
        <v>0.71146693988223797</v>
      </c>
      <c r="AY9" s="14"/>
      <c r="AZ9" s="14">
        <v>0.66262223884577698</v>
      </c>
      <c r="BA9" s="14">
        <v>0.70653219394453204</v>
      </c>
    </row>
    <row r="10" spans="2:53" x14ac:dyDescent="0.35">
      <c r="B10" s="15" t="s">
        <v>155</v>
      </c>
      <c r="C10" s="14">
        <v>0.17132161200753401</v>
      </c>
      <c r="D10" s="14">
        <v>0.202976040332247</v>
      </c>
      <c r="E10" s="14">
        <v>0.14497961225380299</v>
      </c>
      <c r="F10" s="14"/>
      <c r="G10" s="14">
        <v>0</v>
      </c>
      <c r="H10" s="14">
        <v>0.161843181234301</v>
      </c>
      <c r="I10" s="14">
        <v>0.21108116773296601</v>
      </c>
      <c r="J10" s="14">
        <v>0.103369239185035</v>
      </c>
      <c r="K10" s="14">
        <v>8.0135625468646401E-2</v>
      </c>
      <c r="L10" s="14">
        <v>0</v>
      </c>
      <c r="M10" s="14"/>
      <c r="N10" s="14">
        <v>0.12480897425799101</v>
      </c>
      <c r="O10" s="14">
        <v>0.180207364492286</v>
      </c>
      <c r="P10" s="14">
        <v>0.24781606263637099</v>
      </c>
      <c r="Q10" s="14">
        <v>0.148762160606428</v>
      </c>
      <c r="R10" s="14"/>
      <c r="S10" s="14">
        <v>0.15171050188609</v>
      </c>
      <c r="T10" s="14">
        <v>0.21965428891959901</v>
      </c>
      <c r="U10" s="14">
        <v>0.12039928870830199</v>
      </c>
      <c r="V10" s="14">
        <v>0.294839248198009</v>
      </c>
      <c r="W10" s="14">
        <v>0.138246901607016</v>
      </c>
      <c r="X10" s="14">
        <v>0.27229580511560803</v>
      </c>
      <c r="Y10" s="14">
        <v>0.15630394528856101</v>
      </c>
      <c r="Z10" s="14">
        <v>1.9121559737010602E-2</v>
      </c>
      <c r="AA10" s="14">
        <v>8.1946864481819398E-2</v>
      </c>
      <c r="AB10" s="14"/>
      <c r="AC10" s="14">
        <v>0.182500710987443</v>
      </c>
      <c r="AD10" s="14">
        <v>0.19453355084769899</v>
      </c>
      <c r="AE10" s="14">
        <v>0.18244511705520999</v>
      </c>
      <c r="AF10" s="14">
        <v>0.13733118230941799</v>
      </c>
      <c r="AG10" s="14">
        <v>0</v>
      </c>
      <c r="AH10" s="14"/>
      <c r="AI10" s="14">
        <v>0.19064818774452899</v>
      </c>
      <c r="AJ10" s="14">
        <v>0.238437097657799</v>
      </c>
      <c r="AK10" s="14">
        <v>0.129594746246147</v>
      </c>
      <c r="AL10" s="14">
        <v>0.124176584839937</v>
      </c>
      <c r="AM10" s="14">
        <v>0</v>
      </c>
      <c r="AN10" s="14">
        <v>0.18246676519251601</v>
      </c>
      <c r="AO10" s="14"/>
      <c r="AP10" s="14">
        <v>0.19932387629971399</v>
      </c>
      <c r="AQ10" s="14">
        <v>0.134253270010665</v>
      </c>
      <c r="AR10" s="14"/>
      <c r="AS10" s="14" t="s">
        <v>88</v>
      </c>
      <c r="AT10" s="14">
        <v>0.17132161200753401</v>
      </c>
      <c r="AU10" s="14" t="s">
        <v>88</v>
      </c>
      <c r="AV10" s="14"/>
      <c r="AW10" s="14">
        <v>0.15452804575543599</v>
      </c>
      <c r="AX10" s="14">
        <v>0.18984767190235299</v>
      </c>
      <c r="AY10" s="14"/>
      <c r="AZ10" s="14">
        <v>0.18085042561516701</v>
      </c>
      <c r="BA10" s="14">
        <v>0.147796812235444</v>
      </c>
    </row>
    <row r="11" spans="2:53" x14ac:dyDescent="0.35">
      <c r="B11" s="26" t="s">
        <v>116</v>
      </c>
      <c r="C11" s="28">
        <v>0.16419096889710699</v>
      </c>
      <c r="D11" s="28">
        <v>0.214757254500858</v>
      </c>
      <c r="E11" s="28">
        <v>0.122111008733014</v>
      </c>
      <c r="F11" s="28"/>
      <c r="G11" s="28">
        <v>0</v>
      </c>
      <c r="H11" s="28">
        <v>0.13383501951506499</v>
      </c>
      <c r="I11" s="28">
        <v>0.15854128772193399</v>
      </c>
      <c r="J11" s="28">
        <v>0.240677223624612</v>
      </c>
      <c r="K11" s="28">
        <v>0</v>
      </c>
      <c r="L11" s="28">
        <v>0.65180798771521298</v>
      </c>
      <c r="M11" s="28"/>
      <c r="N11" s="28">
        <v>0.137426040108415</v>
      </c>
      <c r="O11" s="28">
        <v>8.9496866102350206E-2</v>
      </c>
      <c r="P11" s="28">
        <v>0.23893641789081499</v>
      </c>
      <c r="Q11" s="28">
        <v>0.20554501733060601</v>
      </c>
      <c r="R11" s="28"/>
      <c r="S11" s="28">
        <v>0.15632032356987999</v>
      </c>
      <c r="T11" s="28">
        <v>8.9773067122811995E-2</v>
      </c>
      <c r="U11" s="28">
        <v>8.7959636673296801E-2</v>
      </c>
      <c r="V11" s="28">
        <v>8.8648935065415199E-2</v>
      </c>
      <c r="W11" s="28">
        <v>0.24807696706344501</v>
      </c>
      <c r="X11" s="28">
        <v>0.21685155894668801</v>
      </c>
      <c r="Y11" s="28">
        <v>8.9409365781943598E-2</v>
      </c>
      <c r="Z11" s="28">
        <v>0.18641705581028001</v>
      </c>
      <c r="AA11" s="28">
        <v>0.29076959403517999</v>
      </c>
      <c r="AB11" s="28"/>
      <c r="AC11" s="28">
        <v>0.25473336632746602</v>
      </c>
      <c r="AD11" s="28">
        <v>0.101263801354095</v>
      </c>
      <c r="AE11" s="28">
        <v>0.15699061848269499</v>
      </c>
      <c r="AF11" s="28">
        <v>0.149942247496991</v>
      </c>
      <c r="AG11" s="28">
        <v>0.11731019154896</v>
      </c>
      <c r="AH11" s="28"/>
      <c r="AI11" s="28">
        <v>0.134372354658404</v>
      </c>
      <c r="AJ11" s="28">
        <v>0.14764035774274001</v>
      </c>
      <c r="AK11" s="28">
        <v>0.19307896807464101</v>
      </c>
      <c r="AL11" s="28">
        <v>0.22164979311198801</v>
      </c>
      <c r="AM11" s="28">
        <v>0.33133424704712999</v>
      </c>
      <c r="AN11" s="28">
        <v>9.5658721722127305E-2</v>
      </c>
      <c r="AO11" s="28"/>
      <c r="AP11" s="28">
        <v>0.155151052204719</v>
      </c>
      <c r="AQ11" s="28">
        <v>0.17615766987815001</v>
      </c>
      <c r="AR11" s="28"/>
      <c r="AS11" s="28" t="s">
        <v>88</v>
      </c>
      <c r="AT11" s="28">
        <v>0.16419096889710699</v>
      </c>
      <c r="AU11" s="28" t="s">
        <v>88</v>
      </c>
      <c r="AV11" s="28"/>
      <c r="AW11" s="28">
        <v>0.17545040742984</v>
      </c>
      <c r="AX11" s="28">
        <v>9.8685388215409606E-2</v>
      </c>
      <c r="AY11" s="28"/>
      <c r="AZ11" s="28">
        <v>0.15652733553905601</v>
      </c>
      <c r="BA11" s="28">
        <v>0.14567099382002399</v>
      </c>
    </row>
    <row r="12" spans="2:53" x14ac:dyDescent="0.35">
      <c r="B12" s="25" t="s">
        <v>320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BA18"/>
  <sheetViews>
    <sheetView showGridLines="0" topLeftCell="A5" workbookViewId="0">
      <pane xSplit="2" topLeftCell="C1" activePane="topRight" state="frozen"/>
      <selection pane="topRight" activeCell="D16" sqref="D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269</v>
      </c>
      <c r="D7" s="10">
        <v>87</v>
      </c>
      <c r="E7" s="10">
        <v>182</v>
      </c>
      <c r="F7" s="10"/>
      <c r="G7" s="10">
        <v>1</v>
      </c>
      <c r="H7" s="10">
        <v>76</v>
      </c>
      <c r="I7" s="10">
        <v>132</v>
      </c>
      <c r="J7" s="10">
        <v>50</v>
      </c>
      <c r="K7" s="10">
        <v>9</v>
      </c>
      <c r="L7" s="10">
        <v>1</v>
      </c>
      <c r="M7" s="10"/>
      <c r="N7" s="10">
        <v>105</v>
      </c>
      <c r="O7" s="10">
        <v>82</v>
      </c>
      <c r="P7" s="10">
        <v>30</v>
      </c>
      <c r="Q7" s="10">
        <v>52</v>
      </c>
      <c r="R7" s="10"/>
      <c r="S7" s="10">
        <v>53</v>
      </c>
      <c r="T7" s="10">
        <v>45</v>
      </c>
      <c r="U7" s="10">
        <v>21</v>
      </c>
      <c r="V7" s="10">
        <v>16</v>
      </c>
      <c r="W7" s="10">
        <v>24</v>
      </c>
      <c r="X7" s="10">
        <v>30</v>
      </c>
      <c r="Y7" s="10">
        <v>31</v>
      </c>
      <c r="Z7" s="10">
        <v>12</v>
      </c>
      <c r="AA7" s="10">
        <v>37</v>
      </c>
      <c r="AB7" s="10"/>
      <c r="AC7" s="10">
        <v>27</v>
      </c>
      <c r="AD7" s="10">
        <v>59</v>
      </c>
      <c r="AE7" s="10">
        <v>84</v>
      </c>
      <c r="AF7" s="10">
        <v>62</v>
      </c>
      <c r="AG7" s="10">
        <v>8</v>
      </c>
      <c r="AH7" s="10"/>
      <c r="AI7" s="10">
        <v>96</v>
      </c>
      <c r="AJ7" s="10">
        <v>52</v>
      </c>
      <c r="AK7" s="10">
        <v>22</v>
      </c>
      <c r="AL7" s="10">
        <v>34</v>
      </c>
      <c r="AM7" s="10">
        <v>14</v>
      </c>
      <c r="AN7" s="10">
        <v>20</v>
      </c>
      <c r="AO7" s="10"/>
      <c r="AP7" s="10">
        <v>142</v>
      </c>
      <c r="AQ7" s="10">
        <v>127</v>
      </c>
      <c r="AR7" s="10"/>
      <c r="AS7" s="10" t="s">
        <v>87</v>
      </c>
      <c r="AT7" s="10">
        <v>268</v>
      </c>
      <c r="AU7" s="10">
        <v>1</v>
      </c>
      <c r="AV7" s="10"/>
      <c r="AW7" s="10">
        <v>204</v>
      </c>
      <c r="AX7" s="10">
        <v>55</v>
      </c>
      <c r="AY7" s="10"/>
      <c r="AZ7" s="10">
        <v>209</v>
      </c>
      <c r="BA7" s="10">
        <v>60</v>
      </c>
    </row>
    <row r="8" spans="2:53" ht="30" customHeight="1" x14ac:dyDescent="0.35">
      <c r="B8" s="11" t="s">
        <v>19</v>
      </c>
      <c r="C8" s="11">
        <v>260</v>
      </c>
      <c r="D8" s="11">
        <v>103</v>
      </c>
      <c r="E8" s="11">
        <v>157</v>
      </c>
      <c r="F8" s="11"/>
      <c r="G8" s="11">
        <v>2</v>
      </c>
      <c r="H8" s="11">
        <v>73</v>
      </c>
      <c r="I8" s="11">
        <v>125</v>
      </c>
      <c r="J8" s="11">
        <v>46</v>
      </c>
      <c r="K8" s="11">
        <v>13</v>
      </c>
      <c r="L8" s="11">
        <v>1</v>
      </c>
      <c r="M8" s="11"/>
      <c r="N8" s="11">
        <v>65</v>
      </c>
      <c r="O8" s="11">
        <v>85</v>
      </c>
      <c r="P8" s="11">
        <v>38</v>
      </c>
      <c r="Q8" s="11">
        <v>72</v>
      </c>
      <c r="R8" s="11"/>
      <c r="S8" s="11">
        <v>41</v>
      </c>
      <c r="T8" s="11">
        <v>45</v>
      </c>
      <c r="U8" s="11">
        <v>27</v>
      </c>
      <c r="V8" s="11">
        <v>20</v>
      </c>
      <c r="W8" s="11">
        <v>23</v>
      </c>
      <c r="X8" s="11">
        <v>25</v>
      </c>
      <c r="Y8" s="11">
        <v>30</v>
      </c>
      <c r="Z8" s="11">
        <v>12</v>
      </c>
      <c r="AA8" s="11">
        <v>36</v>
      </c>
      <c r="AB8" s="11"/>
      <c r="AC8" s="11">
        <v>35</v>
      </c>
      <c r="AD8" s="11">
        <v>62</v>
      </c>
      <c r="AE8" s="11">
        <v>75</v>
      </c>
      <c r="AF8" s="11">
        <v>52</v>
      </c>
      <c r="AG8" s="11">
        <v>4</v>
      </c>
      <c r="AH8" s="11"/>
      <c r="AI8" s="11">
        <v>98</v>
      </c>
      <c r="AJ8" s="11">
        <v>43</v>
      </c>
      <c r="AK8" s="11">
        <v>19</v>
      </c>
      <c r="AL8" s="11">
        <v>34</v>
      </c>
      <c r="AM8" s="11">
        <v>14</v>
      </c>
      <c r="AN8" s="11">
        <v>19</v>
      </c>
      <c r="AO8" s="11"/>
      <c r="AP8" s="11">
        <v>143</v>
      </c>
      <c r="AQ8" s="11">
        <v>116</v>
      </c>
      <c r="AR8" s="11"/>
      <c r="AS8" s="11" t="s">
        <v>87</v>
      </c>
      <c r="AT8" s="11">
        <v>259</v>
      </c>
      <c r="AU8" s="11">
        <v>1</v>
      </c>
      <c r="AV8" s="11"/>
      <c r="AW8" s="11">
        <v>209</v>
      </c>
      <c r="AX8" s="11">
        <v>41</v>
      </c>
      <c r="AY8" s="11"/>
      <c r="AZ8" s="11">
        <v>199</v>
      </c>
      <c r="BA8" s="11">
        <v>61</v>
      </c>
    </row>
    <row r="9" spans="2:53" x14ac:dyDescent="0.35">
      <c r="B9" s="15" t="s">
        <v>214</v>
      </c>
      <c r="C9" s="14">
        <v>0.19192732328187301</v>
      </c>
      <c r="D9" s="14">
        <v>0.219398332053821</v>
      </c>
      <c r="E9" s="14">
        <v>0.17384225658618899</v>
      </c>
      <c r="F9" s="14"/>
      <c r="G9" s="14">
        <v>0</v>
      </c>
      <c r="H9" s="14">
        <v>0.22743139420481001</v>
      </c>
      <c r="I9" s="14">
        <v>0.197990504601009</v>
      </c>
      <c r="J9" s="14">
        <v>0.113083613963515</v>
      </c>
      <c r="K9" s="14">
        <v>0.25832968021611202</v>
      </c>
      <c r="L9" s="14">
        <v>0</v>
      </c>
      <c r="M9" s="14"/>
      <c r="N9" s="14">
        <v>0.216991907689354</v>
      </c>
      <c r="O9" s="14">
        <v>0.15872356416556799</v>
      </c>
      <c r="P9" s="14">
        <v>0.16079380782198799</v>
      </c>
      <c r="Q9" s="14">
        <v>0.22492732156706699</v>
      </c>
      <c r="R9" s="14"/>
      <c r="S9" s="14">
        <v>0.18237214299375201</v>
      </c>
      <c r="T9" s="14">
        <v>0.114828726910688</v>
      </c>
      <c r="U9" s="14">
        <v>0.14408127642879301</v>
      </c>
      <c r="V9" s="14">
        <v>1.7784766595922701E-2</v>
      </c>
      <c r="W9" s="14">
        <v>0.18104546171705699</v>
      </c>
      <c r="X9" s="14">
        <v>0.17055218711494399</v>
      </c>
      <c r="Y9" s="14">
        <v>0.29952829007628701</v>
      </c>
      <c r="Z9" s="14">
        <v>0.28922768565072798</v>
      </c>
      <c r="AA9" s="14">
        <v>0.330661658319088</v>
      </c>
      <c r="AB9" s="14"/>
      <c r="AC9" s="14">
        <v>0.14475793588375799</v>
      </c>
      <c r="AD9" s="14">
        <v>0.184361193016567</v>
      </c>
      <c r="AE9" s="14">
        <v>0.21475973956119199</v>
      </c>
      <c r="AF9" s="14">
        <v>0.22783851783513101</v>
      </c>
      <c r="AG9" s="14">
        <v>0.14194068294767001</v>
      </c>
      <c r="AH9" s="14"/>
      <c r="AI9" s="14">
        <v>0.234933474733037</v>
      </c>
      <c r="AJ9" s="14">
        <v>0.12968173584248599</v>
      </c>
      <c r="AK9" s="14">
        <v>0.35762212310646502</v>
      </c>
      <c r="AL9" s="14">
        <v>0.10647798248280101</v>
      </c>
      <c r="AM9" s="14">
        <v>9.7285894492310399E-2</v>
      </c>
      <c r="AN9" s="14">
        <v>0.168938687216207</v>
      </c>
      <c r="AO9" s="14"/>
      <c r="AP9" s="14">
        <v>0.21950837641533999</v>
      </c>
      <c r="AQ9" s="14">
        <v>0.15794410138571799</v>
      </c>
      <c r="AR9" s="14"/>
      <c r="AS9" s="14" t="s">
        <v>88</v>
      </c>
      <c r="AT9" s="14">
        <v>0.18986144627137599</v>
      </c>
      <c r="AU9" s="14">
        <v>1</v>
      </c>
      <c r="AV9" s="14"/>
      <c r="AW9" s="14">
        <v>0.17081035643602399</v>
      </c>
      <c r="AX9" s="14">
        <v>0.32253908214969301</v>
      </c>
      <c r="AY9" s="14"/>
      <c r="AZ9" s="14">
        <v>0.19269908902280899</v>
      </c>
      <c r="BA9" s="14">
        <v>0.18943406431825</v>
      </c>
    </row>
    <row r="10" spans="2:53" x14ac:dyDescent="0.35">
      <c r="B10" s="15" t="s">
        <v>215</v>
      </c>
      <c r="C10" s="14">
        <v>0.571414539993783</v>
      </c>
      <c r="D10" s="14">
        <v>0.55500373947890003</v>
      </c>
      <c r="E10" s="14">
        <v>0.58221830858870705</v>
      </c>
      <c r="F10" s="14"/>
      <c r="G10" s="14">
        <v>0</v>
      </c>
      <c r="H10" s="14">
        <v>0.52682978521497303</v>
      </c>
      <c r="I10" s="14">
        <v>0.57295783750243401</v>
      </c>
      <c r="J10" s="14">
        <v>0.66685598247272504</v>
      </c>
      <c r="K10" s="14">
        <v>0.52040173703269499</v>
      </c>
      <c r="L10" s="14">
        <v>1</v>
      </c>
      <c r="M10" s="14"/>
      <c r="N10" s="14">
        <v>0.58117367265605502</v>
      </c>
      <c r="O10" s="14">
        <v>0.61494258200674301</v>
      </c>
      <c r="P10" s="14">
        <v>0.61493633274056703</v>
      </c>
      <c r="Q10" s="14">
        <v>0.487943833952175</v>
      </c>
      <c r="R10" s="14"/>
      <c r="S10" s="14">
        <v>0.685091967163031</v>
      </c>
      <c r="T10" s="14">
        <v>0.58275813545935995</v>
      </c>
      <c r="U10" s="14">
        <v>0.75124919405844004</v>
      </c>
      <c r="V10" s="14">
        <v>0.54496540190233</v>
      </c>
      <c r="W10" s="14">
        <v>0.74397693432593504</v>
      </c>
      <c r="X10" s="14">
        <v>0.54429111576407796</v>
      </c>
      <c r="Y10" s="14">
        <v>0.36691482391404601</v>
      </c>
      <c r="Z10" s="14">
        <v>0.46601942565943399</v>
      </c>
      <c r="AA10" s="14">
        <v>0.42254138351334197</v>
      </c>
      <c r="AB10" s="14"/>
      <c r="AC10" s="14">
        <v>0.61707386771357098</v>
      </c>
      <c r="AD10" s="14">
        <v>0.579609196490943</v>
      </c>
      <c r="AE10" s="14">
        <v>0.499131636539491</v>
      </c>
      <c r="AF10" s="14">
        <v>0.58015115624003</v>
      </c>
      <c r="AG10" s="14">
        <v>0.598111330119523</v>
      </c>
      <c r="AH10" s="14"/>
      <c r="AI10" s="14">
        <v>0.56459131653311001</v>
      </c>
      <c r="AJ10" s="14">
        <v>0.700516628884024</v>
      </c>
      <c r="AK10" s="14">
        <v>0.42374159341154199</v>
      </c>
      <c r="AL10" s="14">
        <v>0.61977567705316805</v>
      </c>
      <c r="AM10" s="14">
        <v>0.57543958890765501</v>
      </c>
      <c r="AN10" s="14">
        <v>0.63557091581921699</v>
      </c>
      <c r="AO10" s="14"/>
      <c r="AP10" s="14">
        <v>0.49835612788271499</v>
      </c>
      <c r="AQ10" s="14">
        <v>0.66143141564160302</v>
      </c>
      <c r="AR10" s="14"/>
      <c r="AS10" s="14" t="s">
        <v>88</v>
      </c>
      <c r="AT10" s="14">
        <v>0.57287538899369195</v>
      </c>
      <c r="AU10" s="14">
        <v>0</v>
      </c>
      <c r="AV10" s="14"/>
      <c r="AW10" s="14">
        <v>0.56413371269752599</v>
      </c>
      <c r="AX10" s="14">
        <v>0.552536099371983</v>
      </c>
      <c r="AY10" s="14"/>
      <c r="AZ10" s="14">
        <v>0.59304372577790299</v>
      </c>
      <c r="BA10" s="14">
        <v>0.50153950088319899</v>
      </c>
    </row>
    <row r="11" spans="2:53" x14ac:dyDescent="0.35">
      <c r="B11" s="15" t="s">
        <v>216</v>
      </c>
      <c r="C11" s="14">
        <v>0.116862084719717</v>
      </c>
      <c r="D11" s="14">
        <v>0.15784371154910401</v>
      </c>
      <c r="E11" s="14">
        <v>8.9882534727220006E-2</v>
      </c>
      <c r="F11" s="14"/>
      <c r="G11" s="14">
        <v>1</v>
      </c>
      <c r="H11" s="14">
        <v>0.113017245528099</v>
      </c>
      <c r="I11" s="14">
        <v>0.12213910065756001</v>
      </c>
      <c r="J11" s="14">
        <v>6.9136491664253397E-2</v>
      </c>
      <c r="K11" s="14">
        <v>0.129675334356086</v>
      </c>
      <c r="L11" s="14">
        <v>0</v>
      </c>
      <c r="M11" s="14"/>
      <c r="N11" s="14">
        <v>0.11900016200744799</v>
      </c>
      <c r="O11" s="14">
        <v>0.11143663016404901</v>
      </c>
      <c r="P11" s="14">
        <v>0.118853712175746</v>
      </c>
      <c r="Q11" s="14">
        <v>0.120250152028956</v>
      </c>
      <c r="R11" s="14"/>
      <c r="S11" s="14">
        <v>8.3061588594956701E-2</v>
      </c>
      <c r="T11" s="14">
        <v>0.139670708354662</v>
      </c>
      <c r="U11" s="14">
        <v>5.5574074368136897E-2</v>
      </c>
      <c r="V11" s="14">
        <v>0.20292029874954601</v>
      </c>
      <c r="W11" s="14">
        <v>7.4977603957008698E-2</v>
      </c>
      <c r="X11" s="14">
        <v>0.103890548099036</v>
      </c>
      <c r="Y11" s="14">
        <v>0.220535613895288</v>
      </c>
      <c r="Z11" s="14">
        <v>0</v>
      </c>
      <c r="AA11" s="14">
        <v>0.112588299854155</v>
      </c>
      <c r="AB11" s="14"/>
      <c r="AC11" s="14">
        <v>0.12567081591285301</v>
      </c>
      <c r="AD11" s="14">
        <v>9.7861406284113606E-2</v>
      </c>
      <c r="AE11" s="14">
        <v>0.10589060852476299</v>
      </c>
      <c r="AF11" s="14">
        <v>0.12661661078303801</v>
      </c>
      <c r="AG11" s="14">
        <v>0.25994798693280702</v>
      </c>
      <c r="AH11" s="14"/>
      <c r="AI11" s="14">
        <v>0.12782036871543101</v>
      </c>
      <c r="AJ11" s="14">
        <v>6.6458358941696605E-2</v>
      </c>
      <c r="AK11" s="14">
        <v>7.0569323239024498E-2</v>
      </c>
      <c r="AL11" s="14">
        <v>0.176725496396715</v>
      </c>
      <c r="AM11" s="14">
        <v>6.7569646149588297E-2</v>
      </c>
      <c r="AN11" s="14">
        <v>6.0057184055074098E-2</v>
      </c>
      <c r="AO11" s="14"/>
      <c r="AP11" s="14">
        <v>0.15626196804795001</v>
      </c>
      <c r="AQ11" s="14">
        <v>6.8316622320339998E-2</v>
      </c>
      <c r="AR11" s="14"/>
      <c r="AS11" s="14" t="s">
        <v>88</v>
      </c>
      <c r="AT11" s="14">
        <v>0.11716084831014301</v>
      </c>
      <c r="AU11" s="14">
        <v>0</v>
      </c>
      <c r="AV11" s="14"/>
      <c r="AW11" s="14">
        <v>0.122993066593751</v>
      </c>
      <c r="AX11" s="14">
        <v>8.8922402245083396E-2</v>
      </c>
      <c r="AY11" s="14"/>
      <c r="AZ11" s="14">
        <v>0.120667784088736</v>
      </c>
      <c r="BA11" s="14">
        <v>0.10456742902128</v>
      </c>
    </row>
    <row r="12" spans="2:53" x14ac:dyDescent="0.35">
      <c r="B12" s="15" t="s">
        <v>217</v>
      </c>
      <c r="C12" s="14">
        <v>2.0697460907863698E-2</v>
      </c>
      <c r="D12" s="14">
        <v>1.0254146478840501E-2</v>
      </c>
      <c r="E12" s="14">
        <v>2.7572637554662001E-2</v>
      </c>
      <c r="F12" s="14"/>
      <c r="G12" s="14">
        <v>0</v>
      </c>
      <c r="H12" s="14">
        <v>0</v>
      </c>
      <c r="I12" s="14">
        <v>4.3048233652203997E-2</v>
      </c>
      <c r="J12" s="14">
        <v>0</v>
      </c>
      <c r="K12" s="14">
        <v>0</v>
      </c>
      <c r="L12" s="14">
        <v>0</v>
      </c>
      <c r="M12" s="14"/>
      <c r="N12" s="14">
        <v>1.6216527566956501E-2</v>
      </c>
      <c r="O12" s="14">
        <v>1.0436208865164E-2</v>
      </c>
      <c r="P12" s="14">
        <v>2.8035604788481099E-2</v>
      </c>
      <c r="Q12" s="14">
        <v>3.2949645841286498E-2</v>
      </c>
      <c r="R12" s="14"/>
      <c r="S12" s="14">
        <v>2.5801889638812098E-2</v>
      </c>
      <c r="T12" s="14">
        <v>4.6680743800747E-2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9.1025014293674406E-2</v>
      </c>
      <c r="AA12" s="14">
        <v>3.1240696387575699E-2</v>
      </c>
      <c r="AB12" s="14"/>
      <c r="AC12" s="14">
        <v>0</v>
      </c>
      <c r="AD12" s="14">
        <v>1.7439254188972599E-2</v>
      </c>
      <c r="AE12" s="14">
        <v>5.7060521606748203E-2</v>
      </c>
      <c r="AF12" s="14">
        <v>0</v>
      </c>
      <c r="AG12" s="14">
        <v>0</v>
      </c>
      <c r="AH12" s="14"/>
      <c r="AI12" s="14">
        <v>2.1876915633617201E-2</v>
      </c>
      <c r="AJ12" s="14">
        <v>4.7169973381543398E-2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1.3646784880095301E-2</v>
      </c>
      <c r="AQ12" s="14">
        <v>2.9384753840808901E-2</v>
      </c>
      <c r="AR12" s="14"/>
      <c r="AS12" s="14" t="s">
        <v>88</v>
      </c>
      <c r="AT12" s="14">
        <v>2.0750374971037901E-2</v>
      </c>
      <c r="AU12" s="14">
        <v>0</v>
      </c>
      <c r="AV12" s="14"/>
      <c r="AW12" s="14">
        <v>2.57808634619567E-2</v>
      </c>
      <c r="AX12" s="14">
        <v>0</v>
      </c>
      <c r="AY12" s="14"/>
      <c r="AZ12" s="14">
        <v>1.6934703160855699E-2</v>
      </c>
      <c r="BA12" s="14">
        <v>3.2853389816148201E-2</v>
      </c>
    </row>
    <row r="13" spans="2:53" x14ac:dyDescent="0.35">
      <c r="B13" s="15" t="s">
        <v>116</v>
      </c>
      <c r="C13" s="23">
        <v>7.7544114141458106E-2</v>
      </c>
      <c r="D13" s="23">
        <v>4.4684446468600703E-2</v>
      </c>
      <c r="E13" s="23">
        <v>9.9176711851829996E-2</v>
      </c>
      <c r="F13" s="23"/>
      <c r="G13" s="23">
        <v>0</v>
      </c>
      <c r="H13" s="23">
        <v>0.112249325940581</v>
      </c>
      <c r="I13" s="23">
        <v>3.2949719668463003E-2</v>
      </c>
      <c r="J13" s="23">
        <v>0.14554128408508299</v>
      </c>
      <c r="K13" s="23">
        <v>9.1593248395106394E-2</v>
      </c>
      <c r="L13" s="23">
        <v>0</v>
      </c>
      <c r="M13" s="23"/>
      <c r="N13" s="23">
        <v>1.5303655999573401E-2</v>
      </c>
      <c r="O13" s="23">
        <v>9.4024805933312403E-2</v>
      </c>
      <c r="P13" s="23">
        <v>7.7380542473218294E-2</v>
      </c>
      <c r="Q13" s="23">
        <v>0.114808463201704</v>
      </c>
      <c r="R13" s="23"/>
      <c r="S13" s="23">
        <v>0</v>
      </c>
      <c r="T13" s="23">
        <v>6.6203992763221406E-2</v>
      </c>
      <c r="U13" s="23">
        <v>3.99516541010385E-2</v>
      </c>
      <c r="V13" s="23">
        <v>0.234329532752202</v>
      </c>
      <c r="W13" s="23">
        <v>0</v>
      </c>
      <c r="X13" s="23">
        <v>0.160569735164725</v>
      </c>
      <c r="Y13" s="23">
        <v>0.11302127211438</v>
      </c>
      <c r="Z13" s="23">
        <v>0.153727874396164</v>
      </c>
      <c r="AA13" s="23">
        <v>5.8707923567533002E-2</v>
      </c>
      <c r="AB13" s="23"/>
      <c r="AC13" s="23">
        <v>9.77655166345167E-2</v>
      </c>
      <c r="AD13" s="23">
        <v>0.116740546250767</v>
      </c>
      <c r="AE13" s="23">
        <v>0.101828935210123</v>
      </c>
      <c r="AF13" s="23">
        <v>2.05630673139073E-2</v>
      </c>
      <c r="AG13" s="23">
        <v>0</v>
      </c>
      <c r="AH13" s="23"/>
      <c r="AI13" s="23">
        <v>2.7643908499831799E-2</v>
      </c>
      <c r="AJ13" s="23">
        <v>4.3964271743657399E-2</v>
      </c>
      <c r="AK13" s="23">
        <v>5.7433198789817799E-2</v>
      </c>
      <c r="AL13" s="23">
        <v>9.7020844067316495E-2</v>
      </c>
      <c r="AM13" s="23">
        <v>0.24218828964445799</v>
      </c>
      <c r="AN13" s="23">
        <v>8.9566072680671793E-2</v>
      </c>
      <c r="AO13" s="23"/>
      <c r="AP13" s="23">
        <v>8.3042339056892497E-2</v>
      </c>
      <c r="AQ13" s="23">
        <v>7.07696303524597E-2</v>
      </c>
      <c r="AR13" s="23"/>
      <c r="AS13" s="23" t="s">
        <v>88</v>
      </c>
      <c r="AT13" s="23">
        <v>7.7742359432159902E-2</v>
      </c>
      <c r="AU13" s="23">
        <v>0</v>
      </c>
      <c r="AV13" s="23"/>
      <c r="AW13" s="23">
        <v>9.6589346290286496E-2</v>
      </c>
      <c r="AX13" s="23">
        <v>0</v>
      </c>
      <c r="AY13" s="23"/>
      <c r="AZ13" s="23">
        <v>5.5951518272805402E-2</v>
      </c>
      <c r="BA13" s="23">
        <v>0.147300946223824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BA19"/>
  <sheetViews>
    <sheetView showGridLines="0" topLeftCell="A3" workbookViewId="0">
      <pane xSplit="2" topLeftCell="C1" activePane="topRight" state="frozen"/>
      <selection pane="topRight" activeCell="B7" sqref="B7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268</v>
      </c>
      <c r="D7" s="10">
        <v>87</v>
      </c>
      <c r="E7" s="10">
        <v>181</v>
      </c>
      <c r="F7" s="10"/>
      <c r="G7" s="10">
        <v>1</v>
      </c>
      <c r="H7" s="10">
        <v>76</v>
      </c>
      <c r="I7" s="10">
        <v>132</v>
      </c>
      <c r="J7" s="10">
        <v>49</v>
      </c>
      <c r="K7" s="10">
        <v>9</v>
      </c>
      <c r="L7" s="10">
        <v>1</v>
      </c>
      <c r="M7" s="10"/>
      <c r="N7" s="10">
        <v>104</v>
      </c>
      <c r="O7" s="10">
        <v>82</v>
      </c>
      <c r="P7" s="10">
        <v>30</v>
      </c>
      <c r="Q7" s="10">
        <v>52</v>
      </c>
      <c r="R7" s="10"/>
      <c r="S7" s="10">
        <v>53</v>
      </c>
      <c r="T7" s="10">
        <v>45</v>
      </c>
      <c r="U7" s="10">
        <v>21</v>
      </c>
      <c r="V7" s="10">
        <v>16</v>
      </c>
      <c r="W7" s="10">
        <v>23</v>
      </c>
      <c r="X7" s="10">
        <v>30</v>
      </c>
      <c r="Y7" s="10">
        <v>31</v>
      </c>
      <c r="Z7" s="10">
        <v>12</v>
      </c>
      <c r="AA7" s="10">
        <v>37</v>
      </c>
      <c r="AB7" s="10"/>
      <c r="AC7" s="10">
        <v>27</v>
      </c>
      <c r="AD7" s="10">
        <v>59</v>
      </c>
      <c r="AE7" s="10">
        <v>84</v>
      </c>
      <c r="AF7" s="10">
        <v>61</v>
      </c>
      <c r="AG7" s="10">
        <v>8</v>
      </c>
      <c r="AH7" s="10"/>
      <c r="AI7" s="10">
        <v>96</v>
      </c>
      <c r="AJ7" s="10">
        <v>52</v>
      </c>
      <c r="AK7" s="10">
        <v>21</v>
      </c>
      <c r="AL7" s="10">
        <v>34</v>
      </c>
      <c r="AM7" s="10">
        <v>14</v>
      </c>
      <c r="AN7" s="10">
        <v>20</v>
      </c>
      <c r="AO7" s="10"/>
      <c r="AP7" s="10">
        <v>142</v>
      </c>
      <c r="AQ7" s="10">
        <v>126</v>
      </c>
      <c r="AR7" s="10"/>
      <c r="AS7" s="10" t="s">
        <v>87</v>
      </c>
      <c r="AT7" s="10">
        <v>268</v>
      </c>
      <c r="AU7" s="10" t="s">
        <v>87</v>
      </c>
      <c r="AV7" s="10"/>
      <c r="AW7" s="10">
        <v>204</v>
      </c>
      <c r="AX7" s="10">
        <v>55</v>
      </c>
      <c r="AY7" s="10"/>
      <c r="AZ7" s="10">
        <v>208</v>
      </c>
      <c r="BA7" s="10">
        <v>60</v>
      </c>
    </row>
    <row r="8" spans="2:53" ht="30" customHeight="1" x14ac:dyDescent="0.35">
      <c r="B8" s="11" t="s">
        <v>19</v>
      </c>
      <c r="C8" s="11">
        <v>259</v>
      </c>
      <c r="D8" s="11">
        <v>103</v>
      </c>
      <c r="E8" s="11">
        <v>156</v>
      </c>
      <c r="F8" s="11"/>
      <c r="G8" s="11">
        <v>2</v>
      </c>
      <c r="H8" s="11">
        <v>73</v>
      </c>
      <c r="I8" s="11">
        <v>125</v>
      </c>
      <c r="J8" s="11">
        <v>45</v>
      </c>
      <c r="K8" s="11">
        <v>13</v>
      </c>
      <c r="L8" s="11">
        <v>1</v>
      </c>
      <c r="M8" s="11"/>
      <c r="N8" s="11">
        <v>65</v>
      </c>
      <c r="O8" s="11">
        <v>85</v>
      </c>
      <c r="P8" s="11">
        <v>38</v>
      </c>
      <c r="Q8" s="11">
        <v>72</v>
      </c>
      <c r="R8" s="11"/>
      <c r="S8" s="11">
        <v>41</v>
      </c>
      <c r="T8" s="11">
        <v>45</v>
      </c>
      <c r="U8" s="11">
        <v>27</v>
      </c>
      <c r="V8" s="11">
        <v>20</v>
      </c>
      <c r="W8" s="11">
        <v>23</v>
      </c>
      <c r="X8" s="11">
        <v>25</v>
      </c>
      <c r="Y8" s="11">
        <v>30</v>
      </c>
      <c r="Z8" s="11">
        <v>12</v>
      </c>
      <c r="AA8" s="11">
        <v>36</v>
      </c>
      <c r="AB8" s="11"/>
      <c r="AC8" s="11">
        <v>35</v>
      </c>
      <c r="AD8" s="11">
        <v>62</v>
      </c>
      <c r="AE8" s="11">
        <v>75</v>
      </c>
      <c r="AF8" s="11">
        <v>52</v>
      </c>
      <c r="AG8" s="11">
        <v>4</v>
      </c>
      <c r="AH8" s="11"/>
      <c r="AI8" s="11">
        <v>98</v>
      </c>
      <c r="AJ8" s="11">
        <v>43</v>
      </c>
      <c r="AK8" s="11">
        <v>18</v>
      </c>
      <c r="AL8" s="11">
        <v>34</v>
      </c>
      <c r="AM8" s="11">
        <v>14</v>
      </c>
      <c r="AN8" s="11">
        <v>19</v>
      </c>
      <c r="AO8" s="11"/>
      <c r="AP8" s="11">
        <v>143</v>
      </c>
      <c r="AQ8" s="11">
        <v>116</v>
      </c>
      <c r="AR8" s="11"/>
      <c r="AS8" s="11" t="s">
        <v>87</v>
      </c>
      <c r="AT8" s="11">
        <v>259</v>
      </c>
      <c r="AU8" s="11" t="s">
        <v>87</v>
      </c>
      <c r="AV8" s="11"/>
      <c r="AW8" s="11">
        <v>209</v>
      </c>
      <c r="AX8" s="11">
        <v>41</v>
      </c>
      <c r="AY8" s="11"/>
      <c r="AZ8" s="11">
        <v>198</v>
      </c>
      <c r="BA8" s="11">
        <v>61</v>
      </c>
    </row>
    <row r="9" spans="2:53" x14ac:dyDescent="0.35">
      <c r="B9" s="15" t="s">
        <v>220</v>
      </c>
      <c r="C9" s="14">
        <v>0.202154183665059</v>
      </c>
      <c r="D9" s="14">
        <v>0.2165786728687</v>
      </c>
      <c r="E9" s="14">
        <v>0.19261774131797099</v>
      </c>
      <c r="F9" s="14"/>
      <c r="G9" s="14">
        <v>0</v>
      </c>
      <c r="H9" s="14">
        <v>0.187211817617388</v>
      </c>
      <c r="I9" s="14">
        <v>0.23618671499421001</v>
      </c>
      <c r="J9" s="14">
        <v>0.13563355986742701</v>
      </c>
      <c r="K9" s="14">
        <v>0.23881959997612401</v>
      </c>
      <c r="L9" s="14">
        <v>0</v>
      </c>
      <c r="M9" s="14"/>
      <c r="N9" s="14">
        <v>0.284582021489373</v>
      </c>
      <c r="O9" s="14">
        <v>0.175593470212388</v>
      </c>
      <c r="P9" s="14">
        <v>8.7397767057634301E-2</v>
      </c>
      <c r="Q9" s="14">
        <v>0.22061470971872499</v>
      </c>
      <c r="R9" s="14"/>
      <c r="S9" s="14">
        <v>0.192855174348458</v>
      </c>
      <c r="T9" s="14">
        <v>0.176929348165</v>
      </c>
      <c r="U9" s="14">
        <v>0.24314920934311299</v>
      </c>
      <c r="V9" s="14">
        <v>0.22740942286285501</v>
      </c>
      <c r="W9" s="14">
        <v>0.18068358876350499</v>
      </c>
      <c r="X9" s="14">
        <v>0.16067929832032599</v>
      </c>
      <c r="Y9" s="14">
        <v>0.19061402872050201</v>
      </c>
      <c r="Z9" s="14">
        <v>0.28922768565072798</v>
      </c>
      <c r="AA9" s="14">
        <v>0.22326270075969901</v>
      </c>
      <c r="AB9" s="14"/>
      <c r="AC9" s="14">
        <v>0.233282721600127</v>
      </c>
      <c r="AD9" s="14">
        <v>0.14783051435983199</v>
      </c>
      <c r="AE9" s="14">
        <v>0.17539860177812699</v>
      </c>
      <c r="AF9" s="14">
        <v>0.30648136233719903</v>
      </c>
      <c r="AG9" s="14">
        <v>0.17439824328094999</v>
      </c>
      <c r="AH9" s="14"/>
      <c r="AI9" s="14">
        <v>0.20441898602139599</v>
      </c>
      <c r="AJ9" s="14">
        <v>0.14954878608990499</v>
      </c>
      <c r="AK9" s="14">
        <v>0.34477019260985398</v>
      </c>
      <c r="AL9" s="14">
        <v>0.212406357764895</v>
      </c>
      <c r="AM9" s="14">
        <v>0.29387618750914801</v>
      </c>
      <c r="AN9" s="14">
        <v>0.20310777383165499</v>
      </c>
      <c r="AO9" s="14"/>
      <c r="AP9" s="14">
        <v>0.17413227788469601</v>
      </c>
      <c r="AQ9" s="14">
        <v>0.236878238296822</v>
      </c>
      <c r="AR9" s="14"/>
      <c r="AS9" s="14" t="s">
        <v>88</v>
      </c>
      <c r="AT9" s="14">
        <v>0.202154183665059</v>
      </c>
      <c r="AU9" s="14" t="s">
        <v>88</v>
      </c>
      <c r="AV9" s="14"/>
      <c r="AW9" s="14">
        <v>0.16618840896386999</v>
      </c>
      <c r="AX9" s="14">
        <v>0.33410296272185902</v>
      </c>
      <c r="AY9" s="14"/>
      <c r="AZ9" s="14">
        <v>0.21806956816989201</v>
      </c>
      <c r="BA9" s="14">
        <v>0.15090979311595801</v>
      </c>
    </row>
    <row r="10" spans="2:53" x14ac:dyDescent="0.35">
      <c r="B10" s="15" t="s">
        <v>221</v>
      </c>
      <c r="C10" s="14">
        <v>0.54840829315970097</v>
      </c>
      <c r="D10" s="14">
        <v>0.53470937935387497</v>
      </c>
      <c r="E10" s="14">
        <v>0.55746503686012905</v>
      </c>
      <c r="F10" s="14"/>
      <c r="G10" s="14">
        <v>0</v>
      </c>
      <c r="H10" s="14">
        <v>0.501312064901275</v>
      </c>
      <c r="I10" s="14">
        <v>0.50828137211885704</v>
      </c>
      <c r="J10" s="14">
        <v>0.75096075186826206</v>
      </c>
      <c r="K10" s="14">
        <v>0.539911817272683</v>
      </c>
      <c r="L10" s="14">
        <v>1</v>
      </c>
      <c r="M10" s="14"/>
      <c r="N10" s="14">
        <v>0.57936855226529105</v>
      </c>
      <c r="O10" s="14">
        <v>0.56271322745368502</v>
      </c>
      <c r="P10" s="14">
        <v>0.58550270256499004</v>
      </c>
      <c r="Q10" s="14">
        <v>0.48383538338145099</v>
      </c>
      <c r="R10" s="14"/>
      <c r="S10" s="14">
        <v>0.65012884546124206</v>
      </c>
      <c r="T10" s="14">
        <v>0.498469464242081</v>
      </c>
      <c r="U10" s="14">
        <v>0.60377416331606104</v>
      </c>
      <c r="V10" s="14">
        <v>0.46055478019734503</v>
      </c>
      <c r="W10" s="14">
        <v>0.70206283455861695</v>
      </c>
      <c r="X10" s="14">
        <v>0.50897705316988395</v>
      </c>
      <c r="Y10" s="14">
        <v>0.46232793604328798</v>
      </c>
      <c r="Z10" s="14">
        <v>0.61974730005559797</v>
      </c>
      <c r="AA10" s="14">
        <v>0.48294115247036401</v>
      </c>
      <c r="AB10" s="14"/>
      <c r="AC10" s="14">
        <v>0.58890826303754096</v>
      </c>
      <c r="AD10" s="14">
        <v>0.56520786806926304</v>
      </c>
      <c r="AE10" s="14">
        <v>0.51491347336159898</v>
      </c>
      <c r="AF10" s="14">
        <v>0.49606324408378599</v>
      </c>
      <c r="AG10" s="14">
        <v>0.51404425794949904</v>
      </c>
      <c r="AH10" s="14"/>
      <c r="AI10" s="14">
        <v>0.54300739227492301</v>
      </c>
      <c r="AJ10" s="14">
        <v>0.62497426947293799</v>
      </c>
      <c r="AK10" s="14">
        <v>0.416017701589454</v>
      </c>
      <c r="AL10" s="14">
        <v>0.64336070615052099</v>
      </c>
      <c r="AM10" s="14">
        <v>0.39636587669680701</v>
      </c>
      <c r="AN10" s="14">
        <v>0.45220558781245002</v>
      </c>
      <c r="AO10" s="14"/>
      <c r="AP10" s="14">
        <v>0.52874362212301396</v>
      </c>
      <c r="AQ10" s="14">
        <v>0.57277626858384401</v>
      </c>
      <c r="AR10" s="14"/>
      <c r="AS10" s="14" t="s">
        <v>88</v>
      </c>
      <c r="AT10" s="14">
        <v>0.54840829315970097</v>
      </c>
      <c r="AU10" s="14" t="s">
        <v>88</v>
      </c>
      <c r="AV10" s="14"/>
      <c r="AW10" s="14">
        <v>0.56243612107741203</v>
      </c>
      <c r="AX10" s="14">
        <v>0.50155721738603198</v>
      </c>
      <c r="AY10" s="14"/>
      <c r="AZ10" s="14">
        <v>0.54832132450292803</v>
      </c>
      <c r="BA10" s="14">
        <v>0.54868831503487603</v>
      </c>
    </row>
    <row r="11" spans="2:53" x14ac:dyDescent="0.35">
      <c r="B11" s="15" t="s">
        <v>222</v>
      </c>
      <c r="C11" s="14">
        <v>0.15837208049347901</v>
      </c>
      <c r="D11" s="14">
        <v>0.20675394059730301</v>
      </c>
      <c r="E11" s="14">
        <v>0.12638544907719801</v>
      </c>
      <c r="F11" s="14"/>
      <c r="G11" s="14">
        <v>0</v>
      </c>
      <c r="H11" s="14">
        <v>0.233010938808836</v>
      </c>
      <c r="I11" s="14">
        <v>0.14793682483818299</v>
      </c>
      <c r="J11" s="14">
        <v>5.9390732458354203E-2</v>
      </c>
      <c r="K11" s="14">
        <v>0.22126858275119299</v>
      </c>
      <c r="L11" s="14">
        <v>0</v>
      </c>
      <c r="M11" s="14"/>
      <c r="N11" s="14">
        <v>6.0909132739823402E-2</v>
      </c>
      <c r="O11" s="14">
        <v>0.19108641151877101</v>
      </c>
      <c r="P11" s="14">
        <v>0.23584975249496101</v>
      </c>
      <c r="Q11" s="14">
        <v>0.16612155295225001</v>
      </c>
      <c r="R11" s="14"/>
      <c r="S11" s="14">
        <v>0.133343568580852</v>
      </c>
      <c r="T11" s="14">
        <v>0.164119232854785</v>
      </c>
      <c r="U11" s="14">
        <v>5.6562492957059902E-2</v>
      </c>
      <c r="V11" s="14">
        <v>0.24595092418753101</v>
      </c>
      <c r="W11" s="14">
        <v>0.108291087359833</v>
      </c>
      <c r="X11" s="14">
        <v>0.16058581706098901</v>
      </c>
      <c r="Y11" s="14">
        <v>0.30444704842848402</v>
      </c>
      <c r="Z11" s="14">
        <v>9.1025014293674406E-2</v>
      </c>
      <c r="AA11" s="14">
        <v>0.137128866693322</v>
      </c>
      <c r="AB11" s="14"/>
      <c r="AC11" s="14">
        <v>0.16307715150703</v>
      </c>
      <c r="AD11" s="14">
        <v>0.18866457510721399</v>
      </c>
      <c r="AE11" s="14">
        <v>0.18199458984363601</v>
      </c>
      <c r="AF11" s="14">
        <v>9.2286117900408596E-2</v>
      </c>
      <c r="AG11" s="14">
        <v>0.25994798693280702</v>
      </c>
      <c r="AH11" s="14"/>
      <c r="AI11" s="14">
        <v>0.18730273998313501</v>
      </c>
      <c r="AJ11" s="14">
        <v>0.107216180837566</v>
      </c>
      <c r="AK11" s="14">
        <v>8.5706309148192203E-2</v>
      </c>
      <c r="AL11" s="14">
        <v>7.9962213093295403E-2</v>
      </c>
      <c r="AM11" s="14">
        <v>0.23929208230306601</v>
      </c>
      <c r="AN11" s="14">
        <v>0.236881015597766</v>
      </c>
      <c r="AO11" s="14"/>
      <c r="AP11" s="14">
        <v>0.20730270190505901</v>
      </c>
      <c r="AQ11" s="14">
        <v>9.7738461053772901E-2</v>
      </c>
      <c r="AR11" s="14"/>
      <c r="AS11" s="14" t="s">
        <v>88</v>
      </c>
      <c r="AT11" s="14">
        <v>0.15837208049347901</v>
      </c>
      <c r="AU11" s="14" t="s">
        <v>88</v>
      </c>
      <c r="AV11" s="14"/>
      <c r="AW11" s="14">
        <v>0.16636110246678401</v>
      </c>
      <c r="AX11" s="14">
        <v>0.128337403658869</v>
      </c>
      <c r="AY11" s="14"/>
      <c r="AZ11" s="14">
        <v>0.14689077741923801</v>
      </c>
      <c r="BA11" s="14">
        <v>0.19533960575624101</v>
      </c>
    </row>
    <row r="12" spans="2:53" x14ac:dyDescent="0.35">
      <c r="B12" s="15" t="s">
        <v>223</v>
      </c>
      <c r="C12" s="14">
        <v>2.9614011280990601E-2</v>
      </c>
      <c r="D12" s="14">
        <v>1.9465469971737401E-2</v>
      </c>
      <c r="E12" s="14">
        <v>3.63235021847172E-2</v>
      </c>
      <c r="F12" s="14"/>
      <c r="G12" s="14">
        <v>1</v>
      </c>
      <c r="H12" s="14">
        <v>2.7815700301574101E-3</v>
      </c>
      <c r="I12" s="14">
        <v>3.81497836539706E-2</v>
      </c>
      <c r="J12" s="14">
        <v>1.55194728506161E-2</v>
      </c>
      <c r="K12" s="14">
        <v>0</v>
      </c>
      <c r="L12" s="14">
        <v>0</v>
      </c>
      <c r="M12" s="14"/>
      <c r="N12" s="14">
        <v>3.1413463173016001E-3</v>
      </c>
      <c r="O12" s="14">
        <v>1.86963530332411E-2</v>
      </c>
      <c r="P12" s="14">
        <v>3.9662749458250698E-2</v>
      </c>
      <c r="Q12" s="14">
        <v>6.0948889091182699E-2</v>
      </c>
      <c r="R12" s="14"/>
      <c r="S12" s="14">
        <v>0</v>
      </c>
      <c r="T12" s="14">
        <v>9.1101013064338404E-2</v>
      </c>
      <c r="U12" s="14">
        <v>5.6562480282726799E-2</v>
      </c>
      <c r="V12" s="14">
        <v>0</v>
      </c>
      <c r="W12" s="14">
        <v>8.9624893180450006E-3</v>
      </c>
      <c r="X12" s="14">
        <v>2.7679280481234601E-2</v>
      </c>
      <c r="Y12" s="14">
        <v>0</v>
      </c>
      <c r="Z12" s="14">
        <v>0</v>
      </c>
      <c r="AA12" s="14">
        <v>3.1240696387575699E-2</v>
      </c>
      <c r="AB12" s="14"/>
      <c r="AC12" s="14">
        <v>0</v>
      </c>
      <c r="AD12" s="14">
        <v>2.46717976963408E-2</v>
      </c>
      <c r="AE12" s="14">
        <v>4.0594720355826203E-2</v>
      </c>
      <c r="AF12" s="14">
        <v>3.89353529764443E-2</v>
      </c>
      <c r="AG12" s="14">
        <v>5.1609511836743997E-2</v>
      </c>
      <c r="AH12" s="14"/>
      <c r="AI12" s="14">
        <v>2.05977728585021E-2</v>
      </c>
      <c r="AJ12" s="14">
        <v>6.20874604275106E-2</v>
      </c>
      <c r="AK12" s="14">
        <v>0</v>
      </c>
      <c r="AL12" s="14">
        <v>0</v>
      </c>
      <c r="AM12" s="14">
        <v>0</v>
      </c>
      <c r="AN12" s="14">
        <v>5.6408314322133397E-2</v>
      </c>
      <c r="AO12" s="14"/>
      <c r="AP12" s="14">
        <v>2.01520051555578E-2</v>
      </c>
      <c r="AQ12" s="14">
        <v>4.13390959415725E-2</v>
      </c>
      <c r="AR12" s="14"/>
      <c r="AS12" s="14" t="s">
        <v>88</v>
      </c>
      <c r="AT12" s="14">
        <v>2.9614011280990601E-2</v>
      </c>
      <c r="AU12" s="14" t="s">
        <v>88</v>
      </c>
      <c r="AV12" s="14"/>
      <c r="AW12" s="14">
        <v>3.5821051882214301E-2</v>
      </c>
      <c r="AX12" s="14">
        <v>0</v>
      </c>
      <c r="AY12" s="14"/>
      <c r="AZ12" s="14">
        <v>2.8607931310260199E-2</v>
      </c>
      <c r="BA12" s="14">
        <v>3.2853389816148201E-2</v>
      </c>
    </row>
    <row r="13" spans="2:53" x14ac:dyDescent="0.35">
      <c r="B13" s="15" t="s">
        <v>116</v>
      </c>
      <c r="C13" s="18">
        <v>3.2147863262011203E-2</v>
      </c>
      <c r="D13" s="18">
        <v>0</v>
      </c>
      <c r="E13" s="18">
        <v>5.3401735080421502E-2</v>
      </c>
      <c r="F13" s="18"/>
      <c r="G13" s="18">
        <v>0</v>
      </c>
      <c r="H13" s="18">
        <v>3.96406068957754E-2</v>
      </c>
      <c r="I13" s="18">
        <v>3.7679004472954698E-2</v>
      </c>
      <c r="J13" s="18">
        <v>1.63169332433277E-2</v>
      </c>
      <c r="K13" s="18">
        <v>0</v>
      </c>
      <c r="L13" s="18">
        <v>0</v>
      </c>
      <c r="M13" s="18"/>
      <c r="N13" s="18">
        <v>8.5050173213535099E-3</v>
      </c>
      <c r="O13" s="18">
        <v>5.1910537781914803E-2</v>
      </c>
      <c r="P13" s="18">
        <v>2.5793514049054399E-2</v>
      </c>
      <c r="Q13" s="18">
        <v>3.3527306044914197E-2</v>
      </c>
      <c r="R13" s="18"/>
      <c r="S13" s="18">
        <v>0</v>
      </c>
      <c r="T13" s="18">
        <v>3.9046498134879398E-2</v>
      </c>
      <c r="U13" s="18">
        <v>3.99516541010385E-2</v>
      </c>
      <c r="V13" s="18">
        <v>6.6084872752268695E-2</v>
      </c>
      <c r="W13" s="18">
        <v>0</v>
      </c>
      <c r="X13" s="18">
        <v>8.2194538560603894E-2</v>
      </c>
      <c r="Y13" s="18">
        <v>4.2610986807725203E-2</v>
      </c>
      <c r="Z13" s="18">
        <v>0</v>
      </c>
      <c r="AA13" s="18">
        <v>2.24586217632009E-2</v>
      </c>
      <c r="AB13" s="18"/>
      <c r="AC13" s="18">
        <v>0</v>
      </c>
      <c r="AD13" s="18">
        <v>3.9009576324527402E-2</v>
      </c>
      <c r="AE13" s="18">
        <v>5.2657051460658397E-2</v>
      </c>
      <c r="AF13" s="18">
        <v>2.08272707558422E-2</v>
      </c>
      <c r="AG13" s="18">
        <v>0</v>
      </c>
      <c r="AH13" s="18"/>
      <c r="AI13" s="18">
        <v>2.1539092977071999E-2</v>
      </c>
      <c r="AJ13" s="18">
        <v>2.0629848330028299E-2</v>
      </c>
      <c r="AK13" s="18">
        <v>5.9542850883582098E-2</v>
      </c>
      <c r="AL13" s="18">
        <v>6.4270722991288706E-2</v>
      </c>
      <c r="AM13" s="18">
        <v>0</v>
      </c>
      <c r="AN13" s="18">
        <v>5.1397308435995603E-2</v>
      </c>
      <c r="AO13" s="18"/>
      <c r="AP13" s="18">
        <v>3.1762810633605601E-2</v>
      </c>
      <c r="AQ13" s="18">
        <v>3.2625010983856499E-2</v>
      </c>
      <c r="AR13" s="18"/>
      <c r="AS13" s="18" t="s">
        <v>88</v>
      </c>
      <c r="AT13" s="18">
        <v>3.2147863262011203E-2</v>
      </c>
      <c r="AU13" s="18" t="s">
        <v>88</v>
      </c>
      <c r="AV13" s="18"/>
      <c r="AW13" s="18">
        <v>3.9941431155261102E-2</v>
      </c>
      <c r="AX13" s="18">
        <v>0</v>
      </c>
      <c r="AY13" s="18"/>
      <c r="AZ13" s="18">
        <v>2.2791749667955701E-2</v>
      </c>
      <c r="BA13" s="18">
        <v>6.2272698693410997E-2</v>
      </c>
    </row>
    <row r="14" spans="2:53" x14ac:dyDescent="0.35">
      <c r="B14" s="26" t="s">
        <v>224</v>
      </c>
      <c r="C14" s="27">
        <v>0.75056247682475996</v>
      </c>
      <c r="D14" s="27">
        <v>0.751288052222575</v>
      </c>
      <c r="E14" s="27">
        <v>0.75008277817810098</v>
      </c>
      <c r="F14" s="27"/>
      <c r="G14" s="27">
        <v>0</v>
      </c>
      <c r="H14" s="27">
        <v>0.68852388251866403</v>
      </c>
      <c r="I14" s="27">
        <v>0.744468087113067</v>
      </c>
      <c r="J14" s="27">
        <v>0.88659431173568903</v>
      </c>
      <c r="K14" s="27">
        <v>0.77873141724880701</v>
      </c>
      <c r="L14" s="27">
        <v>1</v>
      </c>
      <c r="M14" s="27"/>
      <c r="N14" s="27">
        <v>0.863950573754665</v>
      </c>
      <c r="O14" s="27">
        <v>0.73830669766607304</v>
      </c>
      <c r="P14" s="27">
        <v>0.67290046962262395</v>
      </c>
      <c r="Q14" s="27">
        <v>0.70445009310017603</v>
      </c>
      <c r="R14" s="27"/>
      <c r="S14" s="27">
        <v>0.84298401980969995</v>
      </c>
      <c r="T14" s="27">
        <v>0.675398812407081</v>
      </c>
      <c r="U14" s="27">
        <v>0.84692337265917506</v>
      </c>
      <c r="V14" s="27">
        <v>0.68796420306020001</v>
      </c>
      <c r="W14" s="27">
        <v>0.88274642332212205</v>
      </c>
      <c r="X14" s="27">
        <v>0.66965635149020997</v>
      </c>
      <c r="Y14" s="27">
        <v>0.65294196476379096</v>
      </c>
      <c r="Z14" s="27">
        <v>0.90897498570632596</v>
      </c>
      <c r="AA14" s="27">
        <v>0.70620385323006296</v>
      </c>
      <c r="AB14" s="27"/>
      <c r="AC14" s="27">
        <v>0.82219098463766804</v>
      </c>
      <c r="AD14" s="27">
        <v>0.71303838242909401</v>
      </c>
      <c r="AE14" s="27">
        <v>0.69031207513972603</v>
      </c>
      <c r="AF14" s="27">
        <v>0.80254460642098502</v>
      </c>
      <c r="AG14" s="27">
        <v>0.68844250123044903</v>
      </c>
      <c r="AH14" s="27"/>
      <c r="AI14" s="27">
        <v>0.74742637829631797</v>
      </c>
      <c r="AJ14" s="27">
        <v>0.77452305556284395</v>
      </c>
      <c r="AK14" s="27">
        <v>0.76078789419930803</v>
      </c>
      <c r="AL14" s="27">
        <v>0.85576706391541602</v>
      </c>
      <c r="AM14" s="27">
        <v>0.69024206420595402</v>
      </c>
      <c r="AN14" s="27">
        <v>0.65531336164410503</v>
      </c>
      <c r="AO14" s="27"/>
      <c r="AP14" s="27">
        <v>0.70287590000771005</v>
      </c>
      <c r="AQ14" s="27">
        <v>0.80965450688066598</v>
      </c>
      <c r="AR14" s="27"/>
      <c r="AS14" s="27" t="s">
        <v>88</v>
      </c>
      <c r="AT14" s="27">
        <v>0.75056247682475996</v>
      </c>
      <c r="AU14" s="27" t="s">
        <v>88</v>
      </c>
      <c r="AV14" s="27"/>
      <c r="AW14" s="27">
        <v>0.72862453004128203</v>
      </c>
      <c r="AX14" s="27">
        <v>0.83566018010789</v>
      </c>
      <c r="AY14" s="27"/>
      <c r="AZ14" s="27">
        <v>0.76639089267282001</v>
      </c>
      <c r="BA14" s="27">
        <v>0.69959810815083401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BA18"/>
  <sheetViews>
    <sheetView showGridLines="0" topLeftCell="A3" workbookViewId="0">
      <pane xSplit="2" topLeftCell="C1" activePane="topRight" state="frozen"/>
      <selection pane="topRight" activeCell="F9" sqref="F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268</v>
      </c>
      <c r="D7" s="10">
        <v>87</v>
      </c>
      <c r="E7" s="10">
        <v>181</v>
      </c>
      <c r="F7" s="10"/>
      <c r="G7" s="10">
        <v>1</v>
      </c>
      <c r="H7" s="10">
        <v>76</v>
      </c>
      <c r="I7" s="10">
        <v>132</v>
      </c>
      <c r="J7" s="10">
        <v>49</v>
      </c>
      <c r="K7" s="10">
        <v>9</v>
      </c>
      <c r="L7" s="10">
        <v>1</v>
      </c>
      <c r="M7" s="10"/>
      <c r="N7" s="10">
        <v>104</v>
      </c>
      <c r="O7" s="10">
        <v>82</v>
      </c>
      <c r="P7" s="10">
        <v>30</v>
      </c>
      <c r="Q7" s="10">
        <v>52</v>
      </c>
      <c r="R7" s="10"/>
      <c r="S7" s="10">
        <v>53</v>
      </c>
      <c r="T7" s="10">
        <v>45</v>
      </c>
      <c r="U7" s="10">
        <v>21</v>
      </c>
      <c r="V7" s="10">
        <v>16</v>
      </c>
      <c r="W7" s="10">
        <v>23</v>
      </c>
      <c r="X7" s="10">
        <v>30</v>
      </c>
      <c r="Y7" s="10">
        <v>31</v>
      </c>
      <c r="Z7" s="10">
        <v>12</v>
      </c>
      <c r="AA7" s="10">
        <v>37</v>
      </c>
      <c r="AB7" s="10"/>
      <c r="AC7" s="10">
        <v>27</v>
      </c>
      <c r="AD7" s="10">
        <v>59</v>
      </c>
      <c r="AE7" s="10">
        <v>84</v>
      </c>
      <c r="AF7" s="10">
        <v>61</v>
      </c>
      <c r="AG7" s="10">
        <v>8</v>
      </c>
      <c r="AH7" s="10"/>
      <c r="AI7" s="10">
        <v>96</v>
      </c>
      <c r="AJ7" s="10">
        <v>52</v>
      </c>
      <c r="AK7" s="10">
        <v>21</v>
      </c>
      <c r="AL7" s="10">
        <v>34</v>
      </c>
      <c r="AM7" s="10">
        <v>14</v>
      </c>
      <c r="AN7" s="10">
        <v>20</v>
      </c>
      <c r="AO7" s="10"/>
      <c r="AP7" s="10">
        <v>142</v>
      </c>
      <c r="AQ7" s="10">
        <v>126</v>
      </c>
      <c r="AR7" s="10"/>
      <c r="AS7" s="10" t="s">
        <v>87</v>
      </c>
      <c r="AT7" s="10">
        <v>268</v>
      </c>
      <c r="AU7" s="10" t="s">
        <v>87</v>
      </c>
      <c r="AV7" s="10"/>
      <c r="AW7" s="10">
        <v>204</v>
      </c>
      <c r="AX7" s="10">
        <v>55</v>
      </c>
      <c r="AY7" s="10"/>
      <c r="AZ7" s="10">
        <v>208</v>
      </c>
      <c r="BA7" s="10">
        <v>60</v>
      </c>
    </row>
    <row r="8" spans="2:53" ht="30" customHeight="1" x14ac:dyDescent="0.35">
      <c r="B8" s="11" t="s">
        <v>19</v>
      </c>
      <c r="C8" s="11">
        <v>259</v>
      </c>
      <c r="D8" s="11">
        <v>103</v>
      </c>
      <c r="E8" s="11">
        <v>156</v>
      </c>
      <c r="F8" s="11"/>
      <c r="G8" s="11">
        <v>2</v>
      </c>
      <c r="H8" s="11">
        <v>73</v>
      </c>
      <c r="I8" s="11">
        <v>125</v>
      </c>
      <c r="J8" s="11">
        <v>45</v>
      </c>
      <c r="K8" s="11">
        <v>13</v>
      </c>
      <c r="L8" s="11">
        <v>1</v>
      </c>
      <c r="M8" s="11"/>
      <c r="N8" s="11">
        <v>65</v>
      </c>
      <c r="O8" s="11">
        <v>85</v>
      </c>
      <c r="P8" s="11">
        <v>38</v>
      </c>
      <c r="Q8" s="11">
        <v>72</v>
      </c>
      <c r="R8" s="11"/>
      <c r="S8" s="11">
        <v>41</v>
      </c>
      <c r="T8" s="11">
        <v>45</v>
      </c>
      <c r="U8" s="11">
        <v>27</v>
      </c>
      <c r="V8" s="11">
        <v>20</v>
      </c>
      <c r="W8" s="11">
        <v>23</v>
      </c>
      <c r="X8" s="11">
        <v>25</v>
      </c>
      <c r="Y8" s="11">
        <v>30</v>
      </c>
      <c r="Z8" s="11">
        <v>12</v>
      </c>
      <c r="AA8" s="11">
        <v>36</v>
      </c>
      <c r="AB8" s="11"/>
      <c r="AC8" s="11">
        <v>35</v>
      </c>
      <c r="AD8" s="11">
        <v>62</v>
      </c>
      <c r="AE8" s="11">
        <v>75</v>
      </c>
      <c r="AF8" s="11">
        <v>52</v>
      </c>
      <c r="AG8" s="11">
        <v>4</v>
      </c>
      <c r="AH8" s="11"/>
      <c r="AI8" s="11">
        <v>98</v>
      </c>
      <c r="AJ8" s="11">
        <v>43</v>
      </c>
      <c r="AK8" s="11">
        <v>18</v>
      </c>
      <c r="AL8" s="11">
        <v>34</v>
      </c>
      <c r="AM8" s="11">
        <v>14</v>
      </c>
      <c r="AN8" s="11">
        <v>19</v>
      </c>
      <c r="AO8" s="11"/>
      <c r="AP8" s="11">
        <v>143</v>
      </c>
      <c r="AQ8" s="11">
        <v>116</v>
      </c>
      <c r="AR8" s="11"/>
      <c r="AS8" s="11" t="s">
        <v>87</v>
      </c>
      <c r="AT8" s="11">
        <v>259</v>
      </c>
      <c r="AU8" s="11" t="s">
        <v>87</v>
      </c>
      <c r="AV8" s="11"/>
      <c r="AW8" s="11">
        <v>209</v>
      </c>
      <c r="AX8" s="11">
        <v>41</v>
      </c>
      <c r="AY8" s="11"/>
      <c r="AZ8" s="11">
        <v>198</v>
      </c>
      <c r="BA8" s="11">
        <v>61</v>
      </c>
    </row>
    <row r="9" spans="2:53" x14ac:dyDescent="0.35">
      <c r="B9" s="15" t="s">
        <v>226</v>
      </c>
      <c r="C9" s="14">
        <v>0.18582410187850501</v>
      </c>
      <c r="D9" s="14">
        <v>0.229573491096493</v>
      </c>
      <c r="E9" s="14">
        <v>0.156900129451646</v>
      </c>
      <c r="F9" s="14"/>
      <c r="G9" s="14">
        <v>1</v>
      </c>
      <c r="H9" s="14">
        <v>0.14306928167140401</v>
      </c>
      <c r="I9" s="14">
        <v>0.195232691267505</v>
      </c>
      <c r="J9" s="14">
        <v>0.126258697995312</v>
      </c>
      <c r="K9" s="14">
        <v>0.33898431259922501</v>
      </c>
      <c r="L9" s="14">
        <v>1</v>
      </c>
      <c r="M9" s="14"/>
      <c r="N9" s="14">
        <v>0.233917744641887</v>
      </c>
      <c r="O9" s="14">
        <v>0.19832485380416301</v>
      </c>
      <c r="P9" s="14">
        <v>8.3051846746192801E-2</v>
      </c>
      <c r="Q9" s="14">
        <v>0.182728934033798</v>
      </c>
      <c r="R9" s="14"/>
      <c r="S9" s="14">
        <v>0.218695051198392</v>
      </c>
      <c r="T9" s="14">
        <v>0.18654686325918701</v>
      </c>
      <c r="U9" s="14">
        <v>0.147623481096056</v>
      </c>
      <c r="V9" s="14">
        <v>6.52925333365489E-2</v>
      </c>
      <c r="W9" s="14">
        <v>0.132791002476773</v>
      </c>
      <c r="X9" s="14">
        <v>0.18216335210586901</v>
      </c>
      <c r="Y9" s="14">
        <v>0.19403246933065699</v>
      </c>
      <c r="Z9" s="14">
        <v>0.28922768565072798</v>
      </c>
      <c r="AA9" s="14">
        <v>0.23746819531265401</v>
      </c>
      <c r="AB9" s="14"/>
      <c r="AC9" s="14">
        <v>0.209418696072243</v>
      </c>
      <c r="AD9" s="14">
        <v>8.5110818515417005E-2</v>
      </c>
      <c r="AE9" s="14">
        <v>0.213599280917524</v>
      </c>
      <c r="AF9" s="14">
        <v>0.25178908059653199</v>
      </c>
      <c r="AG9" s="14">
        <v>0.17439824328094999</v>
      </c>
      <c r="AH9" s="14"/>
      <c r="AI9" s="14">
        <v>0.27649686772133503</v>
      </c>
      <c r="AJ9" s="14">
        <v>0.12559967887606299</v>
      </c>
      <c r="AK9" s="14">
        <v>0.23143148292479301</v>
      </c>
      <c r="AL9" s="14">
        <v>0.11954097360624499</v>
      </c>
      <c r="AM9" s="14">
        <v>0.16206913079301499</v>
      </c>
      <c r="AN9" s="14">
        <v>0.105543382793402</v>
      </c>
      <c r="AO9" s="14"/>
      <c r="AP9" s="14">
        <v>0.18320988195808299</v>
      </c>
      <c r="AQ9" s="14">
        <v>0.18906357873806201</v>
      </c>
      <c r="AR9" s="14"/>
      <c r="AS9" s="14" t="s">
        <v>88</v>
      </c>
      <c r="AT9" s="14">
        <v>0.18582410187850501</v>
      </c>
      <c r="AU9" s="14" t="s">
        <v>88</v>
      </c>
      <c r="AV9" s="14"/>
      <c r="AW9" s="14">
        <v>0.15742905400687601</v>
      </c>
      <c r="AX9" s="14">
        <v>0.29546408812165398</v>
      </c>
      <c r="AY9" s="14"/>
      <c r="AZ9" s="14">
        <v>0.20638647418071099</v>
      </c>
      <c r="BA9" s="14">
        <v>0.119617329648134</v>
      </c>
    </row>
    <row r="10" spans="2:53" x14ac:dyDescent="0.35">
      <c r="B10" s="15" t="s">
        <v>227</v>
      </c>
      <c r="C10" s="14">
        <v>0.50696306632895405</v>
      </c>
      <c r="D10" s="14">
        <v>0.61020975045312498</v>
      </c>
      <c r="E10" s="14">
        <v>0.43870373064103202</v>
      </c>
      <c r="F10" s="14"/>
      <c r="G10" s="14">
        <v>0</v>
      </c>
      <c r="H10" s="14">
        <v>0.55514918769496502</v>
      </c>
      <c r="I10" s="14">
        <v>0.51729671238749897</v>
      </c>
      <c r="J10" s="14">
        <v>0.42552406235228202</v>
      </c>
      <c r="K10" s="14">
        <v>0.54423122392619905</v>
      </c>
      <c r="L10" s="14">
        <v>0</v>
      </c>
      <c r="M10" s="14"/>
      <c r="N10" s="14">
        <v>0.47829001753807399</v>
      </c>
      <c r="O10" s="14">
        <v>0.47995566822007901</v>
      </c>
      <c r="P10" s="14">
        <v>0.55962663883243002</v>
      </c>
      <c r="Q10" s="14">
        <v>0.53646865507388097</v>
      </c>
      <c r="R10" s="14"/>
      <c r="S10" s="14">
        <v>0.50963177669347004</v>
      </c>
      <c r="T10" s="14">
        <v>0.49131521674230599</v>
      </c>
      <c r="U10" s="14">
        <v>0.59463036191695995</v>
      </c>
      <c r="V10" s="14">
        <v>0.77360706282181502</v>
      </c>
      <c r="W10" s="14">
        <v>0.54170547517713696</v>
      </c>
      <c r="X10" s="14">
        <v>0.50118494747338904</v>
      </c>
      <c r="Y10" s="14">
        <v>0.38687734537504698</v>
      </c>
      <c r="Z10" s="14">
        <v>0.46601942565943399</v>
      </c>
      <c r="AA10" s="14">
        <v>0.40732553441288999</v>
      </c>
      <c r="AB10" s="14"/>
      <c r="AC10" s="14">
        <v>0.54507900680801202</v>
      </c>
      <c r="AD10" s="14">
        <v>0.46976637125845999</v>
      </c>
      <c r="AE10" s="14">
        <v>0.444053695438545</v>
      </c>
      <c r="AF10" s="14">
        <v>0.61191793008664397</v>
      </c>
      <c r="AG10" s="14">
        <v>0.56565376978624304</v>
      </c>
      <c r="AH10" s="14"/>
      <c r="AI10" s="14">
        <v>0.47690834901212797</v>
      </c>
      <c r="AJ10" s="14">
        <v>0.50094621606329304</v>
      </c>
      <c r="AK10" s="14">
        <v>0.47482718044670502</v>
      </c>
      <c r="AL10" s="14">
        <v>0.58597511945366698</v>
      </c>
      <c r="AM10" s="14">
        <v>0.54233922870318996</v>
      </c>
      <c r="AN10" s="14">
        <v>0.70313050468835203</v>
      </c>
      <c r="AO10" s="14"/>
      <c r="AP10" s="14">
        <v>0.50783955228880695</v>
      </c>
      <c r="AQ10" s="14">
        <v>0.50587694654136806</v>
      </c>
      <c r="AR10" s="14"/>
      <c r="AS10" s="14" t="s">
        <v>88</v>
      </c>
      <c r="AT10" s="14">
        <v>0.50696306632895405</v>
      </c>
      <c r="AU10" s="14" t="s">
        <v>88</v>
      </c>
      <c r="AV10" s="14"/>
      <c r="AW10" s="14">
        <v>0.51837551496975198</v>
      </c>
      <c r="AX10" s="14">
        <v>0.47471702997547899</v>
      </c>
      <c r="AY10" s="14"/>
      <c r="AZ10" s="14">
        <v>0.54198384551016199</v>
      </c>
      <c r="BA10" s="14">
        <v>0.39420308336085602</v>
      </c>
    </row>
    <row r="11" spans="2:53" x14ac:dyDescent="0.35">
      <c r="B11" s="15" t="s">
        <v>228</v>
      </c>
      <c r="C11" s="14">
        <v>0.207589604747655</v>
      </c>
      <c r="D11" s="14">
        <v>0.11743354955084299</v>
      </c>
      <c r="E11" s="14">
        <v>0.26719435126500302</v>
      </c>
      <c r="F11" s="14"/>
      <c r="G11" s="14">
        <v>0</v>
      </c>
      <c r="H11" s="14">
        <v>0.212963064512387</v>
      </c>
      <c r="I11" s="14">
        <v>0.17642431928350899</v>
      </c>
      <c r="J11" s="14">
        <v>0.35335028677565899</v>
      </c>
      <c r="K11" s="14">
        <v>2.51912150794701E-2</v>
      </c>
      <c r="L11" s="14">
        <v>0</v>
      </c>
      <c r="M11" s="14"/>
      <c r="N11" s="14">
        <v>0.23877951827214999</v>
      </c>
      <c r="O11" s="14">
        <v>0.21749993520192401</v>
      </c>
      <c r="P11" s="14">
        <v>0.24032547410216201</v>
      </c>
      <c r="Q11" s="14">
        <v>0.15032206155573899</v>
      </c>
      <c r="R11" s="14"/>
      <c r="S11" s="14">
        <v>0.23222609626257701</v>
      </c>
      <c r="T11" s="14">
        <v>0.22559948348643799</v>
      </c>
      <c r="U11" s="14">
        <v>0.16123200992888601</v>
      </c>
      <c r="V11" s="14">
        <v>4.7507765544683903E-2</v>
      </c>
      <c r="W11" s="14">
        <v>0.32550352234608998</v>
      </c>
      <c r="X11" s="14">
        <v>0.24596547943327901</v>
      </c>
      <c r="Y11" s="14">
        <v>0.26480390867731102</v>
      </c>
      <c r="Z11" s="14">
        <v>0</v>
      </c>
      <c r="AA11" s="14">
        <v>0.19957330916139801</v>
      </c>
      <c r="AB11" s="14"/>
      <c r="AC11" s="14">
        <v>0.21571340125666399</v>
      </c>
      <c r="AD11" s="14">
        <v>0.33019673703802499</v>
      </c>
      <c r="AE11" s="14">
        <v>0.211675624276386</v>
      </c>
      <c r="AF11" s="14">
        <v>4.3584740106847403E-2</v>
      </c>
      <c r="AG11" s="14">
        <v>0</v>
      </c>
      <c r="AH11" s="14"/>
      <c r="AI11" s="14">
        <v>0.110499515497694</v>
      </c>
      <c r="AJ11" s="14">
        <v>0.35282425673061502</v>
      </c>
      <c r="AK11" s="14">
        <v>0.14023553997600199</v>
      </c>
      <c r="AL11" s="14">
        <v>0.19746306287277099</v>
      </c>
      <c r="AM11" s="14">
        <v>0.25646372370019999</v>
      </c>
      <c r="AN11" s="14">
        <v>0.14545897228941501</v>
      </c>
      <c r="AO11" s="14"/>
      <c r="AP11" s="14">
        <v>0.201140108370953</v>
      </c>
      <c r="AQ11" s="14">
        <v>0.21558166161514</v>
      </c>
      <c r="AR11" s="14"/>
      <c r="AS11" s="14" t="s">
        <v>88</v>
      </c>
      <c r="AT11" s="14">
        <v>0.207589604747655</v>
      </c>
      <c r="AU11" s="14" t="s">
        <v>88</v>
      </c>
      <c r="AV11" s="14"/>
      <c r="AW11" s="14">
        <v>0.21903010594108999</v>
      </c>
      <c r="AX11" s="14">
        <v>0.160827929302403</v>
      </c>
      <c r="AY11" s="14"/>
      <c r="AZ11" s="14">
        <v>0.164742635921689</v>
      </c>
      <c r="BA11" s="14">
        <v>0.345548370600673</v>
      </c>
    </row>
    <row r="12" spans="2:53" x14ac:dyDescent="0.35">
      <c r="B12" s="15" t="s">
        <v>229</v>
      </c>
      <c r="C12" s="14">
        <v>4.1469958312697203E-2</v>
      </c>
      <c r="D12" s="14">
        <v>1.8322741757199199E-2</v>
      </c>
      <c r="E12" s="14">
        <v>5.6773245178574003E-2</v>
      </c>
      <c r="F12" s="14"/>
      <c r="G12" s="14">
        <v>0</v>
      </c>
      <c r="H12" s="14">
        <v>2.0855172646167701E-2</v>
      </c>
      <c r="I12" s="14">
        <v>5.1639300133426297E-2</v>
      </c>
      <c r="J12" s="14">
        <v>6.1681518355092203E-2</v>
      </c>
      <c r="K12" s="14">
        <v>0</v>
      </c>
      <c r="L12" s="14">
        <v>0</v>
      </c>
      <c r="M12" s="14"/>
      <c r="N12" s="14">
        <v>1.0016149970244101E-2</v>
      </c>
      <c r="O12" s="14">
        <v>2.8348236880735501E-2</v>
      </c>
      <c r="P12" s="14">
        <v>0.116996040319215</v>
      </c>
      <c r="Q12" s="14">
        <v>4.4882814041569803E-2</v>
      </c>
      <c r="R12" s="14"/>
      <c r="S12" s="14">
        <v>1.5774664236112498E-2</v>
      </c>
      <c r="T12" s="14">
        <v>1.9523249172404999E-2</v>
      </c>
      <c r="U12" s="14">
        <v>5.6562492957059902E-2</v>
      </c>
      <c r="V12" s="14">
        <v>0</v>
      </c>
      <c r="W12" s="14">
        <v>0</v>
      </c>
      <c r="X12" s="14">
        <v>2.7679280481234601E-2</v>
      </c>
      <c r="Y12" s="14">
        <v>7.1796625457624594E-2</v>
      </c>
      <c r="Z12" s="14">
        <v>0.180459395185981</v>
      </c>
      <c r="AA12" s="14">
        <v>7.4466415782325102E-2</v>
      </c>
      <c r="AB12" s="14"/>
      <c r="AC12" s="14">
        <v>2.9788895863082001E-2</v>
      </c>
      <c r="AD12" s="14">
        <v>4.2111057413688001E-2</v>
      </c>
      <c r="AE12" s="14">
        <v>4.2899249888044201E-2</v>
      </c>
      <c r="AF12" s="14">
        <v>1.5826480653753101E-2</v>
      </c>
      <c r="AG12" s="14">
        <v>0.25994798693280702</v>
      </c>
      <c r="AH12" s="14"/>
      <c r="AI12" s="14">
        <v>8.3205121927359196E-2</v>
      </c>
      <c r="AJ12" s="14">
        <v>0</v>
      </c>
      <c r="AK12" s="14">
        <v>0</v>
      </c>
      <c r="AL12" s="14">
        <v>3.0830438000982101E-2</v>
      </c>
      <c r="AM12" s="14">
        <v>0</v>
      </c>
      <c r="AN12" s="14">
        <v>4.5867140228830199E-2</v>
      </c>
      <c r="AO12" s="14"/>
      <c r="AP12" s="14">
        <v>4.6410493946648097E-2</v>
      </c>
      <c r="AQ12" s="14">
        <v>3.5347768387139003E-2</v>
      </c>
      <c r="AR12" s="14"/>
      <c r="AS12" s="14" t="s">
        <v>88</v>
      </c>
      <c r="AT12" s="14">
        <v>4.1469958312697203E-2</v>
      </c>
      <c r="AU12" s="14" t="s">
        <v>88</v>
      </c>
      <c r="AV12" s="14"/>
      <c r="AW12" s="14">
        <v>3.7566082790098897E-2</v>
      </c>
      <c r="AX12" s="14">
        <v>4.5585153672637602E-2</v>
      </c>
      <c r="AY12" s="14"/>
      <c r="AZ12" s="14">
        <v>3.7149615866500299E-2</v>
      </c>
      <c r="BA12" s="14">
        <v>5.5380606563234097E-2</v>
      </c>
    </row>
    <row r="13" spans="2:53" x14ac:dyDescent="0.35">
      <c r="B13" s="15" t="s">
        <v>116</v>
      </c>
      <c r="C13" s="23">
        <v>3.8767772219916397E-2</v>
      </c>
      <c r="D13" s="23">
        <v>1.1644843171605201E-2</v>
      </c>
      <c r="E13" s="23">
        <v>5.66995163185623E-2</v>
      </c>
      <c r="F13" s="23"/>
      <c r="G13" s="23">
        <v>0</v>
      </c>
      <c r="H13" s="23">
        <v>3.9083174513056103E-2</v>
      </c>
      <c r="I13" s="23">
        <v>3.60458863015145E-2</v>
      </c>
      <c r="J13" s="23">
        <v>3.31854345216549E-2</v>
      </c>
      <c r="K13" s="23">
        <v>9.1593248395106394E-2</v>
      </c>
      <c r="L13" s="23">
        <v>0</v>
      </c>
      <c r="M13" s="23"/>
      <c r="N13" s="23">
        <v>0</v>
      </c>
      <c r="O13" s="23">
        <v>7.5871305893098706E-2</v>
      </c>
      <c r="P13" s="23">
        <v>0</v>
      </c>
      <c r="Q13" s="23">
        <v>5.0645376483535898E-2</v>
      </c>
      <c r="R13" s="23"/>
      <c r="S13" s="23">
        <v>0</v>
      </c>
      <c r="T13" s="23">
        <v>4.6680743800747E-2</v>
      </c>
      <c r="U13" s="23">
        <v>3.99516541010385E-2</v>
      </c>
      <c r="V13" s="23">
        <v>0.113592638296953</v>
      </c>
      <c r="W13" s="23">
        <v>0</v>
      </c>
      <c r="X13" s="23">
        <v>4.3006940506228102E-2</v>
      </c>
      <c r="Y13" s="23">
        <v>6.4259533011694805E-2</v>
      </c>
      <c r="Z13" s="23">
        <v>6.42934935038567E-2</v>
      </c>
      <c r="AA13" s="23">
        <v>2.24586217632009E-2</v>
      </c>
      <c r="AB13" s="23"/>
      <c r="AC13" s="23">
        <v>0</v>
      </c>
      <c r="AD13" s="23">
        <v>5.4394715372689001E-2</v>
      </c>
      <c r="AE13" s="23">
        <v>7.4535912344270802E-2</v>
      </c>
      <c r="AF13" s="23">
        <v>2.08272707558422E-2</v>
      </c>
      <c r="AG13" s="23">
        <v>0</v>
      </c>
      <c r="AH13" s="23"/>
      <c r="AI13" s="23">
        <v>3.6016511513157802E-2</v>
      </c>
      <c r="AJ13" s="23">
        <v>2.0629848330028299E-2</v>
      </c>
      <c r="AK13" s="23">
        <v>5.9542850883582098E-2</v>
      </c>
      <c r="AL13" s="23">
        <v>6.6190406066334306E-2</v>
      </c>
      <c r="AM13" s="23">
        <v>0</v>
      </c>
      <c r="AN13" s="23">
        <v>0</v>
      </c>
      <c r="AO13" s="23"/>
      <c r="AP13" s="23">
        <v>3.4707672695552701E-2</v>
      </c>
      <c r="AQ13" s="23">
        <v>4.37989474297482E-2</v>
      </c>
      <c r="AR13" s="23"/>
      <c r="AS13" s="23" t="s">
        <v>88</v>
      </c>
      <c r="AT13" s="23">
        <v>3.8767772219916397E-2</v>
      </c>
      <c r="AU13" s="23" t="s">
        <v>88</v>
      </c>
      <c r="AV13" s="23"/>
      <c r="AW13" s="23">
        <v>4.8166196693837898E-2</v>
      </c>
      <c r="AX13" s="23">
        <v>0</v>
      </c>
      <c r="AY13" s="23"/>
      <c r="AZ13" s="23">
        <v>2.4331221692786599E-2</v>
      </c>
      <c r="BA13" s="23">
        <v>8.5250609827103002E-2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BA17"/>
  <sheetViews>
    <sheetView showGridLines="0" topLeftCell="A6" workbookViewId="0">
      <pane xSplit="2" topLeftCell="C1" activePane="topRight" state="frozen"/>
      <selection pane="topRight" activeCell="B10" sqref="B1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268</v>
      </c>
      <c r="D7" s="10">
        <v>87</v>
      </c>
      <c r="E7" s="10">
        <v>181</v>
      </c>
      <c r="F7" s="10"/>
      <c r="G7" s="10">
        <v>1</v>
      </c>
      <c r="H7" s="10">
        <v>76</v>
      </c>
      <c r="I7" s="10">
        <v>132</v>
      </c>
      <c r="J7" s="10">
        <v>49</v>
      </c>
      <c r="K7" s="10">
        <v>9</v>
      </c>
      <c r="L7" s="10">
        <v>1</v>
      </c>
      <c r="M7" s="10"/>
      <c r="N7" s="10">
        <v>104</v>
      </c>
      <c r="O7" s="10">
        <v>82</v>
      </c>
      <c r="P7" s="10">
        <v>30</v>
      </c>
      <c r="Q7" s="10">
        <v>52</v>
      </c>
      <c r="R7" s="10"/>
      <c r="S7" s="10">
        <v>53</v>
      </c>
      <c r="T7" s="10">
        <v>45</v>
      </c>
      <c r="U7" s="10">
        <v>21</v>
      </c>
      <c r="V7" s="10">
        <v>16</v>
      </c>
      <c r="W7" s="10">
        <v>23</v>
      </c>
      <c r="X7" s="10">
        <v>30</v>
      </c>
      <c r="Y7" s="10">
        <v>31</v>
      </c>
      <c r="Z7" s="10">
        <v>12</v>
      </c>
      <c r="AA7" s="10">
        <v>37</v>
      </c>
      <c r="AB7" s="10"/>
      <c r="AC7" s="10">
        <v>27</v>
      </c>
      <c r="AD7" s="10">
        <v>59</v>
      </c>
      <c r="AE7" s="10">
        <v>84</v>
      </c>
      <c r="AF7" s="10">
        <v>61</v>
      </c>
      <c r="AG7" s="10">
        <v>8</v>
      </c>
      <c r="AH7" s="10"/>
      <c r="AI7" s="10">
        <v>96</v>
      </c>
      <c r="AJ7" s="10">
        <v>52</v>
      </c>
      <c r="AK7" s="10">
        <v>21</v>
      </c>
      <c r="AL7" s="10">
        <v>34</v>
      </c>
      <c r="AM7" s="10">
        <v>14</v>
      </c>
      <c r="AN7" s="10">
        <v>20</v>
      </c>
      <c r="AO7" s="10"/>
      <c r="AP7" s="10">
        <v>142</v>
      </c>
      <c r="AQ7" s="10">
        <v>126</v>
      </c>
      <c r="AR7" s="10"/>
      <c r="AS7" s="10" t="s">
        <v>87</v>
      </c>
      <c r="AT7" s="10">
        <v>268</v>
      </c>
      <c r="AU7" s="10" t="s">
        <v>87</v>
      </c>
      <c r="AV7" s="10"/>
      <c r="AW7" s="10">
        <v>204</v>
      </c>
      <c r="AX7" s="10">
        <v>55</v>
      </c>
      <c r="AY7" s="10"/>
      <c r="AZ7" s="10">
        <v>208</v>
      </c>
      <c r="BA7" s="10">
        <v>60</v>
      </c>
    </row>
    <row r="8" spans="2:53" ht="30" customHeight="1" x14ac:dyDescent="0.35">
      <c r="B8" s="11" t="s">
        <v>19</v>
      </c>
      <c r="C8" s="11">
        <v>259</v>
      </c>
      <c r="D8" s="11">
        <v>103</v>
      </c>
      <c r="E8" s="11">
        <v>156</v>
      </c>
      <c r="F8" s="11"/>
      <c r="G8" s="11">
        <v>2</v>
      </c>
      <c r="H8" s="11">
        <v>73</v>
      </c>
      <c r="I8" s="11">
        <v>125</v>
      </c>
      <c r="J8" s="11">
        <v>45</v>
      </c>
      <c r="K8" s="11">
        <v>13</v>
      </c>
      <c r="L8" s="11">
        <v>1</v>
      </c>
      <c r="M8" s="11"/>
      <c r="N8" s="11">
        <v>65</v>
      </c>
      <c r="O8" s="11">
        <v>85</v>
      </c>
      <c r="P8" s="11">
        <v>38</v>
      </c>
      <c r="Q8" s="11">
        <v>72</v>
      </c>
      <c r="R8" s="11"/>
      <c r="S8" s="11">
        <v>41</v>
      </c>
      <c r="T8" s="11">
        <v>45</v>
      </c>
      <c r="U8" s="11">
        <v>27</v>
      </c>
      <c r="V8" s="11">
        <v>20</v>
      </c>
      <c r="W8" s="11">
        <v>23</v>
      </c>
      <c r="X8" s="11">
        <v>25</v>
      </c>
      <c r="Y8" s="11">
        <v>30</v>
      </c>
      <c r="Z8" s="11">
        <v>12</v>
      </c>
      <c r="AA8" s="11">
        <v>36</v>
      </c>
      <c r="AB8" s="11"/>
      <c r="AC8" s="11">
        <v>35</v>
      </c>
      <c r="AD8" s="11">
        <v>62</v>
      </c>
      <c r="AE8" s="11">
        <v>75</v>
      </c>
      <c r="AF8" s="11">
        <v>52</v>
      </c>
      <c r="AG8" s="11">
        <v>4</v>
      </c>
      <c r="AH8" s="11"/>
      <c r="AI8" s="11">
        <v>98</v>
      </c>
      <c r="AJ8" s="11">
        <v>43</v>
      </c>
      <c r="AK8" s="11">
        <v>18</v>
      </c>
      <c r="AL8" s="11">
        <v>34</v>
      </c>
      <c r="AM8" s="11">
        <v>14</v>
      </c>
      <c r="AN8" s="11">
        <v>19</v>
      </c>
      <c r="AO8" s="11"/>
      <c r="AP8" s="11">
        <v>143</v>
      </c>
      <c r="AQ8" s="11">
        <v>116</v>
      </c>
      <c r="AR8" s="11"/>
      <c r="AS8" s="11" t="s">
        <v>87</v>
      </c>
      <c r="AT8" s="11">
        <v>259</v>
      </c>
      <c r="AU8" s="11" t="s">
        <v>87</v>
      </c>
      <c r="AV8" s="11"/>
      <c r="AW8" s="11">
        <v>209</v>
      </c>
      <c r="AX8" s="11">
        <v>41</v>
      </c>
      <c r="AY8" s="11"/>
      <c r="AZ8" s="11">
        <v>198</v>
      </c>
      <c r="BA8" s="11">
        <v>61</v>
      </c>
    </row>
    <row r="9" spans="2:53" ht="29" x14ac:dyDescent="0.35">
      <c r="B9" s="15" t="s">
        <v>231</v>
      </c>
      <c r="C9" s="14">
        <v>0.109816461984816</v>
      </c>
      <c r="D9" s="14">
        <v>9.1712241750830897E-2</v>
      </c>
      <c r="E9" s="14">
        <v>0.121785679754884</v>
      </c>
      <c r="F9" s="14"/>
      <c r="G9" s="14">
        <v>0</v>
      </c>
      <c r="H9" s="14">
        <v>9.9988494145299298E-2</v>
      </c>
      <c r="I9" s="14">
        <v>0.143915123317194</v>
      </c>
      <c r="J9" s="14">
        <v>7.0921564535529197E-2</v>
      </c>
      <c r="K9" s="14">
        <v>0</v>
      </c>
      <c r="L9" s="14">
        <v>0</v>
      </c>
      <c r="M9" s="14"/>
      <c r="N9" s="14">
        <v>5.7704069173682801E-2</v>
      </c>
      <c r="O9" s="14">
        <v>0.106212550745466</v>
      </c>
      <c r="P9" s="14">
        <v>0.203119755311051</v>
      </c>
      <c r="Q9" s="14">
        <v>0.11110118156333899</v>
      </c>
      <c r="R9" s="14"/>
      <c r="S9" s="14">
        <v>0.115087439940829</v>
      </c>
      <c r="T9" s="14">
        <v>7.5876679365879204E-2</v>
      </c>
      <c r="U9" s="14">
        <v>0.218423694903148</v>
      </c>
      <c r="V9" s="14">
        <v>0</v>
      </c>
      <c r="W9" s="14">
        <v>9.3631556298894594E-2</v>
      </c>
      <c r="X9" s="14">
        <v>3.8502808245957303E-2</v>
      </c>
      <c r="Y9" s="14">
        <v>9.4341183438762993E-2</v>
      </c>
      <c r="Z9" s="14">
        <v>8.9434380892306806E-2</v>
      </c>
      <c r="AA9" s="14">
        <v>0.205104087160353</v>
      </c>
      <c r="AB9" s="14"/>
      <c r="AC9" s="14">
        <v>7.77582887183388E-2</v>
      </c>
      <c r="AD9" s="14">
        <v>0.119958227753088</v>
      </c>
      <c r="AE9" s="14">
        <v>0.127682888829286</v>
      </c>
      <c r="AF9" s="14">
        <v>5.43772636263379E-2</v>
      </c>
      <c r="AG9" s="14">
        <v>0</v>
      </c>
      <c r="AH9" s="14"/>
      <c r="AI9" s="14">
        <v>0.16138588206141699</v>
      </c>
      <c r="AJ9" s="14">
        <v>0.11325980092141801</v>
      </c>
      <c r="AK9" s="14">
        <v>0</v>
      </c>
      <c r="AL9" s="14">
        <v>6.3577022378699805E-2</v>
      </c>
      <c r="AM9" s="14">
        <v>6.3144458210316098E-2</v>
      </c>
      <c r="AN9" s="14">
        <v>9.8098612213985206E-2</v>
      </c>
      <c r="AO9" s="14"/>
      <c r="AP9" s="14">
        <v>9.3614515772903598E-2</v>
      </c>
      <c r="AQ9" s="14">
        <v>0.12989351419579001</v>
      </c>
      <c r="AR9" s="14"/>
      <c r="AS9" s="14" t="s">
        <v>88</v>
      </c>
      <c r="AT9" s="14">
        <v>0.109816461984816</v>
      </c>
      <c r="AU9" s="14" t="s">
        <v>88</v>
      </c>
      <c r="AV9" s="14"/>
      <c r="AW9" s="14">
        <v>0.108386629413947</v>
      </c>
      <c r="AX9" s="14">
        <v>0.111532284318151</v>
      </c>
      <c r="AY9" s="14"/>
      <c r="AZ9" s="14">
        <v>0.10477851964524</v>
      </c>
      <c r="BA9" s="14">
        <v>0.126037639973616</v>
      </c>
    </row>
    <row r="10" spans="2:53" ht="29" x14ac:dyDescent="0.35">
      <c r="B10" s="15" t="s">
        <v>232</v>
      </c>
      <c r="C10" s="14">
        <v>0.735774722210215</v>
      </c>
      <c r="D10" s="14">
        <v>0.77013160086091603</v>
      </c>
      <c r="E10" s="14">
        <v>0.71306040714139396</v>
      </c>
      <c r="F10" s="14"/>
      <c r="G10" s="14">
        <v>0</v>
      </c>
      <c r="H10" s="14">
        <v>0.75723895177988099</v>
      </c>
      <c r="I10" s="14">
        <v>0.73411491752498104</v>
      </c>
      <c r="J10" s="14">
        <v>0.73864078537514899</v>
      </c>
      <c r="K10" s="14">
        <v>0.80256090414231096</v>
      </c>
      <c r="L10" s="14">
        <v>0</v>
      </c>
      <c r="M10" s="14"/>
      <c r="N10" s="14">
        <v>0.81662196086119399</v>
      </c>
      <c r="O10" s="14">
        <v>0.72139775921995397</v>
      </c>
      <c r="P10" s="14">
        <v>0.74357657232057806</v>
      </c>
      <c r="Q10" s="14">
        <v>0.67576948786124602</v>
      </c>
      <c r="R10" s="14"/>
      <c r="S10" s="14">
        <v>0.80431160579132999</v>
      </c>
      <c r="T10" s="14">
        <v>0.69495401528256895</v>
      </c>
      <c r="U10" s="14">
        <v>0.68605056947590504</v>
      </c>
      <c r="V10" s="14">
        <v>0.88640736170304701</v>
      </c>
      <c r="W10" s="14">
        <v>0.725455502103871</v>
      </c>
      <c r="X10" s="14">
        <v>0.87293432352877298</v>
      </c>
      <c r="Y10" s="14">
        <v>0.64796999792069099</v>
      </c>
      <c r="Z10" s="14">
        <v>0.55704443995310904</v>
      </c>
      <c r="AA10" s="14">
        <v>0.70532187294701498</v>
      </c>
      <c r="AB10" s="14"/>
      <c r="AC10" s="14">
        <v>0.77961661437117202</v>
      </c>
      <c r="AD10" s="14">
        <v>0.69020663537248095</v>
      </c>
      <c r="AE10" s="14">
        <v>0.74941920616729796</v>
      </c>
      <c r="AF10" s="14">
        <v>0.79610366240895603</v>
      </c>
      <c r="AG10" s="14">
        <v>0.68844250123044903</v>
      </c>
      <c r="AH10" s="14"/>
      <c r="AI10" s="14">
        <v>0.71776375154237204</v>
      </c>
      <c r="AJ10" s="14">
        <v>0.74651311073863902</v>
      </c>
      <c r="AK10" s="14">
        <v>0.63586417111359805</v>
      </c>
      <c r="AL10" s="14">
        <v>0.70351018568415302</v>
      </c>
      <c r="AM10" s="14">
        <v>0.936855541789684</v>
      </c>
      <c r="AN10" s="14">
        <v>0.87418962610680895</v>
      </c>
      <c r="AO10" s="14"/>
      <c r="AP10" s="14">
        <v>0.73574923271711101</v>
      </c>
      <c r="AQ10" s="14">
        <v>0.73580630816150505</v>
      </c>
      <c r="AR10" s="14"/>
      <c r="AS10" s="14" t="s">
        <v>88</v>
      </c>
      <c r="AT10" s="14">
        <v>0.735774722210215</v>
      </c>
      <c r="AU10" s="14" t="s">
        <v>88</v>
      </c>
      <c r="AV10" s="14"/>
      <c r="AW10" s="14">
        <v>0.74667154720228901</v>
      </c>
      <c r="AX10" s="14">
        <v>0.68202992275658603</v>
      </c>
      <c r="AY10" s="14"/>
      <c r="AZ10" s="14">
        <v>0.76343685659615201</v>
      </c>
      <c r="BA10" s="14">
        <v>0.64670812017717705</v>
      </c>
    </row>
    <row r="11" spans="2:53" ht="29" x14ac:dyDescent="0.35">
      <c r="B11" s="15" t="s">
        <v>233</v>
      </c>
      <c r="C11" s="14">
        <v>0.101111163887212</v>
      </c>
      <c r="D11" s="14">
        <v>0.108552836498119</v>
      </c>
      <c r="E11" s="14">
        <v>9.6191261295312497E-2</v>
      </c>
      <c r="F11" s="14"/>
      <c r="G11" s="14">
        <v>1</v>
      </c>
      <c r="H11" s="14">
        <v>9.1230921806626106E-2</v>
      </c>
      <c r="I11" s="14">
        <v>8.0271765299938305E-2</v>
      </c>
      <c r="J11" s="14">
        <v>0.109453991026008</v>
      </c>
      <c r="K11" s="14">
        <v>0.10584584746258199</v>
      </c>
      <c r="L11" s="14">
        <v>1</v>
      </c>
      <c r="M11" s="14"/>
      <c r="N11" s="14">
        <v>8.4285372533621006E-2</v>
      </c>
      <c r="O11" s="14">
        <v>9.8694448838568205E-2</v>
      </c>
      <c r="P11" s="14">
        <v>5.3303672368371698E-2</v>
      </c>
      <c r="Q11" s="14">
        <v>0.14466803264609701</v>
      </c>
      <c r="R11" s="14"/>
      <c r="S11" s="14">
        <v>8.0600954267841293E-2</v>
      </c>
      <c r="T11" s="14">
        <v>0.16025634831230201</v>
      </c>
      <c r="U11" s="14">
        <v>5.5574081519908503E-2</v>
      </c>
      <c r="V11" s="14">
        <v>0</v>
      </c>
      <c r="W11" s="14">
        <v>0.18091294159723501</v>
      </c>
      <c r="X11" s="14">
        <v>2.0696413857217402E-2</v>
      </c>
      <c r="Y11" s="14">
        <v>0.19342928562885101</v>
      </c>
      <c r="Z11" s="14">
        <v>0.28922768565072798</v>
      </c>
      <c r="AA11" s="14">
        <v>8.4074945618981302E-3</v>
      </c>
      <c r="AB11" s="14"/>
      <c r="AC11" s="14">
        <v>0.142625096910489</v>
      </c>
      <c r="AD11" s="14">
        <v>8.9149659643405293E-2</v>
      </c>
      <c r="AE11" s="14">
        <v>5.4747446197855702E-2</v>
      </c>
      <c r="AF11" s="14">
        <v>0.128691803208864</v>
      </c>
      <c r="AG11" s="14">
        <v>0.31155749876955102</v>
      </c>
      <c r="AH11" s="14"/>
      <c r="AI11" s="14">
        <v>9.2367369084535494E-2</v>
      </c>
      <c r="AJ11" s="14">
        <v>7.77604335126372E-2</v>
      </c>
      <c r="AK11" s="14">
        <v>0.30459297800281998</v>
      </c>
      <c r="AL11" s="14">
        <v>0.16672238587081201</v>
      </c>
      <c r="AM11" s="14">
        <v>0</v>
      </c>
      <c r="AN11" s="14">
        <v>2.77117616792062E-2</v>
      </c>
      <c r="AO11" s="14"/>
      <c r="AP11" s="14">
        <v>0.11157710838782101</v>
      </c>
      <c r="AQ11" s="14">
        <v>8.8142023548911194E-2</v>
      </c>
      <c r="AR11" s="14"/>
      <c r="AS11" s="14" t="s">
        <v>88</v>
      </c>
      <c r="AT11" s="14">
        <v>0.101111163887212</v>
      </c>
      <c r="AU11" s="14" t="s">
        <v>88</v>
      </c>
      <c r="AV11" s="14"/>
      <c r="AW11" s="14">
        <v>8.3584754889277302E-2</v>
      </c>
      <c r="AX11" s="14">
        <v>0.181978364662435</v>
      </c>
      <c r="AY11" s="14"/>
      <c r="AZ11" s="14">
        <v>9.3687905392661405E-2</v>
      </c>
      <c r="BA11" s="14">
        <v>0.12501258815541999</v>
      </c>
    </row>
    <row r="12" spans="2:53" x14ac:dyDescent="0.35">
      <c r="B12" s="15" t="s">
        <v>116</v>
      </c>
      <c r="C12" s="23">
        <v>5.3297651917757698E-2</v>
      </c>
      <c r="D12" s="23">
        <v>2.9603320890134101E-2</v>
      </c>
      <c r="E12" s="23">
        <v>6.8962651808409395E-2</v>
      </c>
      <c r="F12" s="23"/>
      <c r="G12" s="23">
        <v>0</v>
      </c>
      <c r="H12" s="23">
        <v>5.1541632268193797E-2</v>
      </c>
      <c r="I12" s="23">
        <v>4.1698193857887499E-2</v>
      </c>
      <c r="J12" s="23">
        <v>8.0983659063313396E-2</v>
      </c>
      <c r="K12" s="23">
        <v>9.1593248395106394E-2</v>
      </c>
      <c r="L12" s="23">
        <v>0</v>
      </c>
      <c r="M12" s="23"/>
      <c r="N12" s="23">
        <v>4.1388597431501598E-2</v>
      </c>
      <c r="O12" s="23">
        <v>7.3695241196011702E-2</v>
      </c>
      <c r="P12" s="23">
        <v>0</v>
      </c>
      <c r="Q12" s="23">
        <v>6.8461297929317599E-2</v>
      </c>
      <c r="R12" s="23"/>
      <c r="S12" s="23">
        <v>0</v>
      </c>
      <c r="T12" s="23">
        <v>6.89129570392501E-2</v>
      </c>
      <c r="U12" s="23">
        <v>3.99516541010385E-2</v>
      </c>
      <c r="V12" s="23">
        <v>0.113592638296953</v>
      </c>
      <c r="W12" s="23">
        <v>0</v>
      </c>
      <c r="X12" s="23">
        <v>6.7866454368051998E-2</v>
      </c>
      <c r="Y12" s="23">
        <v>6.4259533011694805E-2</v>
      </c>
      <c r="Z12" s="23">
        <v>6.42934935038567E-2</v>
      </c>
      <c r="AA12" s="23">
        <v>8.1166545330734002E-2</v>
      </c>
      <c r="AB12" s="23"/>
      <c r="AC12" s="23">
        <v>0</v>
      </c>
      <c r="AD12" s="23">
        <v>0.100685477231026</v>
      </c>
      <c r="AE12" s="23">
        <v>6.8150458805560601E-2</v>
      </c>
      <c r="AF12" s="23">
        <v>2.08272707558422E-2</v>
      </c>
      <c r="AG12" s="23">
        <v>0</v>
      </c>
      <c r="AH12" s="23"/>
      <c r="AI12" s="23">
        <v>2.8482997311676E-2</v>
      </c>
      <c r="AJ12" s="23">
        <v>6.24666548273064E-2</v>
      </c>
      <c r="AK12" s="23">
        <v>5.9542850883582098E-2</v>
      </c>
      <c r="AL12" s="23">
        <v>6.6190406066334306E-2</v>
      </c>
      <c r="AM12" s="23">
        <v>0</v>
      </c>
      <c r="AN12" s="23">
        <v>0</v>
      </c>
      <c r="AO12" s="23"/>
      <c r="AP12" s="23">
        <v>5.9059143122163898E-2</v>
      </c>
      <c r="AQ12" s="23">
        <v>4.6158154093793702E-2</v>
      </c>
      <c r="AR12" s="23"/>
      <c r="AS12" s="23" t="s">
        <v>88</v>
      </c>
      <c r="AT12" s="23">
        <v>5.3297651917757698E-2</v>
      </c>
      <c r="AU12" s="23" t="s">
        <v>88</v>
      </c>
      <c r="AV12" s="23"/>
      <c r="AW12" s="23">
        <v>6.1357068494486203E-2</v>
      </c>
      <c r="AX12" s="23">
        <v>2.4459428262827501E-2</v>
      </c>
      <c r="AY12" s="23"/>
      <c r="AZ12" s="23">
        <v>3.8096718365946101E-2</v>
      </c>
      <c r="BA12" s="23">
        <v>0.102241651693787</v>
      </c>
    </row>
    <row r="13" spans="2:53" x14ac:dyDescent="0.35">
      <c r="B13" s="16" t="s">
        <v>328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B2:BA18"/>
  <sheetViews>
    <sheetView showGridLines="0" workbookViewId="0">
      <pane xSplit="2" topLeftCell="C1" activePane="topRight" state="frozen"/>
      <selection pane="topRight" activeCell="B11" sqref="B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309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268</v>
      </c>
      <c r="D7" s="10">
        <v>87</v>
      </c>
      <c r="E7" s="10">
        <v>181</v>
      </c>
      <c r="F7" s="10"/>
      <c r="G7" s="10">
        <v>1</v>
      </c>
      <c r="H7" s="10">
        <v>76</v>
      </c>
      <c r="I7" s="10">
        <v>132</v>
      </c>
      <c r="J7" s="10">
        <v>49</v>
      </c>
      <c r="K7" s="10">
        <v>9</v>
      </c>
      <c r="L7" s="10">
        <v>1</v>
      </c>
      <c r="M7" s="10"/>
      <c r="N7" s="10">
        <v>104</v>
      </c>
      <c r="O7" s="10">
        <v>82</v>
      </c>
      <c r="P7" s="10">
        <v>30</v>
      </c>
      <c r="Q7" s="10">
        <v>52</v>
      </c>
      <c r="R7" s="10"/>
      <c r="S7" s="10">
        <v>53</v>
      </c>
      <c r="T7" s="10">
        <v>45</v>
      </c>
      <c r="U7" s="10">
        <v>21</v>
      </c>
      <c r="V7" s="10">
        <v>16</v>
      </c>
      <c r="W7" s="10">
        <v>23</v>
      </c>
      <c r="X7" s="10">
        <v>30</v>
      </c>
      <c r="Y7" s="10">
        <v>31</v>
      </c>
      <c r="Z7" s="10">
        <v>12</v>
      </c>
      <c r="AA7" s="10">
        <v>37</v>
      </c>
      <c r="AB7" s="10"/>
      <c r="AC7" s="10">
        <v>27</v>
      </c>
      <c r="AD7" s="10">
        <v>59</v>
      </c>
      <c r="AE7" s="10">
        <v>84</v>
      </c>
      <c r="AF7" s="10">
        <v>61</v>
      </c>
      <c r="AG7" s="10">
        <v>8</v>
      </c>
      <c r="AH7" s="10"/>
      <c r="AI7" s="10">
        <v>96</v>
      </c>
      <c r="AJ7" s="10">
        <v>52</v>
      </c>
      <c r="AK7" s="10">
        <v>21</v>
      </c>
      <c r="AL7" s="10">
        <v>34</v>
      </c>
      <c r="AM7" s="10">
        <v>14</v>
      </c>
      <c r="AN7" s="10">
        <v>20</v>
      </c>
      <c r="AO7" s="10"/>
      <c r="AP7" s="10">
        <v>142</v>
      </c>
      <c r="AQ7" s="10">
        <v>126</v>
      </c>
      <c r="AR7" s="10"/>
      <c r="AS7" s="10" t="s">
        <v>87</v>
      </c>
      <c r="AT7" s="10">
        <v>268</v>
      </c>
      <c r="AU7" s="10" t="s">
        <v>87</v>
      </c>
      <c r="AV7" s="10"/>
      <c r="AW7" s="10">
        <v>204</v>
      </c>
      <c r="AX7" s="10">
        <v>55</v>
      </c>
      <c r="AY7" s="10"/>
      <c r="AZ7" s="10">
        <v>208</v>
      </c>
      <c r="BA7" s="10">
        <v>60</v>
      </c>
    </row>
    <row r="8" spans="2:53" ht="30" customHeight="1" x14ac:dyDescent="0.35">
      <c r="B8" s="11" t="s">
        <v>19</v>
      </c>
      <c r="C8" s="11">
        <v>259</v>
      </c>
      <c r="D8" s="11">
        <v>103</v>
      </c>
      <c r="E8" s="11">
        <v>156</v>
      </c>
      <c r="F8" s="11"/>
      <c r="G8" s="11">
        <v>2</v>
      </c>
      <c r="H8" s="11">
        <v>73</v>
      </c>
      <c r="I8" s="11">
        <v>125</v>
      </c>
      <c r="J8" s="11">
        <v>45</v>
      </c>
      <c r="K8" s="11">
        <v>13</v>
      </c>
      <c r="L8" s="11">
        <v>1</v>
      </c>
      <c r="M8" s="11"/>
      <c r="N8" s="11">
        <v>65</v>
      </c>
      <c r="O8" s="11">
        <v>85</v>
      </c>
      <c r="P8" s="11">
        <v>38</v>
      </c>
      <c r="Q8" s="11">
        <v>72</v>
      </c>
      <c r="R8" s="11"/>
      <c r="S8" s="11">
        <v>41</v>
      </c>
      <c r="T8" s="11">
        <v>45</v>
      </c>
      <c r="U8" s="11">
        <v>27</v>
      </c>
      <c r="V8" s="11">
        <v>20</v>
      </c>
      <c r="W8" s="11">
        <v>23</v>
      </c>
      <c r="X8" s="11">
        <v>25</v>
      </c>
      <c r="Y8" s="11">
        <v>30</v>
      </c>
      <c r="Z8" s="11">
        <v>12</v>
      </c>
      <c r="AA8" s="11">
        <v>36</v>
      </c>
      <c r="AB8" s="11"/>
      <c r="AC8" s="11">
        <v>35</v>
      </c>
      <c r="AD8" s="11">
        <v>62</v>
      </c>
      <c r="AE8" s="11">
        <v>75</v>
      </c>
      <c r="AF8" s="11">
        <v>52</v>
      </c>
      <c r="AG8" s="11">
        <v>4</v>
      </c>
      <c r="AH8" s="11"/>
      <c r="AI8" s="11">
        <v>98</v>
      </c>
      <c r="AJ8" s="11">
        <v>43</v>
      </c>
      <c r="AK8" s="11">
        <v>18</v>
      </c>
      <c r="AL8" s="11">
        <v>34</v>
      </c>
      <c r="AM8" s="11">
        <v>14</v>
      </c>
      <c r="AN8" s="11">
        <v>19</v>
      </c>
      <c r="AO8" s="11"/>
      <c r="AP8" s="11">
        <v>143</v>
      </c>
      <c r="AQ8" s="11">
        <v>116</v>
      </c>
      <c r="AR8" s="11"/>
      <c r="AS8" s="11" t="s">
        <v>87</v>
      </c>
      <c r="AT8" s="11">
        <v>259</v>
      </c>
      <c r="AU8" s="11" t="s">
        <v>87</v>
      </c>
      <c r="AV8" s="11"/>
      <c r="AW8" s="11">
        <v>209</v>
      </c>
      <c r="AX8" s="11">
        <v>41</v>
      </c>
      <c r="AY8" s="11"/>
      <c r="AZ8" s="11">
        <v>198</v>
      </c>
      <c r="BA8" s="11">
        <v>61</v>
      </c>
    </row>
    <row r="9" spans="2:53" x14ac:dyDescent="0.35">
      <c r="B9" s="15" t="s">
        <v>235</v>
      </c>
      <c r="C9" s="14">
        <v>0.26548691906699301</v>
      </c>
      <c r="D9" s="14">
        <v>0.34174338560641898</v>
      </c>
      <c r="E9" s="14">
        <v>0.21507158813365901</v>
      </c>
      <c r="F9" s="14"/>
      <c r="G9" s="14">
        <v>0</v>
      </c>
      <c r="H9" s="14">
        <v>0.22344574508228601</v>
      </c>
      <c r="I9" s="14">
        <v>0.32877520381105901</v>
      </c>
      <c r="J9" s="14">
        <v>0.19096436063539199</v>
      </c>
      <c r="K9" s="14">
        <v>0.12535592770257101</v>
      </c>
      <c r="L9" s="14">
        <v>1</v>
      </c>
      <c r="M9" s="14"/>
      <c r="N9" s="14">
        <v>0.32671491721725898</v>
      </c>
      <c r="O9" s="14">
        <v>0.28897781040637399</v>
      </c>
      <c r="P9" s="14">
        <v>0.14617112601529</v>
      </c>
      <c r="Q9" s="14">
        <v>0.24645217809251399</v>
      </c>
      <c r="R9" s="14"/>
      <c r="S9" s="14">
        <v>0.35723981757473799</v>
      </c>
      <c r="T9" s="14">
        <v>0.260939081016626</v>
      </c>
      <c r="U9" s="14">
        <v>0.222186299940931</v>
      </c>
      <c r="V9" s="14">
        <v>0.38300921023117701</v>
      </c>
      <c r="W9" s="14">
        <v>0.13540332289515999</v>
      </c>
      <c r="X9" s="14">
        <v>9.3649417545444105E-2</v>
      </c>
      <c r="Y9" s="14">
        <v>0.31623224781136</v>
      </c>
      <c r="Z9" s="14">
        <v>0.28922768565072798</v>
      </c>
      <c r="AA9" s="14">
        <v>0.28567740842995398</v>
      </c>
      <c r="AB9" s="14"/>
      <c r="AC9" s="14">
        <v>0.243384584541154</v>
      </c>
      <c r="AD9" s="14">
        <v>0.175083339921872</v>
      </c>
      <c r="AE9" s="14">
        <v>0.25963135205489202</v>
      </c>
      <c r="AF9" s="14">
        <v>0.42055090319314398</v>
      </c>
      <c r="AG9" s="14">
        <v>0.76213043805012703</v>
      </c>
      <c r="AH9" s="14"/>
      <c r="AI9" s="14">
        <v>0.30692703372531399</v>
      </c>
      <c r="AJ9" s="14">
        <v>0.26086995752807601</v>
      </c>
      <c r="AK9" s="14">
        <v>0.28522959211292997</v>
      </c>
      <c r="AL9" s="14">
        <v>0.30267202723650399</v>
      </c>
      <c r="AM9" s="14">
        <v>0.18564805473110699</v>
      </c>
      <c r="AN9" s="14">
        <v>0.245390442345049</v>
      </c>
      <c r="AO9" s="14"/>
      <c r="AP9" s="14">
        <v>0.24572215534189401</v>
      </c>
      <c r="AQ9" s="14">
        <v>0.28997892688236399</v>
      </c>
      <c r="AR9" s="14"/>
      <c r="AS9" s="14" t="s">
        <v>88</v>
      </c>
      <c r="AT9" s="14">
        <v>0.26548691906699301</v>
      </c>
      <c r="AU9" s="14" t="s">
        <v>88</v>
      </c>
      <c r="AV9" s="14"/>
      <c r="AW9" s="14">
        <v>0.224443898168531</v>
      </c>
      <c r="AX9" s="14">
        <v>0.43636847399915502</v>
      </c>
      <c r="AY9" s="14"/>
      <c r="AZ9" s="14">
        <v>0.28660363769845798</v>
      </c>
      <c r="BA9" s="14">
        <v>0.19749526128846501</v>
      </c>
    </row>
    <row r="10" spans="2:53" x14ac:dyDescent="0.35">
      <c r="B10" s="15" t="s">
        <v>236</v>
      </c>
      <c r="C10" s="14">
        <v>0.533673033200744</v>
      </c>
      <c r="D10" s="14">
        <v>0.49735163877319</v>
      </c>
      <c r="E10" s="14">
        <v>0.557686145833999</v>
      </c>
      <c r="F10" s="14"/>
      <c r="G10" s="14">
        <v>0</v>
      </c>
      <c r="H10" s="14">
        <v>0.56403110558382896</v>
      </c>
      <c r="I10" s="14">
        <v>0.49640092761500798</v>
      </c>
      <c r="J10" s="14">
        <v>0.553359379133323</v>
      </c>
      <c r="K10" s="14">
        <v>0.78305082390232295</v>
      </c>
      <c r="L10" s="14">
        <v>0</v>
      </c>
      <c r="M10" s="14"/>
      <c r="N10" s="14">
        <v>0.581771048055722</v>
      </c>
      <c r="O10" s="14">
        <v>0.51920096615733502</v>
      </c>
      <c r="P10" s="14">
        <v>0.54543705510884399</v>
      </c>
      <c r="Q10" s="14">
        <v>0.50114591014148202</v>
      </c>
      <c r="R10" s="14"/>
      <c r="S10" s="14">
        <v>0.57187503851035704</v>
      </c>
      <c r="T10" s="14">
        <v>0.492986186177506</v>
      </c>
      <c r="U10" s="14">
        <v>0.68129956001934999</v>
      </c>
      <c r="V10" s="14">
        <v>0.33515349147193801</v>
      </c>
      <c r="W10" s="14">
        <v>0.59720806075189103</v>
      </c>
      <c r="X10" s="14">
        <v>0.51514375574280002</v>
      </c>
      <c r="Y10" s="14">
        <v>0.50693691759051795</v>
      </c>
      <c r="Z10" s="14">
        <v>0.53031291916329104</v>
      </c>
      <c r="AA10" s="14">
        <v>0.53756771001147596</v>
      </c>
      <c r="AB10" s="14"/>
      <c r="AC10" s="14">
        <v>0.43512141194547299</v>
      </c>
      <c r="AD10" s="14">
        <v>0.65334803175640299</v>
      </c>
      <c r="AE10" s="14">
        <v>0.492877683254481</v>
      </c>
      <c r="AF10" s="14">
        <v>0.50367165144856596</v>
      </c>
      <c r="AG10" s="14">
        <v>0.23786956194987299</v>
      </c>
      <c r="AH10" s="14"/>
      <c r="AI10" s="14">
        <v>0.54599714898871998</v>
      </c>
      <c r="AJ10" s="14">
        <v>0.61776051317576597</v>
      </c>
      <c r="AK10" s="14">
        <v>0.59321447417058804</v>
      </c>
      <c r="AL10" s="14">
        <v>0.456691854513263</v>
      </c>
      <c r="AM10" s="14">
        <v>0.46110799202448199</v>
      </c>
      <c r="AN10" s="14">
        <v>0.50132649606193802</v>
      </c>
      <c r="AO10" s="14"/>
      <c r="AP10" s="14">
        <v>0.54323878022084704</v>
      </c>
      <c r="AQ10" s="14">
        <v>0.52181939538170496</v>
      </c>
      <c r="AR10" s="14"/>
      <c r="AS10" s="14" t="s">
        <v>88</v>
      </c>
      <c r="AT10" s="14">
        <v>0.533673033200744</v>
      </c>
      <c r="AU10" s="14" t="s">
        <v>88</v>
      </c>
      <c r="AV10" s="14"/>
      <c r="AW10" s="14">
        <v>0.53603587219704496</v>
      </c>
      <c r="AX10" s="14">
        <v>0.51327225655409203</v>
      </c>
      <c r="AY10" s="14"/>
      <c r="AZ10" s="14">
        <v>0.53761304600727899</v>
      </c>
      <c r="BA10" s="14">
        <v>0.520986971172821</v>
      </c>
    </row>
    <row r="11" spans="2:53" x14ac:dyDescent="0.35">
      <c r="B11" s="15" t="s">
        <v>237</v>
      </c>
      <c r="C11" s="14">
        <v>0.17075972127769001</v>
      </c>
      <c r="D11" s="14">
        <v>0.138629879363136</v>
      </c>
      <c r="E11" s="14">
        <v>0.192001678667893</v>
      </c>
      <c r="F11" s="14"/>
      <c r="G11" s="14">
        <v>1</v>
      </c>
      <c r="H11" s="14">
        <v>0.169379324690656</v>
      </c>
      <c r="I11" s="14">
        <v>0.13760041066835199</v>
      </c>
      <c r="J11" s="14">
        <v>0.25567626023128398</v>
      </c>
      <c r="K11" s="14">
        <v>9.1593248395106394E-2</v>
      </c>
      <c r="L11" s="14">
        <v>0</v>
      </c>
      <c r="M11" s="14"/>
      <c r="N11" s="14">
        <v>7.8282656895258707E-2</v>
      </c>
      <c r="O11" s="14">
        <v>0.154619870991963</v>
      </c>
      <c r="P11" s="14">
        <v>0.27580322261073398</v>
      </c>
      <c r="Q11" s="14">
        <v>0.21689025967797301</v>
      </c>
      <c r="R11" s="14"/>
      <c r="S11" s="14">
        <v>7.0885143914904594E-2</v>
      </c>
      <c r="T11" s="14">
        <v>0.15934344676435</v>
      </c>
      <c r="U11" s="14">
        <v>9.6514140039718505E-2</v>
      </c>
      <c r="V11" s="14">
        <v>0.21575242554461699</v>
      </c>
      <c r="W11" s="14">
        <v>0.22822916878676</v>
      </c>
      <c r="X11" s="14">
        <v>0.35735465713300602</v>
      </c>
      <c r="Y11" s="14">
        <v>0.17683083459812299</v>
      </c>
      <c r="Z11" s="14">
        <v>0.180459395185981</v>
      </c>
      <c r="AA11" s="14">
        <v>0.15429625979536801</v>
      </c>
      <c r="AB11" s="14"/>
      <c r="AC11" s="14">
        <v>0.28625153002074499</v>
      </c>
      <c r="AD11" s="14">
        <v>0.15016739118466199</v>
      </c>
      <c r="AE11" s="14">
        <v>0.20124975491809299</v>
      </c>
      <c r="AF11" s="14">
        <v>7.5777445358289494E-2</v>
      </c>
      <c r="AG11" s="14">
        <v>0</v>
      </c>
      <c r="AH11" s="14"/>
      <c r="AI11" s="14">
        <v>0.123895681123368</v>
      </c>
      <c r="AJ11" s="14">
        <v>0.101399780060897</v>
      </c>
      <c r="AK11" s="14">
        <v>7.2430373438352694E-2</v>
      </c>
      <c r="AL11" s="14">
        <v>0.20212847701665501</v>
      </c>
      <c r="AM11" s="14">
        <v>0.35324395324441099</v>
      </c>
      <c r="AN11" s="14">
        <v>0.18834556875858599</v>
      </c>
      <c r="AO11" s="14"/>
      <c r="AP11" s="14">
        <v>0.18013233257608699</v>
      </c>
      <c r="AQ11" s="14">
        <v>0.159145412482323</v>
      </c>
      <c r="AR11" s="14"/>
      <c r="AS11" s="14" t="s">
        <v>88</v>
      </c>
      <c r="AT11" s="14">
        <v>0.17075972127769001</v>
      </c>
      <c r="AU11" s="14" t="s">
        <v>88</v>
      </c>
      <c r="AV11" s="14"/>
      <c r="AW11" s="14">
        <v>0.20214756575250301</v>
      </c>
      <c r="AX11" s="14">
        <v>5.0359269446752501E-2</v>
      </c>
      <c r="AY11" s="14"/>
      <c r="AZ11" s="14">
        <v>0.14303077133119599</v>
      </c>
      <c r="BA11" s="14">
        <v>0.26004145620172903</v>
      </c>
    </row>
    <row r="12" spans="2:53" x14ac:dyDescent="0.35">
      <c r="B12" s="15" t="s">
        <v>238</v>
      </c>
      <c r="C12" s="14">
        <v>1.7021079854150099E-2</v>
      </c>
      <c r="D12" s="14">
        <v>2.2275096257253699E-2</v>
      </c>
      <c r="E12" s="14">
        <v>1.35474993473129E-2</v>
      </c>
      <c r="F12" s="14"/>
      <c r="G12" s="14">
        <v>0</v>
      </c>
      <c r="H12" s="14">
        <v>3.1950167508954602E-2</v>
      </c>
      <c r="I12" s="14">
        <v>1.6664124369157499E-2</v>
      </c>
      <c r="J12" s="14">
        <v>0</v>
      </c>
      <c r="K12" s="14">
        <v>0</v>
      </c>
      <c r="L12" s="14">
        <v>0</v>
      </c>
      <c r="M12" s="14"/>
      <c r="N12" s="14">
        <v>1.32313778317608E-2</v>
      </c>
      <c r="O12" s="14">
        <v>2.75494685968335E-2</v>
      </c>
      <c r="P12" s="14">
        <v>0</v>
      </c>
      <c r="Q12" s="14">
        <v>1.7118070438621701E-2</v>
      </c>
      <c r="R12" s="14"/>
      <c r="S12" s="14">
        <v>0</v>
      </c>
      <c r="T12" s="14">
        <v>5.9090782471581102E-2</v>
      </c>
      <c r="U12" s="14">
        <v>0</v>
      </c>
      <c r="V12" s="14">
        <v>0</v>
      </c>
      <c r="W12" s="14">
        <v>3.9159447566188797E-2</v>
      </c>
      <c r="X12" s="14">
        <v>3.3852169578750098E-2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3.5418579536123297E-2</v>
      </c>
      <c r="AF12" s="14">
        <v>0</v>
      </c>
      <c r="AG12" s="14">
        <v>0</v>
      </c>
      <c r="AH12" s="14"/>
      <c r="AI12" s="14">
        <v>1.48075331492717E-2</v>
      </c>
      <c r="AJ12" s="14">
        <v>1.99697492352615E-2</v>
      </c>
      <c r="AK12" s="14">
        <v>4.9125560278129803E-2</v>
      </c>
      <c r="AL12" s="14">
        <v>0</v>
      </c>
      <c r="AM12" s="14">
        <v>0</v>
      </c>
      <c r="AN12" s="14">
        <v>0</v>
      </c>
      <c r="AO12" s="14"/>
      <c r="AP12" s="14">
        <v>1.6019819513722899E-2</v>
      </c>
      <c r="AQ12" s="14">
        <v>1.82618169772467E-2</v>
      </c>
      <c r="AR12" s="14"/>
      <c r="AS12" s="14" t="s">
        <v>88</v>
      </c>
      <c r="AT12" s="14">
        <v>1.7021079854150099E-2</v>
      </c>
      <c r="AU12" s="14" t="s">
        <v>88</v>
      </c>
      <c r="AV12" s="14"/>
      <c r="AW12" s="14">
        <v>2.1147479807347099E-2</v>
      </c>
      <c r="AX12" s="14">
        <v>0</v>
      </c>
      <c r="AY12" s="14"/>
      <c r="AZ12" s="14">
        <v>2.23074541804619E-2</v>
      </c>
      <c r="BA12" s="14">
        <v>0</v>
      </c>
    </row>
    <row r="13" spans="2:53" x14ac:dyDescent="0.35">
      <c r="B13" s="15" t="s">
        <v>116</v>
      </c>
      <c r="C13" s="23">
        <v>1.30592466004225E-2</v>
      </c>
      <c r="D13" s="23">
        <v>0</v>
      </c>
      <c r="E13" s="23">
        <v>2.1693088017135799E-2</v>
      </c>
      <c r="F13" s="23"/>
      <c r="G13" s="23">
        <v>0</v>
      </c>
      <c r="H13" s="23">
        <v>1.1193657134274599E-2</v>
      </c>
      <c r="I13" s="23">
        <v>2.0559333536422999E-2</v>
      </c>
      <c r="J13" s="23">
        <v>0</v>
      </c>
      <c r="K13" s="23">
        <v>0</v>
      </c>
      <c r="L13" s="23">
        <v>0</v>
      </c>
      <c r="M13" s="23"/>
      <c r="N13" s="23">
        <v>0</v>
      </c>
      <c r="O13" s="23">
        <v>9.6518838474943906E-3</v>
      </c>
      <c r="P13" s="23">
        <v>3.2588596265132698E-2</v>
      </c>
      <c r="Q13" s="23">
        <v>1.83935816494094E-2</v>
      </c>
      <c r="R13" s="23"/>
      <c r="S13" s="23">
        <v>0</v>
      </c>
      <c r="T13" s="23">
        <v>2.76405035699369E-2</v>
      </c>
      <c r="U13" s="23">
        <v>0</v>
      </c>
      <c r="V13" s="23">
        <v>6.6084872752268695E-2</v>
      </c>
      <c r="W13" s="23">
        <v>0</v>
      </c>
      <c r="X13" s="23">
        <v>0</v>
      </c>
      <c r="Y13" s="23">
        <v>0</v>
      </c>
      <c r="Z13" s="23">
        <v>0</v>
      </c>
      <c r="AA13" s="23">
        <v>2.24586217632009E-2</v>
      </c>
      <c r="AB13" s="23"/>
      <c r="AC13" s="23">
        <v>3.5242473492627102E-2</v>
      </c>
      <c r="AD13" s="23">
        <v>2.1401237137062001E-2</v>
      </c>
      <c r="AE13" s="23">
        <v>1.08226302364104E-2</v>
      </c>
      <c r="AF13" s="23">
        <v>0</v>
      </c>
      <c r="AG13" s="23">
        <v>0</v>
      </c>
      <c r="AH13" s="23"/>
      <c r="AI13" s="23">
        <v>8.3726030133259109E-3</v>
      </c>
      <c r="AJ13" s="23">
        <v>0</v>
      </c>
      <c r="AK13" s="23">
        <v>0</v>
      </c>
      <c r="AL13" s="23">
        <v>3.8507641233578499E-2</v>
      </c>
      <c r="AM13" s="23">
        <v>0</v>
      </c>
      <c r="AN13" s="23">
        <v>6.4937492834426694E-2</v>
      </c>
      <c r="AO13" s="23"/>
      <c r="AP13" s="23">
        <v>1.4886912347449099E-2</v>
      </c>
      <c r="AQ13" s="23">
        <v>1.0794448276361701E-2</v>
      </c>
      <c r="AR13" s="23"/>
      <c r="AS13" s="23" t="s">
        <v>88</v>
      </c>
      <c r="AT13" s="23">
        <v>1.30592466004225E-2</v>
      </c>
      <c r="AU13" s="23" t="s">
        <v>88</v>
      </c>
      <c r="AV13" s="23"/>
      <c r="AW13" s="23">
        <v>1.62251840745735E-2</v>
      </c>
      <c r="AX13" s="23">
        <v>0</v>
      </c>
      <c r="AY13" s="23"/>
      <c r="AZ13" s="23">
        <v>1.04450907826047E-2</v>
      </c>
      <c r="BA13" s="23">
        <v>2.1476311336984698E-2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B2:BA19"/>
  <sheetViews>
    <sheetView showGridLines="0" workbookViewId="0">
      <pane xSplit="2" topLeftCell="C1" activePane="topRight" state="frozen"/>
      <selection pane="topRight" activeCell="B11" sqref="B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268</v>
      </c>
      <c r="D7" s="10">
        <v>87</v>
      </c>
      <c r="E7" s="10">
        <v>181</v>
      </c>
      <c r="F7" s="10"/>
      <c r="G7" s="10">
        <v>1</v>
      </c>
      <c r="H7" s="10">
        <v>76</v>
      </c>
      <c r="I7" s="10">
        <v>132</v>
      </c>
      <c r="J7" s="10">
        <v>49</v>
      </c>
      <c r="K7" s="10">
        <v>9</v>
      </c>
      <c r="L7" s="10">
        <v>1</v>
      </c>
      <c r="M7" s="10"/>
      <c r="N7" s="10">
        <v>104</v>
      </c>
      <c r="O7" s="10">
        <v>82</v>
      </c>
      <c r="P7" s="10">
        <v>30</v>
      </c>
      <c r="Q7" s="10">
        <v>52</v>
      </c>
      <c r="R7" s="10"/>
      <c r="S7" s="10">
        <v>53</v>
      </c>
      <c r="T7" s="10">
        <v>45</v>
      </c>
      <c r="U7" s="10">
        <v>21</v>
      </c>
      <c r="V7" s="10">
        <v>16</v>
      </c>
      <c r="W7" s="10">
        <v>23</v>
      </c>
      <c r="X7" s="10">
        <v>30</v>
      </c>
      <c r="Y7" s="10">
        <v>31</v>
      </c>
      <c r="Z7" s="10">
        <v>12</v>
      </c>
      <c r="AA7" s="10">
        <v>37</v>
      </c>
      <c r="AB7" s="10"/>
      <c r="AC7" s="10">
        <v>27</v>
      </c>
      <c r="AD7" s="10">
        <v>59</v>
      </c>
      <c r="AE7" s="10">
        <v>84</v>
      </c>
      <c r="AF7" s="10">
        <v>61</v>
      </c>
      <c r="AG7" s="10">
        <v>8</v>
      </c>
      <c r="AH7" s="10"/>
      <c r="AI7" s="10">
        <v>96</v>
      </c>
      <c r="AJ7" s="10">
        <v>52</v>
      </c>
      <c r="AK7" s="10">
        <v>21</v>
      </c>
      <c r="AL7" s="10">
        <v>34</v>
      </c>
      <c r="AM7" s="10">
        <v>14</v>
      </c>
      <c r="AN7" s="10">
        <v>20</v>
      </c>
      <c r="AO7" s="10"/>
      <c r="AP7" s="10">
        <v>142</v>
      </c>
      <c r="AQ7" s="10">
        <v>126</v>
      </c>
      <c r="AR7" s="10"/>
      <c r="AS7" s="10" t="s">
        <v>87</v>
      </c>
      <c r="AT7" s="10">
        <v>268</v>
      </c>
      <c r="AU7" s="10" t="s">
        <v>87</v>
      </c>
      <c r="AV7" s="10"/>
      <c r="AW7" s="10">
        <v>204</v>
      </c>
      <c r="AX7" s="10">
        <v>55</v>
      </c>
      <c r="AY7" s="10"/>
      <c r="AZ7" s="10">
        <v>208</v>
      </c>
      <c r="BA7" s="10">
        <v>60</v>
      </c>
    </row>
    <row r="8" spans="2:53" ht="30" customHeight="1" x14ac:dyDescent="0.35">
      <c r="B8" s="11" t="s">
        <v>19</v>
      </c>
      <c r="C8" s="11">
        <v>259</v>
      </c>
      <c r="D8" s="11">
        <v>103</v>
      </c>
      <c r="E8" s="11">
        <v>156</v>
      </c>
      <c r="F8" s="11"/>
      <c r="G8" s="11">
        <v>2</v>
      </c>
      <c r="H8" s="11">
        <v>73</v>
      </c>
      <c r="I8" s="11">
        <v>125</v>
      </c>
      <c r="J8" s="11">
        <v>45</v>
      </c>
      <c r="K8" s="11">
        <v>13</v>
      </c>
      <c r="L8" s="11">
        <v>1</v>
      </c>
      <c r="M8" s="11"/>
      <c r="N8" s="11">
        <v>65</v>
      </c>
      <c r="O8" s="11">
        <v>85</v>
      </c>
      <c r="P8" s="11">
        <v>38</v>
      </c>
      <c r="Q8" s="11">
        <v>72</v>
      </c>
      <c r="R8" s="11"/>
      <c r="S8" s="11">
        <v>41</v>
      </c>
      <c r="T8" s="11">
        <v>45</v>
      </c>
      <c r="U8" s="11">
        <v>27</v>
      </c>
      <c r="V8" s="11">
        <v>20</v>
      </c>
      <c r="W8" s="11">
        <v>23</v>
      </c>
      <c r="X8" s="11">
        <v>25</v>
      </c>
      <c r="Y8" s="11">
        <v>30</v>
      </c>
      <c r="Z8" s="11">
        <v>12</v>
      </c>
      <c r="AA8" s="11">
        <v>36</v>
      </c>
      <c r="AB8" s="11"/>
      <c r="AC8" s="11">
        <v>35</v>
      </c>
      <c r="AD8" s="11">
        <v>62</v>
      </c>
      <c r="AE8" s="11">
        <v>75</v>
      </c>
      <c r="AF8" s="11">
        <v>52</v>
      </c>
      <c r="AG8" s="11">
        <v>4</v>
      </c>
      <c r="AH8" s="11"/>
      <c r="AI8" s="11">
        <v>98</v>
      </c>
      <c r="AJ8" s="11">
        <v>43</v>
      </c>
      <c r="AK8" s="11">
        <v>18</v>
      </c>
      <c r="AL8" s="11">
        <v>34</v>
      </c>
      <c r="AM8" s="11">
        <v>14</v>
      </c>
      <c r="AN8" s="11">
        <v>19</v>
      </c>
      <c r="AO8" s="11"/>
      <c r="AP8" s="11">
        <v>143</v>
      </c>
      <c r="AQ8" s="11">
        <v>116</v>
      </c>
      <c r="AR8" s="11"/>
      <c r="AS8" s="11" t="s">
        <v>87</v>
      </c>
      <c r="AT8" s="11">
        <v>259</v>
      </c>
      <c r="AU8" s="11" t="s">
        <v>87</v>
      </c>
      <c r="AV8" s="11"/>
      <c r="AW8" s="11">
        <v>209</v>
      </c>
      <c r="AX8" s="11">
        <v>41</v>
      </c>
      <c r="AY8" s="11"/>
      <c r="AZ8" s="11">
        <v>198</v>
      </c>
      <c r="BA8" s="11">
        <v>61</v>
      </c>
    </row>
    <row r="9" spans="2:53" x14ac:dyDescent="0.35">
      <c r="B9" s="15" t="s">
        <v>220</v>
      </c>
      <c r="C9" s="14">
        <v>0.27618555015275698</v>
      </c>
      <c r="D9" s="14">
        <v>0.33221462893989601</v>
      </c>
      <c r="E9" s="14">
        <v>0.23914312375757399</v>
      </c>
      <c r="F9" s="14"/>
      <c r="G9" s="14">
        <v>1</v>
      </c>
      <c r="H9" s="14">
        <v>0.28020453548914298</v>
      </c>
      <c r="I9" s="14">
        <v>0.31398496625414002</v>
      </c>
      <c r="J9" s="14">
        <v>0.145045808348337</v>
      </c>
      <c r="K9" s="14">
        <v>0.25832968021611202</v>
      </c>
      <c r="L9" s="14">
        <v>0</v>
      </c>
      <c r="M9" s="14"/>
      <c r="N9" s="14">
        <v>0.29336556544509101</v>
      </c>
      <c r="O9" s="14">
        <v>0.32202946210250499</v>
      </c>
      <c r="P9" s="14">
        <v>0.14333071611929499</v>
      </c>
      <c r="Q9" s="14">
        <v>0.277687695667446</v>
      </c>
      <c r="R9" s="14"/>
      <c r="S9" s="14">
        <v>0.239594940478007</v>
      </c>
      <c r="T9" s="14">
        <v>0.23808033675229801</v>
      </c>
      <c r="U9" s="14">
        <v>0.215300344540821</v>
      </c>
      <c r="V9" s="14">
        <v>0.418708331373013</v>
      </c>
      <c r="W9" s="14">
        <v>0.40618958156019502</v>
      </c>
      <c r="X9" s="14">
        <v>8.7563292888197003E-2</v>
      </c>
      <c r="Y9" s="14">
        <v>0.29493893326074699</v>
      </c>
      <c r="Z9" s="14">
        <v>0.28922768565072798</v>
      </c>
      <c r="AA9" s="14">
        <v>0.36186373222030399</v>
      </c>
      <c r="AB9" s="14"/>
      <c r="AC9" s="14">
        <v>0.17212881144453701</v>
      </c>
      <c r="AD9" s="14">
        <v>0.21936600417504701</v>
      </c>
      <c r="AE9" s="14">
        <v>0.23681490574297301</v>
      </c>
      <c r="AF9" s="14">
        <v>0.44137639476130902</v>
      </c>
      <c r="AG9" s="14">
        <v>0.71052092621338303</v>
      </c>
      <c r="AH9" s="14"/>
      <c r="AI9" s="14">
        <v>0.35236880147954902</v>
      </c>
      <c r="AJ9" s="14">
        <v>8.0688967117207494E-2</v>
      </c>
      <c r="AK9" s="14">
        <v>0.47242050394798302</v>
      </c>
      <c r="AL9" s="14">
        <v>0.22808652274151001</v>
      </c>
      <c r="AM9" s="14">
        <v>0.36932852152172901</v>
      </c>
      <c r="AN9" s="14">
        <v>0.20990256883588901</v>
      </c>
      <c r="AO9" s="14"/>
      <c r="AP9" s="14">
        <v>0.27115175927812901</v>
      </c>
      <c r="AQ9" s="14">
        <v>0.28242329967291802</v>
      </c>
      <c r="AR9" s="14"/>
      <c r="AS9" s="14" t="s">
        <v>88</v>
      </c>
      <c r="AT9" s="14">
        <v>0.27618555015275698</v>
      </c>
      <c r="AU9" s="14" t="s">
        <v>88</v>
      </c>
      <c r="AV9" s="14"/>
      <c r="AW9" s="14">
        <v>0.24660777434789299</v>
      </c>
      <c r="AX9" s="14">
        <v>0.406362547747951</v>
      </c>
      <c r="AY9" s="14"/>
      <c r="AZ9" s="14">
        <v>0.31225996192134903</v>
      </c>
      <c r="BA9" s="14">
        <v>0.16003307862827501</v>
      </c>
    </row>
    <row r="10" spans="2:53" x14ac:dyDescent="0.35">
      <c r="B10" s="15" t="s">
        <v>221</v>
      </c>
      <c r="C10" s="14">
        <v>0.53471626243222903</v>
      </c>
      <c r="D10" s="14">
        <v>0.51770049491849901</v>
      </c>
      <c r="E10" s="14">
        <v>0.54596587297962795</v>
      </c>
      <c r="F10" s="14"/>
      <c r="G10" s="14">
        <v>0</v>
      </c>
      <c r="H10" s="14">
        <v>0.57251775040388797</v>
      </c>
      <c r="I10" s="14">
        <v>0.46948768356061199</v>
      </c>
      <c r="J10" s="14">
        <v>0.63233947681524805</v>
      </c>
      <c r="K10" s="14">
        <v>0.65007707138878101</v>
      </c>
      <c r="L10" s="14">
        <v>1</v>
      </c>
      <c r="M10" s="14"/>
      <c r="N10" s="14">
        <v>0.53492515679279995</v>
      </c>
      <c r="O10" s="14">
        <v>0.53799639570216895</v>
      </c>
      <c r="P10" s="14">
        <v>0.49118551831812701</v>
      </c>
      <c r="Q10" s="14">
        <v>0.553932794352748</v>
      </c>
      <c r="R10" s="14"/>
      <c r="S10" s="14">
        <v>0.61433524387490901</v>
      </c>
      <c r="T10" s="14">
        <v>0.60854479777117798</v>
      </c>
      <c r="U10" s="14">
        <v>0.62346763298935204</v>
      </c>
      <c r="V10" s="14">
        <v>0.581291668626987</v>
      </c>
      <c r="W10" s="14">
        <v>0.433027795480808</v>
      </c>
      <c r="X10" s="14">
        <v>0.64437264243068104</v>
      </c>
      <c r="Y10" s="14">
        <v>0.47548231992471202</v>
      </c>
      <c r="Z10" s="14">
        <v>0.37499438499507498</v>
      </c>
      <c r="AA10" s="14">
        <v>0.35000593121316798</v>
      </c>
      <c r="AB10" s="14"/>
      <c r="AC10" s="14">
        <v>0.66937991701774902</v>
      </c>
      <c r="AD10" s="14">
        <v>0.575475507360379</v>
      </c>
      <c r="AE10" s="14">
        <v>0.52651397362422703</v>
      </c>
      <c r="AF10" s="14">
        <v>0.45393078744601201</v>
      </c>
      <c r="AG10" s="14">
        <v>0.28947907378661702</v>
      </c>
      <c r="AH10" s="14"/>
      <c r="AI10" s="14">
        <v>0.43402120312266601</v>
      </c>
      <c r="AJ10" s="14">
        <v>0.72121081472545101</v>
      </c>
      <c r="AK10" s="14">
        <v>0.33749295052945499</v>
      </c>
      <c r="AL10" s="14">
        <v>0.674835665773728</v>
      </c>
      <c r="AM10" s="14">
        <v>0.51059437060262503</v>
      </c>
      <c r="AN10" s="14">
        <v>0.70993440967975197</v>
      </c>
      <c r="AO10" s="14"/>
      <c r="AP10" s="14">
        <v>0.54274937944036505</v>
      </c>
      <c r="AQ10" s="14">
        <v>0.52476182192985099</v>
      </c>
      <c r="AR10" s="14"/>
      <c r="AS10" s="14" t="s">
        <v>88</v>
      </c>
      <c r="AT10" s="14">
        <v>0.53471626243222903</v>
      </c>
      <c r="AU10" s="14" t="s">
        <v>88</v>
      </c>
      <c r="AV10" s="14"/>
      <c r="AW10" s="14">
        <v>0.54616007429972202</v>
      </c>
      <c r="AX10" s="14">
        <v>0.45422621665116902</v>
      </c>
      <c r="AY10" s="14"/>
      <c r="AZ10" s="14">
        <v>0.54763434891395302</v>
      </c>
      <c r="BA10" s="14">
        <v>0.49312257874739301</v>
      </c>
    </row>
    <row r="11" spans="2:53" x14ac:dyDescent="0.35">
      <c r="B11" s="15" t="s">
        <v>222</v>
      </c>
      <c r="C11" s="14">
        <v>0.144165633604774</v>
      </c>
      <c r="D11" s="14">
        <v>0.12759233893322</v>
      </c>
      <c r="E11" s="14">
        <v>0.155122712701667</v>
      </c>
      <c r="F11" s="14"/>
      <c r="G11" s="14">
        <v>0</v>
      </c>
      <c r="H11" s="14">
        <v>8.7937786510492499E-2</v>
      </c>
      <c r="I11" s="14">
        <v>0.17121642734099701</v>
      </c>
      <c r="J11" s="14">
        <v>0.18577486769857299</v>
      </c>
      <c r="K11" s="14">
        <v>9.1593248395106394E-2</v>
      </c>
      <c r="L11" s="14">
        <v>0</v>
      </c>
      <c r="M11" s="14"/>
      <c r="N11" s="14">
        <v>8.9489908853296093E-2</v>
      </c>
      <c r="O11" s="14">
        <v>0.109449840617504</v>
      </c>
      <c r="P11" s="14">
        <v>0.332895181288762</v>
      </c>
      <c r="Q11" s="14">
        <v>0.13342735116832999</v>
      </c>
      <c r="R11" s="14"/>
      <c r="S11" s="14">
        <v>0.12239740403763601</v>
      </c>
      <c r="T11" s="14">
        <v>4.1755462410908099E-2</v>
      </c>
      <c r="U11" s="14">
        <v>0.16123202246982701</v>
      </c>
      <c r="V11" s="14">
        <v>0</v>
      </c>
      <c r="W11" s="14">
        <v>0.16078262295899601</v>
      </c>
      <c r="X11" s="14">
        <v>0.247367650823904</v>
      </c>
      <c r="Y11" s="14">
        <v>0.21134862866687601</v>
      </c>
      <c r="Z11" s="14">
        <v>0.33577792935419698</v>
      </c>
      <c r="AA11" s="14">
        <v>0.16270375287748901</v>
      </c>
      <c r="AB11" s="14"/>
      <c r="AC11" s="14">
        <v>0.14375940768241199</v>
      </c>
      <c r="AD11" s="14">
        <v>0.127044033154178</v>
      </c>
      <c r="AE11" s="14">
        <v>0.19577001753149301</v>
      </c>
      <c r="AF11" s="14">
        <v>5.9286165846359401E-2</v>
      </c>
      <c r="AG11" s="14">
        <v>0</v>
      </c>
      <c r="AH11" s="14"/>
      <c r="AI11" s="14">
        <v>0.18210337649948599</v>
      </c>
      <c r="AJ11" s="14">
        <v>0.12051319058934599</v>
      </c>
      <c r="AK11" s="14">
        <v>9.6123599753644498E-2</v>
      </c>
      <c r="AL11" s="14">
        <v>9.7077811484762799E-2</v>
      </c>
      <c r="AM11" s="14">
        <v>0.120077107875646</v>
      </c>
      <c r="AN11" s="14">
        <v>0</v>
      </c>
      <c r="AO11" s="14"/>
      <c r="AP11" s="14">
        <v>0.13019624490453</v>
      </c>
      <c r="AQ11" s="14">
        <v>0.16147615560144499</v>
      </c>
      <c r="AR11" s="14"/>
      <c r="AS11" s="14" t="s">
        <v>88</v>
      </c>
      <c r="AT11" s="14">
        <v>0.144165633604774</v>
      </c>
      <c r="AU11" s="14" t="s">
        <v>88</v>
      </c>
      <c r="AV11" s="14"/>
      <c r="AW11" s="14">
        <v>0.15856236499457901</v>
      </c>
      <c r="AX11" s="14">
        <v>0.103408819367639</v>
      </c>
      <c r="AY11" s="14"/>
      <c r="AZ11" s="14">
        <v>0.101197930227269</v>
      </c>
      <c r="BA11" s="14">
        <v>0.28251314083629497</v>
      </c>
    </row>
    <row r="12" spans="2:53" x14ac:dyDescent="0.35">
      <c r="B12" s="15" t="s">
        <v>223</v>
      </c>
      <c r="C12" s="14">
        <v>7.3667254377752997E-3</v>
      </c>
      <c r="D12" s="14">
        <v>0</v>
      </c>
      <c r="E12" s="14">
        <v>1.22370783100583E-2</v>
      </c>
      <c r="F12" s="14"/>
      <c r="G12" s="14">
        <v>0</v>
      </c>
      <c r="H12" s="14">
        <v>0</v>
      </c>
      <c r="I12" s="14">
        <v>1.00009573314423E-2</v>
      </c>
      <c r="J12" s="14">
        <v>1.4661297425829301E-2</v>
      </c>
      <c r="K12" s="14">
        <v>0</v>
      </c>
      <c r="L12" s="14">
        <v>0</v>
      </c>
      <c r="M12" s="14"/>
      <c r="N12" s="14">
        <v>1.02204213047873E-2</v>
      </c>
      <c r="O12" s="14">
        <v>0</v>
      </c>
      <c r="P12" s="14">
        <v>3.2588584273816099E-2</v>
      </c>
      <c r="Q12" s="14">
        <v>0</v>
      </c>
      <c r="R12" s="14"/>
      <c r="S12" s="14">
        <v>0</v>
      </c>
      <c r="T12" s="14">
        <v>4.2238461181889203E-2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2.0271387369654201E-2</v>
      </c>
      <c r="AE12" s="14">
        <v>8.7499143072144094E-3</v>
      </c>
      <c r="AF12" s="14">
        <v>0</v>
      </c>
      <c r="AG12" s="14">
        <v>0</v>
      </c>
      <c r="AH12" s="14"/>
      <c r="AI12" s="14">
        <v>0</v>
      </c>
      <c r="AJ12" s="14">
        <v>2.9207186855001298E-2</v>
      </c>
      <c r="AK12" s="14">
        <v>0</v>
      </c>
      <c r="AL12" s="14">
        <v>0</v>
      </c>
      <c r="AM12" s="14">
        <v>0</v>
      </c>
      <c r="AN12" s="14">
        <v>3.42958812555288E-2</v>
      </c>
      <c r="AO12" s="14"/>
      <c r="AP12" s="14">
        <v>0</v>
      </c>
      <c r="AQ12" s="14">
        <v>1.64953899391658E-2</v>
      </c>
      <c r="AR12" s="14"/>
      <c r="AS12" s="14" t="s">
        <v>88</v>
      </c>
      <c r="AT12" s="14">
        <v>7.3667254377752997E-3</v>
      </c>
      <c r="AU12" s="14" t="s">
        <v>88</v>
      </c>
      <c r="AV12" s="14"/>
      <c r="AW12" s="14">
        <v>9.1526318410191307E-3</v>
      </c>
      <c r="AX12" s="14">
        <v>0</v>
      </c>
      <c r="AY12" s="14"/>
      <c r="AZ12" s="14">
        <v>0</v>
      </c>
      <c r="BA12" s="14">
        <v>3.10861244436067E-2</v>
      </c>
    </row>
    <row r="13" spans="2:53" x14ac:dyDescent="0.35">
      <c r="B13" s="15" t="s">
        <v>116</v>
      </c>
      <c r="C13" s="18">
        <v>5.2677891964666504E-3</v>
      </c>
      <c r="D13" s="18">
        <v>0</v>
      </c>
      <c r="E13" s="18">
        <v>8.7504752908924496E-3</v>
      </c>
      <c r="F13" s="18"/>
      <c r="G13" s="18">
        <v>0</v>
      </c>
      <c r="H13" s="18">
        <v>1.1193657134274599E-2</v>
      </c>
      <c r="I13" s="18">
        <v>4.39536159447844E-3</v>
      </c>
      <c r="J13" s="18">
        <v>0</v>
      </c>
      <c r="K13" s="18">
        <v>0</v>
      </c>
      <c r="L13" s="18">
        <v>0</v>
      </c>
      <c r="M13" s="18"/>
      <c r="N13" s="18">
        <v>8.5050177371692806E-3</v>
      </c>
      <c r="O13" s="18">
        <v>9.6518838474943906E-3</v>
      </c>
      <c r="P13" s="18">
        <v>0</v>
      </c>
      <c r="Q13" s="18">
        <v>0</v>
      </c>
      <c r="R13" s="18"/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1.8230118147664998E-2</v>
      </c>
      <c r="Z13" s="18">
        <v>0</v>
      </c>
      <c r="AA13" s="18">
        <v>2.24586217632009E-2</v>
      </c>
      <c r="AB13" s="18"/>
      <c r="AC13" s="18">
        <v>0</v>
      </c>
      <c r="AD13" s="18">
        <v>8.9091548497311802E-3</v>
      </c>
      <c r="AE13" s="18">
        <v>1.08226302364104E-2</v>
      </c>
      <c r="AF13" s="18">
        <v>0</v>
      </c>
      <c r="AG13" s="18">
        <v>0</v>
      </c>
      <c r="AH13" s="18"/>
      <c r="AI13" s="18">
        <v>8.3726030133259109E-3</v>
      </c>
      <c r="AJ13" s="18">
        <v>1.28363858709429E-2</v>
      </c>
      <c r="AK13" s="18">
        <v>0</v>
      </c>
      <c r="AL13" s="18">
        <v>0</v>
      </c>
      <c r="AM13" s="18">
        <v>0</v>
      </c>
      <c r="AN13" s="18">
        <v>0</v>
      </c>
      <c r="AO13" s="18"/>
      <c r="AP13" s="18">
        <v>5.69040474856807E-3</v>
      </c>
      <c r="AQ13" s="18">
        <v>4.7440944258673396E-3</v>
      </c>
      <c r="AR13" s="18"/>
      <c r="AS13" s="18" t="s">
        <v>88</v>
      </c>
      <c r="AT13" s="18">
        <v>5.2677891964666504E-3</v>
      </c>
      <c r="AU13" s="18" t="s">
        <v>88</v>
      </c>
      <c r="AV13" s="18"/>
      <c r="AW13" s="18">
        <v>6.54485300675432E-3</v>
      </c>
      <c r="AX13" s="18">
        <v>0</v>
      </c>
      <c r="AY13" s="18"/>
      <c r="AZ13" s="18">
        <v>4.1271544163677901E-3</v>
      </c>
      <c r="BA13" s="18">
        <v>8.9404076071324095E-3</v>
      </c>
    </row>
    <row r="14" spans="2:53" x14ac:dyDescent="0.35">
      <c r="B14" s="15" t="s">
        <v>224</v>
      </c>
      <c r="C14" s="18">
        <v>0.81090181258498595</v>
      </c>
      <c r="D14" s="18">
        <v>0.84991512385839596</v>
      </c>
      <c r="E14" s="18">
        <v>0.78510899673720203</v>
      </c>
      <c r="F14" s="18"/>
      <c r="G14" s="18">
        <v>1</v>
      </c>
      <c r="H14" s="18">
        <v>0.85272228589303101</v>
      </c>
      <c r="I14" s="18">
        <v>0.78347264981475295</v>
      </c>
      <c r="J14" s="18">
        <v>0.77738528516358496</v>
      </c>
      <c r="K14" s="18">
        <v>0.90840675160489404</v>
      </c>
      <c r="L14" s="18">
        <v>1</v>
      </c>
      <c r="M14" s="18"/>
      <c r="N14" s="18">
        <v>0.82829072223789002</v>
      </c>
      <c r="O14" s="18">
        <v>0.860025857804674</v>
      </c>
      <c r="P14" s="18">
        <v>0.634516234437422</v>
      </c>
      <c r="Q14" s="18">
        <v>0.831620490020194</v>
      </c>
      <c r="R14" s="18"/>
      <c r="S14" s="18">
        <v>0.85393018435291601</v>
      </c>
      <c r="T14" s="18">
        <v>0.84662513452347599</v>
      </c>
      <c r="U14" s="18">
        <v>0.83876797753017296</v>
      </c>
      <c r="V14" s="18">
        <v>1</v>
      </c>
      <c r="W14" s="18">
        <v>0.83921737704100396</v>
      </c>
      <c r="X14" s="18">
        <v>0.73193593531887802</v>
      </c>
      <c r="Y14" s="18">
        <v>0.77042125318545895</v>
      </c>
      <c r="Z14" s="18">
        <v>0.66422207064580296</v>
      </c>
      <c r="AA14" s="18">
        <v>0.71186966343347202</v>
      </c>
      <c r="AB14" s="18"/>
      <c r="AC14" s="18">
        <v>0.84150872846228597</v>
      </c>
      <c r="AD14" s="18">
        <v>0.79484151153542604</v>
      </c>
      <c r="AE14" s="18">
        <v>0.76332887936719995</v>
      </c>
      <c r="AF14" s="18">
        <v>0.89530718220731997</v>
      </c>
      <c r="AG14" s="18">
        <v>1</v>
      </c>
      <c r="AH14" s="18"/>
      <c r="AI14" s="18">
        <v>0.78639000460221498</v>
      </c>
      <c r="AJ14" s="18">
        <v>0.80189978184265798</v>
      </c>
      <c r="AK14" s="18">
        <v>0.80991345447743801</v>
      </c>
      <c r="AL14" s="18">
        <v>0.90292218851523698</v>
      </c>
      <c r="AM14" s="18">
        <v>0.87992289212435404</v>
      </c>
      <c r="AN14" s="18">
        <v>0.91983697851564095</v>
      </c>
      <c r="AO14" s="18"/>
      <c r="AP14" s="18">
        <v>0.81390113871849401</v>
      </c>
      <c r="AQ14" s="18">
        <v>0.80718512160276901</v>
      </c>
      <c r="AR14" s="18"/>
      <c r="AS14" s="18" t="s">
        <v>88</v>
      </c>
      <c r="AT14" s="18">
        <v>0.81090181258498595</v>
      </c>
      <c r="AU14" s="18" t="s">
        <v>88</v>
      </c>
      <c r="AV14" s="18"/>
      <c r="AW14" s="18">
        <v>0.79276784864761496</v>
      </c>
      <c r="AX14" s="18">
        <v>0.86058876439912002</v>
      </c>
      <c r="AY14" s="18"/>
      <c r="AZ14" s="18">
        <v>0.85989431083530199</v>
      </c>
      <c r="BA14" s="18">
        <v>0.65315565737566805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B2:BA16"/>
  <sheetViews>
    <sheetView showGridLines="0" workbookViewId="0">
      <pane xSplit="2" topLeftCell="C1" activePane="topRight" state="frozen"/>
      <selection pane="topRight" activeCell="B9" sqref="B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383</v>
      </c>
      <c r="D7" s="10">
        <v>141</v>
      </c>
      <c r="E7" s="10">
        <v>242</v>
      </c>
      <c r="F7" s="10"/>
      <c r="G7" s="10">
        <v>1</v>
      </c>
      <c r="H7" s="10">
        <v>103</v>
      </c>
      <c r="I7" s="10">
        <v>197</v>
      </c>
      <c r="J7" s="10">
        <v>70</v>
      </c>
      <c r="K7" s="10">
        <v>10</v>
      </c>
      <c r="L7" s="10">
        <v>2</v>
      </c>
      <c r="M7" s="10"/>
      <c r="N7" s="10">
        <v>138</v>
      </c>
      <c r="O7" s="10">
        <v>111</v>
      </c>
      <c r="P7" s="10">
        <v>55</v>
      </c>
      <c r="Q7" s="10">
        <v>78</v>
      </c>
      <c r="R7" s="10"/>
      <c r="S7" s="10">
        <v>69</v>
      </c>
      <c r="T7" s="10">
        <v>61</v>
      </c>
      <c r="U7" s="10">
        <v>28</v>
      </c>
      <c r="V7" s="10">
        <v>26</v>
      </c>
      <c r="W7" s="10">
        <v>35</v>
      </c>
      <c r="X7" s="10">
        <v>49</v>
      </c>
      <c r="Y7" s="10">
        <v>42</v>
      </c>
      <c r="Z7" s="10">
        <v>16</v>
      </c>
      <c r="AA7" s="10">
        <v>57</v>
      </c>
      <c r="AB7" s="10"/>
      <c r="AC7" s="10">
        <v>46</v>
      </c>
      <c r="AD7" s="10">
        <v>81</v>
      </c>
      <c r="AE7" s="10">
        <v>122</v>
      </c>
      <c r="AF7" s="10">
        <v>82</v>
      </c>
      <c r="AG7" s="10">
        <v>9</v>
      </c>
      <c r="AH7" s="10"/>
      <c r="AI7" s="10">
        <v>138</v>
      </c>
      <c r="AJ7" s="10">
        <v>73</v>
      </c>
      <c r="AK7" s="10">
        <v>29</v>
      </c>
      <c r="AL7" s="10">
        <v>53</v>
      </c>
      <c r="AM7" s="10">
        <v>20</v>
      </c>
      <c r="AN7" s="10">
        <v>27</v>
      </c>
      <c r="AO7" s="10"/>
      <c r="AP7" s="10">
        <v>209</v>
      </c>
      <c r="AQ7" s="10">
        <v>174</v>
      </c>
      <c r="AR7" s="10"/>
      <c r="AS7" s="10" t="s">
        <v>87</v>
      </c>
      <c r="AT7" s="10">
        <v>383</v>
      </c>
      <c r="AU7" s="10" t="s">
        <v>87</v>
      </c>
      <c r="AV7" s="10"/>
      <c r="AW7" s="10">
        <v>294</v>
      </c>
      <c r="AX7" s="10">
        <v>72</v>
      </c>
      <c r="AY7" s="10"/>
      <c r="AZ7" s="10">
        <v>295</v>
      </c>
      <c r="BA7" s="10">
        <v>85</v>
      </c>
    </row>
    <row r="8" spans="2:53" ht="30" customHeight="1" x14ac:dyDescent="0.35">
      <c r="B8" s="11" t="s">
        <v>19</v>
      </c>
      <c r="C8" s="11">
        <v>390</v>
      </c>
      <c r="D8" s="11">
        <v>177</v>
      </c>
      <c r="E8" s="11">
        <v>213</v>
      </c>
      <c r="F8" s="11"/>
      <c r="G8" s="11">
        <v>2</v>
      </c>
      <c r="H8" s="11">
        <v>104</v>
      </c>
      <c r="I8" s="11">
        <v>198</v>
      </c>
      <c r="J8" s="11">
        <v>69</v>
      </c>
      <c r="K8" s="11">
        <v>14</v>
      </c>
      <c r="L8" s="11">
        <v>3</v>
      </c>
      <c r="M8" s="11"/>
      <c r="N8" s="11">
        <v>88</v>
      </c>
      <c r="O8" s="11">
        <v>116</v>
      </c>
      <c r="P8" s="11">
        <v>75</v>
      </c>
      <c r="Q8" s="11">
        <v>111</v>
      </c>
      <c r="R8" s="11"/>
      <c r="S8" s="11">
        <v>59</v>
      </c>
      <c r="T8" s="11">
        <v>65</v>
      </c>
      <c r="U8" s="11">
        <v>34</v>
      </c>
      <c r="V8" s="11">
        <v>32</v>
      </c>
      <c r="W8" s="11">
        <v>37</v>
      </c>
      <c r="X8" s="11">
        <v>49</v>
      </c>
      <c r="Y8" s="11">
        <v>40</v>
      </c>
      <c r="Z8" s="11">
        <v>15</v>
      </c>
      <c r="AA8" s="11">
        <v>58</v>
      </c>
      <c r="AB8" s="11"/>
      <c r="AC8" s="11">
        <v>63</v>
      </c>
      <c r="AD8" s="11">
        <v>88</v>
      </c>
      <c r="AE8" s="11">
        <v>114</v>
      </c>
      <c r="AF8" s="11">
        <v>72</v>
      </c>
      <c r="AG8" s="11">
        <v>4</v>
      </c>
      <c r="AH8" s="11"/>
      <c r="AI8" s="11">
        <v>144</v>
      </c>
      <c r="AJ8" s="11">
        <v>70</v>
      </c>
      <c r="AK8" s="11">
        <v>27</v>
      </c>
      <c r="AL8" s="11">
        <v>52</v>
      </c>
      <c r="AM8" s="11">
        <v>21</v>
      </c>
      <c r="AN8" s="11">
        <v>27</v>
      </c>
      <c r="AO8" s="11"/>
      <c r="AP8" s="11">
        <v>222</v>
      </c>
      <c r="AQ8" s="11">
        <v>168</v>
      </c>
      <c r="AR8" s="11"/>
      <c r="AS8" s="11" t="s">
        <v>87</v>
      </c>
      <c r="AT8" s="11">
        <v>390</v>
      </c>
      <c r="AU8" s="11" t="s">
        <v>87</v>
      </c>
      <c r="AV8" s="11"/>
      <c r="AW8" s="11">
        <v>311</v>
      </c>
      <c r="AX8" s="11">
        <v>58</v>
      </c>
      <c r="AY8" s="11"/>
      <c r="AZ8" s="11">
        <v>299</v>
      </c>
      <c r="BA8" s="11">
        <v>87</v>
      </c>
    </row>
    <row r="9" spans="2:53" x14ac:dyDescent="0.35">
      <c r="B9" s="15" t="s">
        <v>154</v>
      </c>
      <c r="C9" s="14">
        <v>0.45371079989749502</v>
      </c>
      <c r="D9" s="14">
        <v>0.506261742110788</v>
      </c>
      <c r="E9" s="14">
        <v>0.40997925963271198</v>
      </c>
      <c r="F9" s="14"/>
      <c r="G9" s="14">
        <v>0</v>
      </c>
      <c r="H9" s="14">
        <v>0.40732709607856799</v>
      </c>
      <c r="I9" s="14">
        <v>0.47139158081868299</v>
      </c>
      <c r="J9" s="14">
        <v>0.41186295933235001</v>
      </c>
      <c r="K9" s="14">
        <v>0.83561100838509395</v>
      </c>
      <c r="L9" s="14">
        <v>0.34819201228478702</v>
      </c>
      <c r="M9" s="14"/>
      <c r="N9" s="14">
        <v>0.55008704724410495</v>
      </c>
      <c r="O9" s="14">
        <v>0.483985179420442</v>
      </c>
      <c r="P9" s="14">
        <v>0.42471187250790698</v>
      </c>
      <c r="Q9" s="14">
        <v>0.369695049652287</v>
      </c>
      <c r="R9" s="14"/>
      <c r="S9" s="14">
        <v>0.49330596594874399</v>
      </c>
      <c r="T9" s="14">
        <v>0.44287925175231402</v>
      </c>
      <c r="U9" s="14">
        <v>0.65443002837968001</v>
      </c>
      <c r="V9" s="14">
        <v>0.35989663556516499</v>
      </c>
      <c r="W9" s="14">
        <v>0.31888696080501899</v>
      </c>
      <c r="X9" s="14">
        <v>0.42856548922190701</v>
      </c>
      <c r="Y9" s="14">
        <v>0.51100224165339503</v>
      </c>
      <c r="Z9" s="14">
        <v>0.43807753612028599</v>
      </c>
      <c r="AA9" s="14">
        <v>0.43200372240180002</v>
      </c>
      <c r="AB9" s="14"/>
      <c r="AC9" s="14">
        <v>0.42164541227505897</v>
      </c>
      <c r="AD9" s="14">
        <v>0.39113901106725002</v>
      </c>
      <c r="AE9" s="14">
        <v>0.40667792976177602</v>
      </c>
      <c r="AF9" s="14">
        <v>0.59060945876269699</v>
      </c>
      <c r="AG9" s="14">
        <v>0.638913218940106</v>
      </c>
      <c r="AH9" s="14"/>
      <c r="AI9" s="14">
        <v>0.45195300004318301</v>
      </c>
      <c r="AJ9" s="14">
        <v>0.57833639754273902</v>
      </c>
      <c r="AK9" s="14">
        <v>0.499192210659197</v>
      </c>
      <c r="AL9" s="14">
        <v>0.421545050734908</v>
      </c>
      <c r="AM9" s="14">
        <v>0.39572804660607103</v>
      </c>
      <c r="AN9" s="14">
        <v>0.38319014024605902</v>
      </c>
      <c r="AO9" s="14"/>
      <c r="AP9" s="14">
        <v>0.48990832481987101</v>
      </c>
      <c r="AQ9" s="14">
        <v>0.40579388077758399</v>
      </c>
      <c r="AR9" s="14"/>
      <c r="AS9" s="14" t="s">
        <v>88</v>
      </c>
      <c r="AT9" s="14">
        <v>0.45371079989749502</v>
      </c>
      <c r="AU9" s="14" t="s">
        <v>88</v>
      </c>
      <c r="AV9" s="14"/>
      <c r="AW9" s="14">
        <v>0.42104023947013802</v>
      </c>
      <c r="AX9" s="14">
        <v>0.625714493702201</v>
      </c>
      <c r="AY9" s="14"/>
      <c r="AZ9" s="14">
        <v>0.50806502898758099</v>
      </c>
      <c r="BA9" s="14">
        <v>0.29143937377301299</v>
      </c>
    </row>
    <row r="10" spans="2:53" x14ac:dyDescent="0.35">
      <c r="B10" s="15" t="s">
        <v>155</v>
      </c>
      <c r="C10" s="14">
        <v>0.32925122678956598</v>
      </c>
      <c r="D10" s="14">
        <v>0.30054018087764101</v>
      </c>
      <c r="E10" s="14">
        <v>0.353143819528347</v>
      </c>
      <c r="F10" s="14"/>
      <c r="G10" s="14">
        <v>1</v>
      </c>
      <c r="H10" s="14">
        <v>0.36405547934355798</v>
      </c>
      <c r="I10" s="14">
        <v>0.34341349688904799</v>
      </c>
      <c r="J10" s="14">
        <v>0.28454619048940599</v>
      </c>
      <c r="K10" s="14">
        <v>8.0135625468646401E-2</v>
      </c>
      <c r="L10" s="14">
        <v>0</v>
      </c>
      <c r="M10" s="14"/>
      <c r="N10" s="14">
        <v>0.28066038034982799</v>
      </c>
      <c r="O10" s="14">
        <v>0.33560343677405702</v>
      </c>
      <c r="P10" s="14">
        <v>0.34272286377004202</v>
      </c>
      <c r="Q10" s="14">
        <v>0.345967542402291</v>
      </c>
      <c r="R10" s="14"/>
      <c r="S10" s="14">
        <v>0.337763479258477</v>
      </c>
      <c r="T10" s="14">
        <v>0.38995666454821198</v>
      </c>
      <c r="U10" s="14">
        <v>0.239801065966286</v>
      </c>
      <c r="V10" s="14">
        <v>0.38560955939775599</v>
      </c>
      <c r="W10" s="14">
        <v>0.46705884121810798</v>
      </c>
      <c r="X10" s="14">
        <v>0.27033280932703802</v>
      </c>
      <c r="Y10" s="14">
        <v>0.29557718989201098</v>
      </c>
      <c r="Z10" s="14">
        <v>0.36832762821930998</v>
      </c>
      <c r="AA10" s="14">
        <v>0.24860671350073099</v>
      </c>
      <c r="AB10" s="14"/>
      <c r="AC10" s="14">
        <v>0.31163818647627001</v>
      </c>
      <c r="AD10" s="14">
        <v>0.34992247176028002</v>
      </c>
      <c r="AE10" s="14">
        <v>0.40124715676817801</v>
      </c>
      <c r="AF10" s="14">
        <v>0.269883316046031</v>
      </c>
      <c r="AG10" s="14">
        <v>0.243776589510935</v>
      </c>
      <c r="AH10" s="14"/>
      <c r="AI10" s="14">
        <v>0.33538963978254399</v>
      </c>
      <c r="AJ10" s="14">
        <v>0.28873853753116502</v>
      </c>
      <c r="AK10" s="14">
        <v>0.30256252352369101</v>
      </c>
      <c r="AL10" s="14">
        <v>0.331036653166564</v>
      </c>
      <c r="AM10" s="14">
        <v>0.49328056098109002</v>
      </c>
      <c r="AN10" s="14">
        <v>0.22751212717449301</v>
      </c>
      <c r="AO10" s="14"/>
      <c r="AP10" s="14">
        <v>0.319245458424124</v>
      </c>
      <c r="AQ10" s="14">
        <v>0.34249648581011</v>
      </c>
      <c r="AR10" s="14"/>
      <c r="AS10" s="14" t="s">
        <v>88</v>
      </c>
      <c r="AT10" s="14">
        <v>0.32925122678956598</v>
      </c>
      <c r="AU10" s="14" t="s">
        <v>88</v>
      </c>
      <c r="AV10" s="14"/>
      <c r="AW10" s="14">
        <v>0.32820315533834399</v>
      </c>
      <c r="AX10" s="14">
        <v>0.31647333150624402</v>
      </c>
      <c r="AY10" s="14"/>
      <c r="AZ10" s="14">
        <v>0.30732201772378798</v>
      </c>
      <c r="BA10" s="14">
        <v>0.42219804068431299</v>
      </c>
    </row>
    <row r="11" spans="2:53" x14ac:dyDescent="0.35">
      <c r="B11" s="15" t="s">
        <v>116</v>
      </c>
      <c r="C11" s="23">
        <v>0.217037973312938</v>
      </c>
      <c r="D11" s="23">
        <v>0.19319807701157099</v>
      </c>
      <c r="E11" s="23">
        <v>0.23687692083894099</v>
      </c>
      <c r="F11" s="23"/>
      <c r="G11" s="23">
        <v>0</v>
      </c>
      <c r="H11" s="23">
        <v>0.22861742457787401</v>
      </c>
      <c r="I11" s="23">
        <v>0.18519492229227</v>
      </c>
      <c r="J11" s="23">
        <v>0.303590850178244</v>
      </c>
      <c r="K11" s="23">
        <v>8.4253366146259404E-2</v>
      </c>
      <c r="L11" s="23">
        <v>0.65180798771521298</v>
      </c>
      <c r="M11" s="23"/>
      <c r="N11" s="23">
        <v>0.169252572406066</v>
      </c>
      <c r="O11" s="23">
        <v>0.18041138380550101</v>
      </c>
      <c r="P11" s="23">
        <v>0.232565263722051</v>
      </c>
      <c r="Q11" s="23">
        <v>0.284337407945422</v>
      </c>
      <c r="R11" s="23"/>
      <c r="S11" s="23">
        <v>0.16893055479277899</v>
      </c>
      <c r="T11" s="23">
        <v>0.167164083699475</v>
      </c>
      <c r="U11" s="23">
        <v>0.105768905654034</v>
      </c>
      <c r="V11" s="23">
        <v>0.25449380503707902</v>
      </c>
      <c r="W11" s="23">
        <v>0.214054197976873</v>
      </c>
      <c r="X11" s="23">
        <v>0.30110170145105503</v>
      </c>
      <c r="Y11" s="23">
        <v>0.19342056845459299</v>
      </c>
      <c r="Z11" s="23">
        <v>0.193594835660404</v>
      </c>
      <c r="AA11" s="23">
        <v>0.31938956409746899</v>
      </c>
      <c r="AB11" s="23"/>
      <c r="AC11" s="23">
        <v>0.26671640124867102</v>
      </c>
      <c r="AD11" s="23">
        <v>0.25893851717247002</v>
      </c>
      <c r="AE11" s="23">
        <v>0.19207491347004599</v>
      </c>
      <c r="AF11" s="23">
        <v>0.13950722519127201</v>
      </c>
      <c r="AG11" s="23">
        <v>0.11731019154896</v>
      </c>
      <c r="AH11" s="23"/>
      <c r="AI11" s="23">
        <v>0.212657360174274</v>
      </c>
      <c r="AJ11" s="23">
        <v>0.13292506492609599</v>
      </c>
      <c r="AK11" s="23">
        <v>0.19824526581711199</v>
      </c>
      <c r="AL11" s="23">
        <v>0.247418296098528</v>
      </c>
      <c r="AM11" s="23">
        <v>0.11099139241284001</v>
      </c>
      <c r="AN11" s="23">
        <v>0.389297732579448</v>
      </c>
      <c r="AO11" s="23"/>
      <c r="AP11" s="23">
        <v>0.19084621675600499</v>
      </c>
      <c r="AQ11" s="23">
        <v>0.25170963341230501</v>
      </c>
      <c r="AR11" s="23"/>
      <c r="AS11" s="23" t="s">
        <v>88</v>
      </c>
      <c r="AT11" s="23">
        <v>0.217037973312938</v>
      </c>
      <c r="AU11" s="23" t="s">
        <v>88</v>
      </c>
      <c r="AV11" s="23"/>
      <c r="AW11" s="23">
        <v>0.25075660519151699</v>
      </c>
      <c r="AX11" s="23">
        <v>5.7812174791555301E-2</v>
      </c>
      <c r="AY11" s="23"/>
      <c r="AZ11" s="23">
        <v>0.184612953288631</v>
      </c>
      <c r="BA11" s="23">
        <v>0.28636258554267402</v>
      </c>
    </row>
    <row r="12" spans="2:53" x14ac:dyDescent="0.35">
      <c r="B12" s="16" t="s">
        <v>320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B2:BA18"/>
  <sheetViews>
    <sheetView showGridLines="0" workbookViewId="0">
      <pane xSplit="2" topLeftCell="C1" activePane="topRight" state="frozen"/>
      <selection pane="topRight" activeCell="B7" sqref="B7:BA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181</v>
      </c>
      <c r="D7" s="10">
        <v>77</v>
      </c>
      <c r="E7" s="10">
        <v>104</v>
      </c>
      <c r="F7" s="10"/>
      <c r="G7" s="10" t="s">
        <v>87</v>
      </c>
      <c r="H7" s="10">
        <v>45</v>
      </c>
      <c r="I7" s="10">
        <v>98</v>
      </c>
      <c r="J7" s="10">
        <v>29</v>
      </c>
      <c r="K7" s="10">
        <v>8</v>
      </c>
      <c r="L7" s="10">
        <v>1</v>
      </c>
      <c r="M7" s="10"/>
      <c r="N7" s="10">
        <v>78</v>
      </c>
      <c r="O7" s="10">
        <v>52</v>
      </c>
      <c r="P7" s="10">
        <v>23</v>
      </c>
      <c r="Q7" s="10">
        <v>28</v>
      </c>
      <c r="R7" s="10"/>
      <c r="S7" s="10">
        <v>39</v>
      </c>
      <c r="T7" s="10">
        <v>29</v>
      </c>
      <c r="U7" s="10">
        <v>16</v>
      </c>
      <c r="V7" s="10">
        <v>11</v>
      </c>
      <c r="W7" s="10">
        <v>13</v>
      </c>
      <c r="X7" s="10">
        <v>21</v>
      </c>
      <c r="Y7" s="10">
        <v>21</v>
      </c>
      <c r="Z7" s="10">
        <v>6</v>
      </c>
      <c r="AA7" s="10">
        <v>25</v>
      </c>
      <c r="AB7" s="10"/>
      <c r="AC7" s="10">
        <v>20</v>
      </c>
      <c r="AD7" s="10">
        <v>33</v>
      </c>
      <c r="AE7" s="10">
        <v>49</v>
      </c>
      <c r="AF7" s="10">
        <v>52</v>
      </c>
      <c r="AG7" s="10">
        <v>6</v>
      </c>
      <c r="AH7" s="10"/>
      <c r="AI7" s="10">
        <v>62</v>
      </c>
      <c r="AJ7" s="10">
        <v>43</v>
      </c>
      <c r="AK7" s="10">
        <v>15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78</v>
      </c>
      <c r="AR7" s="10"/>
      <c r="AS7" s="10" t="s">
        <v>87</v>
      </c>
      <c r="AT7" s="10">
        <v>181</v>
      </c>
      <c r="AU7" s="10" t="s">
        <v>87</v>
      </c>
      <c r="AV7" s="10"/>
      <c r="AW7" s="10">
        <v>129</v>
      </c>
      <c r="AX7" s="10">
        <v>44</v>
      </c>
      <c r="AY7" s="10"/>
      <c r="AZ7" s="10">
        <v>155</v>
      </c>
      <c r="BA7" s="10">
        <v>26</v>
      </c>
    </row>
    <row r="8" spans="2:53" ht="30" customHeight="1" x14ac:dyDescent="0.35">
      <c r="B8" s="11" t="s">
        <v>19</v>
      </c>
      <c r="C8" s="11">
        <v>177</v>
      </c>
      <c r="D8" s="11">
        <v>90</v>
      </c>
      <c r="E8" s="11">
        <v>87</v>
      </c>
      <c r="F8" s="11"/>
      <c r="G8" s="11" t="s">
        <v>87</v>
      </c>
      <c r="H8" s="11">
        <v>42</v>
      </c>
      <c r="I8" s="11">
        <v>93</v>
      </c>
      <c r="J8" s="11">
        <v>28</v>
      </c>
      <c r="K8" s="11">
        <v>12</v>
      </c>
      <c r="L8" s="11">
        <v>1</v>
      </c>
      <c r="M8" s="11"/>
      <c r="N8" s="11">
        <v>48</v>
      </c>
      <c r="O8" s="11">
        <v>56</v>
      </c>
      <c r="P8" s="11">
        <v>32</v>
      </c>
      <c r="Q8" s="11">
        <v>41</v>
      </c>
      <c r="R8" s="11"/>
      <c r="S8" s="11">
        <v>29</v>
      </c>
      <c r="T8" s="11">
        <v>29</v>
      </c>
      <c r="U8" s="11">
        <v>22</v>
      </c>
      <c r="V8" s="11">
        <v>12</v>
      </c>
      <c r="W8" s="11">
        <v>12</v>
      </c>
      <c r="X8" s="11">
        <v>21</v>
      </c>
      <c r="Y8" s="11">
        <v>20</v>
      </c>
      <c r="Z8" s="11">
        <v>7</v>
      </c>
      <c r="AA8" s="11">
        <v>25</v>
      </c>
      <c r="AB8" s="11"/>
      <c r="AC8" s="11">
        <v>27</v>
      </c>
      <c r="AD8" s="11">
        <v>34</v>
      </c>
      <c r="AE8" s="11">
        <v>46</v>
      </c>
      <c r="AF8" s="11">
        <v>43</v>
      </c>
      <c r="AG8" s="11">
        <v>3</v>
      </c>
      <c r="AH8" s="11"/>
      <c r="AI8" s="11">
        <v>65</v>
      </c>
      <c r="AJ8" s="11">
        <v>40</v>
      </c>
      <c r="AK8" s="11">
        <v>13</v>
      </c>
      <c r="AL8" s="11">
        <v>22</v>
      </c>
      <c r="AM8" s="11">
        <v>8</v>
      </c>
      <c r="AN8" s="11">
        <v>10</v>
      </c>
      <c r="AO8" s="11"/>
      <c r="AP8" s="11">
        <v>109</v>
      </c>
      <c r="AQ8" s="11">
        <v>68</v>
      </c>
      <c r="AR8" s="11"/>
      <c r="AS8" s="11" t="s">
        <v>87</v>
      </c>
      <c r="AT8" s="11">
        <v>177</v>
      </c>
      <c r="AU8" s="11" t="s">
        <v>87</v>
      </c>
      <c r="AV8" s="11"/>
      <c r="AW8" s="11">
        <v>131</v>
      </c>
      <c r="AX8" s="11">
        <v>36</v>
      </c>
      <c r="AY8" s="11"/>
      <c r="AZ8" s="11">
        <v>152</v>
      </c>
      <c r="BA8" s="11">
        <v>25</v>
      </c>
    </row>
    <row r="9" spans="2:53" x14ac:dyDescent="0.35">
      <c r="B9" s="15" t="s">
        <v>214</v>
      </c>
      <c r="C9" s="14">
        <v>0.16775381282369201</v>
      </c>
      <c r="D9" s="14">
        <v>0.190540249226897</v>
      </c>
      <c r="E9" s="14">
        <v>0.14433828780788499</v>
      </c>
      <c r="F9" s="14"/>
      <c r="G9" s="14" t="s">
        <v>88</v>
      </c>
      <c r="H9" s="14">
        <v>0.313213186797557</v>
      </c>
      <c r="I9" s="14">
        <v>0.121926598401083</v>
      </c>
      <c r="J9" s="14">
        <v>9.3585177502143499E-2</v>
      </c>
      <c r="K9" s="14">
        <v>0.20513111868421599</v>
      </c>
      <c r="L9" s="14">
        <v>0</v>
      </c>
      <c r="M9" s="14"/>
      <c r="N9" s="14">
        <v>0.10510754791485299</v>
      </c>
      <c r="O9" s="14">
        <v>0.16857693948240099</v>
      </c>
      <c r="P9" s="14">
        <v>0.183666621539957</v>
      </c>
      <c r="Q9" s="14">
        <v>0.22778290641530199</v>
      </c>
      <c r="R9" s="14"/>
      <c r="S9" s="14">
        <v>0.16379721491874299</v>
      </c>
      <c r="T9" s="14">
        <v>0.22383878786273101</v>
      </c>
      <c r="U9" s="14">
        <v>0.189006558649259</v>
      </c>
      <c r="V9" s="14">
        <v>0.27879698215834497</v>
      </c>
      <c r="W9" s="14">
        <v>0</v>
      </c>
      <c r="X9" s="14">
        <v>0.33516900221231199</v>
      </c>
      <c r="Y9" s="14">
        <v>5.8864604826617602E-2</v>
      </c>
      <c r="Z9" s="14">
        <v>0.36232865525997598</v>
      </c>
      <c r="AA9" s="14">
        <v>1.2207957008214001E-2</v>
      </c>
      <c r="AB9" s="14"/>
      <c r="AC9" s="14">
        <v>8.8820085483597197E-2</v>
      </c>
      <c r="AD9" s="14">
        <v>0.180311301233157</v>
      </c>
      <c r="AE9" s="14">
        <v>0.21477985255414</v>
      </c>
      <c r="AF9" s="14">
        <v>0.204952535952313</v>
      </c>
      <c r="AG9" s="14">
        <v>0.124796923527945</v>
      </c>
      <c r="AH9" s="14"/>
      <c r="AI9" s="14">
        <v>0.25746352998428002</v>
      </c>
      <c r="AJ9" s="14">
        <v>0.182441036982083</v>
      </c>
      <c r="AK9" s="14">
        <v>0.21171581512177601</v>
      </c>
      <c r="AL9" s="14">
        <v>8.4725762142380007E-2</v>
      </c>
      <c r="AM9" s="14">
        <v>0</v>
      </c>
      <c r="AN9" s="14">
        <v>6.33171516290192E-2</v>
      </c>
      <c r="AO9" s="14"/>
      <c r="AP9" s="14">
        <v>0.181098734689846</v>
      </c>
      <c r="AQ9" s="14">
        <v>0.14642653767733699</v>
      </c>
      <c r="AR9" s="14"/>
      <c r="AS9" s="14" t="s">
        <v>88</v>
      </c>
      <c r="AT9" s="14">
        <v>0.16775381282369201</v>
      </c>
      <c r="AU9" s="14" t="s">
        <v>88</v>
      </c>
      <c r="AV9" s="14"/>
      <c r="AW9" s="14">
        <v>0.181382348496299</v>
      </c>
      <c r="AX9" s="14">
        <v>0.16207023212584401</v>
      </c>
      <c r="AY9" s="14"/>
      <c r="AZ9" s="14">
        <v>0.17344551238872399</v>
      </c>
      <c r="BA9" s="14">
        <v>0.13368882870273499</v>
      </c>
    </row>
    <row r="10" spans="2:53" x14ac:dyDescent="0.35">
      <c r="B10" s="15" t="s">
        <v>215</v>
      </c>
      <c r="C10" s="14">
        <v>0.57691333449884996</v>
      </c>
      <c r="D10" s="14">
        <v>0.60507169763371205</v>
      </c>
      <c r="E10" s="14">
        <v>0.54797757443871997</v>
      </c>
      <c r="F10" s="14"/>
      <c r="G10" s="14" t="s">
        <v>88</v>
      </c>
      <c r="H10" s="14">
        <v>0.46656783789538903</v>
      </c>
      <c r="I10" s="14">
        <v>0.63029965898043305</v>
      </c>
      <c r="J10" s="14">
        <v>0.45518620221686901</v>
      </c>
      <c r="K10" s="14">
        <v>0.79486888131578404</v>
      </c>
      <c r="L10" s="14">
        <v>1</v>
      </c>
      <c r="M10" s="14"/>
      <c r="N10" s="14">
        <v>0.66250264316249097</v>
      </c>
      <c r="O10" s="14">
        <v>0.52540645148994003</v>
      </c>
      <c r="P10" s="14">
        <v>0.59794928120774704</v>
      </c>
      <c r="Q10" s="14">
        <v>0.53061254888086296</v>
      </c>
      <c r="R10" s="14"/>
      <c r="S10" s="14">
        <v>0.71822693345858901</v>
      </c>
      <c r="T10" s="14">
        <v>0.393755256926486</v>
      </c>
      <c r="U10" s="14">
        <v>0.58772214669252298</v>
      </c>
      <c r="V10" s="14">
        <v>0.37487724717453003</v>
      </c>
      <c r="W10" s="14">
        <v>0.74030830415705795</v>
      </c>
      <c r="X10" s="14">
        <v>0.50183237419905202</v>
      </c>
      <c r="Y10" s="14">
        <v>0.70296517659552105</v>
      </c>
      <c r="Z10" s="14">
        <v>0.55048887305993</v>
      </c>
      <c r="AA10" s="14">
        <v>0.59935146407073103</v>
      </c>
      <c r="AB10" s="14"/>
      <c r="AC10" s="14">
        <v>0.70269586909689596</v>
      </c>
      <c r="AD10" s="14">
        <v>0.48882979340259303</v>
      </c>
      <c r="AE10" s="14">
        <v>0.49493888378345602</v>
      </c>
      <c r="AF10" s="14">
        <v>0.66457655728702203</v>
      </c>
      <c r="AG10" s="14">
        <v>0.51607223993435802</v>
      </c>
      <c r="AH10" s="14"/>
      <c r="AI10" s="14">
        <v>0.59889540535149099</v>
      </c>
      <c r="AJ10" s="14">
        <v>0.495039462470447</v>
      </c>
      <c r="AK10" s="14">
        <v>0.41536682721076201</v>
      </c>
      <c r="AL10" s="14">
        <v>0.59149938549624503</v>
      </c>
      <c r="AM10" s="14">
        <v>0.564791503778034</v>
      </c>
      <c r="AN10" s="14">
        <v>0.831519039797736</v>
      </c>
      <c r="AO10" s="14"/>
      <c r="AP10" s="14">
        <v>0.53427297279764296</v>
      </c>
      <c r="AQ10" s="14">
        <v>0.64505931058345001</v>
      </c>
      <c r="AR10" s="14"/>
      <c r="AS10" s="14" t="s">
        <v>88</v>
      </c>
      <c r="AT10" s="14">
        <v>0.57691333449884996</v>
      </c>
      <c r="AU10" s="14" t="s">
        <v>88</v>
      </c>
      <c r="AV10" s="14"/>
      <c r="AW10" s="14">
        <v>0.54260474987763296</v>
      </c>
      <c r="AX10" s="14">
        <v>0.67409949856511897</v>
      </c>
      <c r="AY10" s="14"/>
      <c r="AZ10" s="14">
        <v>0.59261156192707298</v>
      </c>
      <c r="BA10" s="14">
        <v>0.48295899591165797</v>
      </c>
    </row>
    <row r="11" spans="2:53" x14ac:dyDescent="0.35">
      <c r="B11" s="15" t="s">
        <v>216</v>
      </c>
      <c r="C11" s="14">
        <v>0.16220526000484101</v>
      </c>
      <c r="D11" s="14">
        <v>0.153221142883433</v>
      </c>
      <c r="E11" s="14">
        <v>0.17143741089841799</v>
      </c>
      <c r="F11" s="14"/>
      <c r="G11" s="14" t="s">
        <v>88</v>
      </c>
      <c r="H11" s="14">
        <v>0.136967779710331</v>
      </c>
      <c r="I11" s="14">
        <v>0.16613836783449901</v>
      </c>
      <c r="J11" s="14">
        <v>0.26214769194855297</v>
      </c>
      <c r="K11" s="14">
        <v>0</v>
      </c>
      <c r="L11" s="14">
        <v>0</v>
      </c>
      <c r="M11" s="14"/>
      <c r="N11" s="14">
        <v>0.125651446346012</v>
      </c>
      <c r="O11" s="14">
        <v>0.198933333784379</v>
      </c>
      <c r="P11" s="14">
        <v>0.118019228334081</v>
      </c>
      <c r="Q11" s="14">
        <v>0.18907421452329701</v>
      </c>
      <c r="R11" s="14"/>
      <c r="S11" s="14">
        <v>6.7730183840964599E-3</v>
      </c>
      <c r="T11" s="14">
        <v>0.29107933525982799</v>
      </c>
      <c r="U11" s="14">
        <v>0.16388224283581901</v>
      </c>
      <c r="V11" s="14">
        <v>0.346325770667125</v>
      </c>
      <c r="W11" s="14">
        <v>0.25969169584294199</v>
      </c>
      <c r="X11" s="14">
        <v>5.1264531264781102E-2</v>
      </c>
      <c r="Y11" s="14">
        <v>0.110248305317818</v>
      </c>
      <c r="Z11" s="14">
        <v>8.7182471680094104E-2</v>
      </c>
      <c r="AA11" s="14">
        <v>0.217142132806976</v>
      </c>
      <c r="AB11" s="14"/>
      <c r="AC11" s="14">
        <v>0.145318883175723</v>
      </c>
      <c r="AD11" s="14">
        <v>0.18025370589662901</v>
      </c>
      <c r="AE11" s="14">
        <v>0.178998586374467</v>
      </c>
      <c r="AF11" s="14">
        <v>6.9779150734097101E-2</v>
      </c>
      <c r="AG11" s="14">
        <v>0</v>
      </c>
      <c r="AH11" s="14"/>
      <c r="AI11" s="14">
        <v>8.6861090704472094E-2</v>
      </c>
      <c r="AJ11" s="14">
        <v>0.219528954085285</v>
      </c>
      <c r="AK11" s="14">
        <v>0.26777365343165299</v>
      </c>
      <c r="AL11" s="14">
        <v>0.192744170436978</v>
      </c>
      <c r="AM11" s="14">
        <v>0.220428827821635</v>
      </c>
      <c r="AN11" s="14">
        <v>0.105163808573245</v>
      </c>
      <c r="AO11" s="14"/>
      <c r="AP11" s="14">
        <v>0.199270175783412</v>
      </c>
      <c r="AQ11" s="14">
        <v>0.10296971969860901</v>
      </c>
      <c r="AR11" s="14"/>
      <c r="AS11" s="14" t="s">
        <v>88</v>
      </c>
      <c r="AT11" s="14">
        <v>0.16220526000484101</v>
      </c>
      <c r="AU11" s="14" t="s">
        <v>88</v>
      </c>
      <c r="AV11" s="14"/>
      <c r="AW11" s="14">
        <v>0.16947215404985</v>
      </c>
      <c r="AX11" s="14">
        <v>0.12289382119469799</v>
      </c>
      <c r="AY11" s="14"/>
      <c r="AZ11" s="14">
        <v>0.15071942335862701</v>
      </c>
      <c r="BA11" s="14">
        <v>0.230948319700577</v>
      </c>
    </row>
    <row r="12" spans="2:53" x14ac:dyDescent="0.35">
      <c r="B12" s="15" t="s">
        <v>217</v>
      </c>
      <c r="C12" s="14">
        <v>9.9736961244427397E-3</v>
      </c>
      <c r="D12" s="14">
        <v>0</v>
      </c>
      <c r="E12" s="14">
        <v>2.02227463475439E-2</v>
      </c>
      <c r="F12" s="14"/>
      <c r="G12" s="14" t="s">
        <v>88</v>
      </c>
      <c r="H12" s="14">
        <v>2.0928133652326601E-2</v>
      </c>
      <c r="I12" s="14">
        <v>9.4464100372703193E-3</v>
      </c>
      <c r="J12" s="14">
        <v>0</v>
      </c>
      <c r="K12" s="14">
        <v>0</v>
      </c>
      <c r="L12" s="14">
        <v>0</v>
      </c>
      <c r="M12" s="14"/>
      <c r="N12" s="14">
        <v>0</v>
      </c>
      <c r="O12" s="14">
        <v>3.14948451562507E-2</v>
      </c>
      <c r="P12" s="14">
        <v>0</v>
      </c>
      <c r="Q12" s="14">
        <v>0</v>
      </c>
      <c r="R12" s="14"/>
      <c r="S12" s="14">
        <v>0</v>
      </c>
      <c r="T12" s="14">
        <v>6.0884413409750301E-2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2.5778419946257101E-2</v>
      </c>
      <c r="AE12" s="14">
        <v>1.90076299059087E-2</v>
      </c>
      <c r="AF12" s="14">
        <v>0</v>
      </c>
      <c r="AG12" s="14">
        <v>0</v>
      </c>
      <c r="AH12" s="14"/>
      <c r="AI12" s="14">
        <v>0</v>
      </c>
      <c r="AJ12" s="14">
        <v>2.1899242439666702E-2</v>
      </c>
      <c r="AK12" s="14">
        <v>0</v>
      </c>
      <c r="AL12" s="14">
        <v>3.9980373341307301E-2</v>
      </c>
      <c r="AM12" s="14">
        <v>0</v>
      </c>
      <c r="AN12" s="14">
        <v>0</v>
      </c>
      <c r="AO12" s="14"/>
      <c r="AP12" s="14">
        <v>1.6214446271101399E-2</v>
      </c>
      <c r="AQ12" s="14">
        <v>0</v>
      </c>
      <c r="AR12" s="14"/>
      <c r="AS12" s="14" t="s">
        <v>88</v>
      </c>
      <c r="AT12" s="14">
        <v>9.9736961244427397E-3</v>
      </c>
      <c r="AU12" s="14" t="s">
        <v>88</v>
      </c>
      <c r="AV12" s="14"/>
      <c r="AW12" s="14">
        <v>1.3464342836409E-2</v>
      </c>
      <c r="AX12" s="14">
        <v>0</v>
      </c>
      <c r="AY12" s="14"/>
      <c r="AZ12" s="14">
        <v>5.8200684676649496E-3</v>
      </c>
      <c r="BA12" s="14">
        <v>3.4833276036529498E-2</v>
      </c>
    </row>
    <row r="13" spans="2:53" x14ac:dyDescent="0.35">
      <c r="B13" s="15" t="s">
        <v>116</v>
      </c>
      <c r="C13" s="23">
        <v>3.6808321305846797E-2</v>
      </c>
      <c r="D13" s="23">
        <v>2.6902405581384198E-2</v>
      </c>
      <c r="E13" s="23">
        <v>4.6987719845673299E-2</v>
      </c>
      <c r="F13" s="23"/>
      <c r="G13" s="23" t="s">
        <v>88</v>
      </c>
      <c r="H13" s="23">
        <v>0</v>
      </c>
      <c r="I13" s="23">
        <v>3.72245879772789E-2</v>
      </c>
      <c r="J13" s="23">
        <v>0.107441121233476</v>
      </c>
      <c r="K13" s="23">
        <v>0</v>
      </c>
      <c r="L13" s="23">
        <v>0</v>
      </c>
      <c r="M13" s="23"/>
      <c r="N13" s="23">
        <v>2.0735578630051099E-2</v>
      </c>
      <c r="O13" s="23">
        <v>6.0155745558215797E-2</v>
      </c>
      <c r="P13" s="23">
        <v>6.7592748911216596E-2</v>
      </c>
      <c r="Q13" s="23">
        <v>0</v>
      </c>
      <c r="R13" s="23"/>
      <c r="S13" s="23">
        <v>4.8404034095116698E-2</v>
      </c>
      <c r="T13" s="23">
        <v>3.0442206541204799E-2</v>
      </c>
      <c r="U13" s="23">
        <v>4.8328116091548697E-2</v>
      </c>
      <c r="V13" s="23">
        <v>0</v>
      </c>
      <c r="W13" s="23">
        <v>0</v>
      </c>
      <c r="X13" s="23">
        <v>4.67118527241938E-2</v>
      </c>
      <c r="Y13" s="23">
        <v>0</v>
      </c>
      <c r="Z13" s="23">
        <v>0</v>
      </c>
      <c r="AA13" s="23">
        <v>8.6052619981350206E-2</v>
      </c>
      <c r="AB13" s="23"/>
      <c r="AC13" s="23">
        <v>4.3502690617051497E-2</v>
      </c>
      <c r="AD13" s="23">
        <v>2.9157973850504101E-2</v>
      </c>
      <c r="AE13" s="23">
        <v>7.07755151782508E-2</v>
      </c>
      <c r="AF13" s="23">
        <v>2.51336124609358E-2</v>
      </c>
      <c r="AG13" s="23">
        <v>0</v>
      </c>
      <c r="AH13" s="23"/>
      <c r="AI13" s="23">
        <v>0</v>
      </c>
      <c r="AJ13" s="23">
        <v>4.6669477651773997E-2</v>
      </c>
      <c r="AK13" s="23">
        <v>8.0790399302246907E-2</v>
      </c>
      <c r="AL13" s="23">
        <v>5.2349197497269399E-2</v>
      </c>
      <c r="AM13" s="23">
        <v>0.11906687783723501</v>
      </c>
      <c r="AN13" s="23">
        <v>0</v>
      </c>
      <c r="AO13" s="23"/>
      <c r="AP13" s="23">
        <v>1.9785455176347898E-2</v>
      </c>
      <c r="AQ13" s="23">
        <v>6.4013527403321002E-2</v>
      </c>
      <c r="AR13" s="23"/>
      <c r="AS13" s="23" t="s">
        <v>88</v>
      </c>
      <c r="AT13" s="23">
        <v>3.6808321305846797E-2</v>
      </c>
      <c r="AU13" s="23" t="s">
        <v>88</v>
      </c>
      <c r="AV13" s="23"/>
      <c r="AW13" s="23">
        <v>4.9690691506034702E-2</v>
      </c>
      <c r="AX13" s="23">
        <v>0</v>
      </c>
      <c r="AY13" s="23"/>
      <c r="AZ13" s="23">
        <v>3.58749276544955E-2</v>
      </c>
      <c r="BA13" s="23">
        <v>4.2394708912675397E-2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B2:BA19"/>
  <sheetViews>
    <sheetView showGridLines="0" workbookViewId="0">
      <pane xSplit="2" topLeftCell="C1" activePane="topRight" state="frozen"/>
      <selection pane="topRight" activeCell="C15" sqref="C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181</v>
      </c>
      <c r="D7" s="10">
        <v>77</v>
      </c>
      <c r="E7" s="10">
        <v>104</v>
      </c>
      <c r="F7" s="10"/>
      <c r="G7" s="10" t="s">
        <v>87</v>
      </c>
      <c r="H7" s="10">
        <v>45</v>
      </c>
      <c r="I7" s="10">
        <v>98</v>
      </c>
      <c r="J7" s="10">
        <v>29</v>
      </c>
      <c r="K7" s="10">
        <v>8</v>
      </c>
      <c r="L7" s="10">
        <v>1</v>
      </c>
      <c r="M7" s="10"/>
      <c r="N7" s="10">
        <v>78</v>
      </c>
      <c r="O7" s="10">
        <v>52</v>
      </c>
      <c r="P7" s="10">
        <v>23</v>
      </c>
      <c r="Q7" s="10">
        <v>28</v>
      </c>
      <c r="R7" s="10"/>
      <c r="S7" s="10">
        <v>39</v>
      </c>
      <c r="T7" s="10">
        <v>29</v>
      </c>
      <c r="U7" s="10">
        <v>16</v>
      </c>
      <c r="V7" s="10">
        <v>11</v>
      </c>
      <c r="W7" s="10">
        <v>13</v>
      </c>
      <c r="X7" s="10">
        <v>21</v>
      </c>
      <c r="Y7" s="10">
        <v>21</v>
      </c>
      <c r="Z7" s="10">
        <v>6</v>
      </c>
      <c r="AA7" s="10">
        <v>25</v>
      </c>
      <c r="AB7" s="10"/>
      <c r="AC7" s="10">
        <v>20</v>
      </c>
      <c r="AD7" s="10">
        <v>33</v>
      </c>
      <c r="AE7" s="10">
        <v>49</v>
      </c>
      <c r="AF7" s="10">
        <v>52</v>
      </c>
      <c r="AG7" s="10">
        <v>6</v>
      </c>
      <c r="AH7" s="10"/>
      <c r="AI7" s="10">
        <v>62</v>
      </c>
      <c r="AJ7" s="10">
        <v>43</v>
      </c>
      <c r="AK7" s="10">
        <v>15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78</v>
      </c>
      <c r="AR7" s="10"/>
      <c r="AS7" s="10" t="s">
        <v>87</v>
      </c>
      <c r="AT7" s="10">
        <v>181</v>
      </c>
      <c r="AU7" s="10" t="s">
        <v>87</v>
      </c>
      <c r="AV7" s="10"/>
      <c r="AW7" s="10">
        <v>129</v>
      </c>
      <c r="AX7" s="10">
        <v>44</v>
      </c>
      <c r="AY7" s="10"/>
      <c r="AZ7" s="10">
        <v>155</v>
      </c>
      <c r="BA7" s="10">
        <v>26</v>
      </c>
    </row>
    <row r="8" spans="2:53" ht="30" customHeight="1" x14ac:dyDescent="0.35">
      <c r="B8" s="11" t="s">
        <v>19</v>
      </c>
      <c r="C8" s="11">
        <v>177</v>
      </c>
      <c r="D8" s="11">
        <v>90</v>
      </c>
      <c r="E8" s="11">
        <v>87</v>
      </c>
      <c r="F8" s="11"/>
      <c r="G8" s="11" t="s">
        <v>87</v>
      </c>
      <c r="H8" s="11">
        <v>42</v>
      </c>
      <c r="I8" s="11">
        <v>93</v>
      </c>
      <c r="J8" s="11">
        <v>28</v>
      </c>
      <c r="K8" s="11">
        <v>12</v>
      </c>
      <c r="L8" s="11">
        <v>1</v>
      </c>
      <c r="M8" s="11"/>
      <c r="N8" s="11">
        <v>48</v>
      </c>
      <c r="O8" s="11">
        <v>56</v>
      </c>
      <c r="P8" s="11">
        <v>32</v>
      </c>
      <c r="Q8" s="11">
        <v>41</v>
      </c>
      <c r="R8" s="11"/>
      <c r="S8" s="11">
        <v>29</v>
      </c>
      <c r="T8" s="11">
        <v>29</v>
      </c>
      <c r="U8" s="11">
        <v>22</v>
      </c>
      <c r="V8" s="11">
        <v>12</v>
      </c>
      <c r="W8" s="11">
        <v>12</v>
      </c>
      <c r="X8" s="11">
        <v>21</v>
      </c>
      <c r="Y8" s="11">
        <v>20</v>
      </c>
      <c r="Z8" s="11">
        <v>7</v>
      </c>
      <c r="AA8" s="11">
        <v>25</v>
      </c>
      <c r="AB8" s="11"/>
      <c r="AC8" s="11">
        <v>27</v>
      </c>
      <c r="AD8" s="11">
        <v>34</v>
      </c>
      <c r="AE8" s="11">
        <v>46</v>
      </c>
      <c r="AF8" s="11">
        <v>43</v>
      </c>
      <c r="AG8" s="11">
        <v>3</v>
      </c>
      <c r="AH8" s="11"/>
      <c r="AI8" s="11">
        <v>65</v>
      </c>
      <c r="AJ8" s="11">
        <v>40</v>
      </c>
      <c r="AK8" s="11">
        <v>13</v>
      </c>
      <c r="AL8" s="11">
        <v>22</v>
      </c>
      <c r="AM8" s="11">
        <v>8</v>
      </c>
      <c r="AN8" s="11">
        <v>10</v>
      </c>
      <c r="AO8" s="11"/>
      <c r="AP8" s="11">
        <v>109</v>
      </c>
      <c r="AQ8" s="11">
        <v>68</v>
      </c>
      <c r="AR8" s="11"/>
      <c r="AS8" s="11" t="s">
        <v>87</v>
      </c>
      <c r="AT8" s="11">
        <v>177</v>
      </c>
      <c r="AU8" s="11" t="s">
        <v>87</v>
      </c>
      <c r="AV8" s="11"/>
      <c r="AW8" s="11">
        <v>131</v>
      </c>
      <c r="AX8" s="11">
        <v>36</v>
      </c>
      <c r="AY8" s="11"/>
      <c r="AZ8" s="11">
        <v>152</v>
      </c>
      <c r="BA8" s="11">
        <v>25</v>
      </c>
    </row>
    <row r="9" spans="2:53" x14ac:dyDescent="0.35">
      <c r="B9" s="15" t="s">
        <v>220</v>
      </c>
      <c r="C9" s="14">
        <v>0.212443721266595</v>
      </c>
      <c r="D9" s="14">
        <v>0.24022701687077</v>
      </c>
      <c r="E9" s="14">
        <v>0.18389338361267299</v>
      </c>
      <c r="F9" s="14"/>
      <c r="G9" s="14" t="s">
        <v>88</v>
      </c>
      <c r="H9" s="14">
        <v>0.23946531200044999</v>
      </c>
      <c r="I9" s="14">
        <v>0.23276063675491099</v>
      </c>
      <c r="J9" s="14">
        <v>9.2731145985659194E-2</v>
      </c>
      <c r="K9" s="14">
        <v>0.26289941103387698</v>
      </c>
      <c r="L9" s="14">
        <v>0</v>
      </c>
      <c r="M9" s="14"/>
      <c r="N9" s="14">
        <v>0.21811458746719001</v>
      </c>
      <c r="O9" s="14">
        <v>0.23402909379905101</v>
      </c>
      <c r="P9" s="14">
        <v>0.16874467470469501</v>
      </c>
      <c r="Q9" s="14">
        <v>0.210098960188116</v>
      </c>
      <c r="R9" s="14"/>
      <c r="S9" s="14">
        <v>0.30224420473623298</v>
      </c>
      <c r="T9" s="14">
        <v>0.24192864217797699</v>
      </c>
      <c r="U9" s="14">
        <v>9.0108993651238603E-2</v>
      </c>
      <c r="V9" s="14">
        <v>0.34449186738931298</v>
      </c>
      <c r="W9" s="14">
        <v>0.161175953123354</v>
      </c>
      <c r="X9" s="14">
        <v>0.161257453546789</v>
      </c>
      <c r="Y9" s="14">
        <v>5.09514591008767E-2</v>
      </c>
      <c r="Z9" s="14">
        <v>0.36232865525997598</v>
      </c>
      <c r="AA9" s="14">
        <v>0.28064681389549001</v>
      </c>
      <c r="AB9" s="14"/>
      <c r="AC9" s="14">
        <v>0.16691047966844</v>
      </c>
      <c r="AD9" s="14">
        <v>7.5465366962915906E-2</v>
      </c>
      <c r="AE9" s="14">
        <v>0.28763917580508902</v>
      </c>
      <c r="AF9" s="14">
        <v>0.27335799109567399</v>
      </c>
      <c r="AG9" s="14">
        <v>0.240939688509231</v>
      </c>
      <c r="AH9" s="14"/>
      <c r="AI9" s="14">
        <v>0.333647656455479</v>
      </c>
      <c r="AJ9" s="14">
        <v>0.14045170340243901</v>
      </c>
      <c r="AK9" s="14">
        <v>0.23869938664241699</v>
      </c>
      <c r="AL9" s="14">
        <v>0.18518510987129899</v>
      </c>
      <c r="AM9" s="14">
        <v>0.15478300038483001</v>
      </c>
      <c r="AN9" s="14">
        <v>9.2845464412939602E-2</v>
      </c>
      <c r="AO9" s="14"/>
      <c r="AP9" s="14">
        <v>0.242555742730512</v>
      </c>
      <c r="AQ9" s="14">
        <v>0.16431999499715</v>
      </c>
      <c r="AR9" s="14"/>
      <c r="AS9" s="14" t="s">
        <v>88</v>
      </c>
      <c r="AT9" s="14">
        <v>0.212443721266595</v>
      </c>
      <c r="AU9" s="14" t="s">
        <v>88</v>
      </c>
      <c r="AV9" s="14"/>
      <c r="AW9" s="14">
        <v>0.184682578963248</v>
      </c>
      <c r="AX9" s="14">
        <v>0.33857832939915</v>
      </c>
      <c r="AY9" s="14"/>
      <c r="AZ9" s="14">
        <v>0.230104457848783</v>
      </c>
      <c r="BA9" s="14">
        <v>0.106743709457694</v>
      </c>
    </row>
    <row r="10" spans="2:53" x14ac:dyDescent="0.35">
      <c r="B10" s="15" t="s">
        <v>221</v>
      </c>
      <c r="C10" s="14">
        <v>0.52820562591267395</v>
      </c>
      <c r="D10" s="14">
        <v>0.53141396642400496</v>
      </c>
      <c r="E10" s="14">
        <v>0.52490870944126999</v>
      </c>
      <c r="F10" s="14"/>
      <c r="G10" s="14" t="s">
        <v>88</v>
      </c>
      <c r="H10" s="14">
        <v>0.51779153239396403</v>
      </c>
      <c r="I10" s="14">
        <v>0.48954979057144299</v>
      </c>
      <c r="J10" s="14">
        <v>0.63525747717673198</v>
      </c>
      <c r="K10" s="14">
        <v>0.56661908476995604</v>
      </c>
      <c r="L10" s="14">
        <v>1</v>
      </c>
      <c r="M10" s="14"/>
      <c r="N10" s="14">
        <v>0.56127023720599101</v>
      </c>
      <c r="O10" s="14">
        <v>0.392656357724114</v>
      </c>
      <c r="P10" s="14">
        <v>0.488345517726262</v>
      </c>
      <c r="Q10" s="14">
        <v>0.70524530342365399</v>
      </c>
      <c r="R10" s="14"/>
      <c r="S10" s="14">
        <v>0.501486638141311</v>
      </c>
      <c r="T10" s="14">
        <v>0.53447055787734299</v>
      </c>
      <c r="U10" s="14">
        <v>0.74481312367238695</v>
      </c>
      <c r="V10" s="14">
        <v>0.30918235367022701</v>
      </c>
      <c r="W10" s="14">
        <v>0.28790297545261401</v>
      </c>
      <c r="X10" s="14">
        <v>0.59663747995863503</v>
      </c>
      <c r="Y10" s="14">
        <v>0.59155092463407499</v>
      </c>
      <c r="Z10" s="14">
        <v>0.63767134474002396</v>
      </c>
      <c r="AA10" s="14">
        <v>0.436664114039583</v>
      </c>
      <c r="AB10" s="14"/>
      <c r="AC10" s="14">
        <v>0.54617633045819702</v>
      </c>
      <c r="AD10" s="14">
        <v>0.63226120747211101</v>
      </c>
      <c r="AE10" s="14">
        <v>0.408342900726405</v>
      </c>
      <c r="AF10" s="14">
        <v>0.50092154605779804</v>
      </c>
      <c r="AG10" s="14">
        <v>0.32862841439120299</v>
      </c>
      <c r="AH10" s="14"/>
      <c r="AI10" s="14">
        <v>0.444127985338444</v>
      </c>
      <c r="AJ10" s="14">
        <v>0.63681891664997103</v>
      </c>
      <c r="AK10" s="14">
        <v>0.54882311385692595</v>
      </c>
      <c r="AL10" s="14">
        <v>0.51110341790970404</v>
      </c>
      <c r="AM10" s="14">
        <v>0.439606450251531</v>
      </c>
      <c r="AN10" s="14">
        <v>0.70308654584196395</v>
      </c>
      <c r="AO10" s="14"/>
      <c r="AP10" s="14">
        <v>0.45625921427475502</v>
      </c>
      <c r="AQ10" s="14">
        <v>0.64318725953966105</v>
      </c>
      <c r="AR10" s="14"/>
      <c r="AS10" s="14" t="s">
        <v>88</v>
      </c>
      <c r="AT10" s="14">
        <v>0.52820562591267395</v>
      </c>
      <c r="AU10" s="14" t="s">
        <v>88</v>
      </c>
      <c r="AV10" s="14"/>
      <c r="AW10" s="14">
        <v>0.52867633381302104</v>
      </c>
      <c r="AX10" s="14">
        <v>0.46679721512045302</v>
      </c>
      <c r="AY10" s="14"/>
      <c r="AZ10" s="14">
        <v>0.516602377391713</v>
      </c>
      <c r="BA10" s="14">
        <v>0.59765139902523201</v>
      </c>
    </row>
    <row r="11" spans="2:53" x14ac:dyDescent="0.35">
      <c r="B11" s="15" t="s">
        <v>222</v>
      </c>
      <c r="C11" s="14">
        <v>0.16551267175888501</v>
      </c>
      <c r="D11" s="14">
        <v>0.15823053417208899</v>
      </c>
      <c r="E11" s="14">
        <v>0.172995854816336</v>
      </c>
      <c r="F11" s="14"/>
      <c r="G11" s="14" t="s">
        <v>88</v>
      </c>
      <c r="H11" s="14">
        <v>0.14502956459809799</v>
      </c>
      <c r="I11" s="14">
        <v>0.19860514483063499</v>
      </c>
      <c r="J11" s="14">
        <v>9.1629297308415097E-2</v>
      </c>
      <c r="K11" s="14">
        <v>0.17048150419616701</v>
      </c>
      <c r="L11" s="14">
        <v>0</v>
      </c>
      <c r="M11" s="14"/>
      <c r="N11" s="14">
        <v>0.101062809873443</v>
      </c>
      <c r="O11" s="14">
        <v>0.28508232930204602</v>
      </c>
      <c r="P11" s="14">
        <v>0.188941092585933</v>
      </c>
      <c r="Q11" s="14">
        <v>5.9776127008697999E-2</v>
      </c>
      <c r="R11" s="14"/>
      <c r="S11" s="14">
        <v>0.114659404362753</v>
      </c>
      <c r="T11" s="14">
        <v>7.9069659391799496E-2</v>
      </c>
      <c r="U11" s="14">
        <v>0.16507788267637499</v>
      </c>
      <c r="V11" s="14">
        <v>0.34632577894046002</v>
      </c>
      <c r="W11" s="14">
        <v>0.53367337412748705</v>
      </c>
      <c r="X11" s="14">
        <v>0.13037097417072099</v>
      </c>
      <c r="Y11" s="14">
        <v>0.14623674105840501</v>
      </c>
      <c r="Z11" s="14">
        <v>0</v>
      </c>
      <c r="AA11" s="14">
        <v>0.15675313940198701</v>
      </c>
      <c r="AB11" s="14"/>
      <c r="AC11" s="14">
        <v>0.15972375784048501</v>
      </c>
      <c r="AD11" s="14">
        <v>0.13695910916294399</v>
      </c>
      <c r="AE11" s="14">
        <v>0.192735246180569</v>
      </c>
      <c r="AF11" s="14">
        <v>0.190162319280896</v>
      </c>
      <c r="AG11" s="14">
        <v>0</v>
      </c>
      <c r="AH11" s="14"/>
      <c r="AI11" s="14">
        <v>0.16544438424631999</v>
      </c>
      <c r="AJ11" s="14">
        <v>0.14120038355797301</v>
      </c>
      <c r="AK11" s="14">
        <v>0.188124194567095</v>
      </c>
      <c r="AL11" s="14">
        <v>0.14278657747068099</v>
      </c>
      <c r="AM11" s="14">
        <v>0.220428827821635</v>
      </c>
      <c r="AN11" s="14">
        <v>0.18420995031050999</v>
      </c>
      <c r="AO11" s="14"/>
      <c r="AP11" s="14">
        <v>0.196464648251616</v>
      </c>
      <c r="AQ11" s="14">
        <v>0.11604656580451</v>
      </c>
      <c r="AR11" s="14"/>
      <c r="AS11" s="14" t="s">
        <v>88</v>
      </c>
      <c r="AT11" s="14">
        <v>0.16551267175888501</v>
      </c>
      <c r="AU11" s="14" t="s">
        <v>88</v>
      </c>
      <c r="AV11" s="14"/>
      <c r="AW11" s="14">
        <v>0.18068851165890201</v>
      </c>
      <c r="AX11" s="14">
        <v>0.15368800736605701</v>
      </c>
      <c r="AY11" s="14"/>
      <c r="AZ11" s="14">
        <v>0.16766890485907901</v>
      </c>
      <c r="BA11" s="14">
        <v>0.15260755519748501</v>
      </c>
    </row>
    <row r="12" spans="2:53" x14ac:dyDescent="0.35">
      <c r="B12" s="15" t="s">
        <v>223</v>
      </c>
      <c r="C12" s="14">
        <v>1.5742801228406499E-2</v>
      </c>
      <c r="D12" s="14">
        <v>1.8961572277177399E-2</v>
      </c>
      <c r="E12" s="14">
        <v>1.24351662529765E-2</v>
      </c>
      <c r="F12" s="14"/>
      <c r="G12" s="14" t="s">
        <v>88</v>
      </c>
      <c r="H12" s="14">
        <v>2.5737831870891001E-2</v>
      </c>
      <c r="I12" s="14">
        <v>1.8203650415057698E-2</v>
      </c>
      <c r="J12" s="14">
        <v>0</v>
      </c>
      <c r="K12" s="14">
        <v>0</v>
      </c>
      <c r="L12" s="14">
        <v>0</v>
      </c>
      <c r="M12" s="14"/>
      <c r="N12" s="14">
        <v>4.2131065115331096E-3</v>
      </c>
      <c r="O12" s="14">
        <v>1.5747422493460499E-2</v>
      </c>
      <c r="P12" s="14">
        <v>5.3603846064895197E-2</v>
      </c>
      <c r="Q12" s="14">
        <v>0</v>
      </c>
      <c r="R12" s="14"/>
      <c r="S12" s="14">
        <v>0</v>
      </c>
      <c r="T12" s="14">
        <v>3.0442206541204799E-2</v>
      </c>
      <c r="U12" s="14">
        <v>0</v>
      </c>
      <c r="V12" s="14">
        <v>0</v>
      </c>
      <c r="W12" s="14">
        <v>1.7247697296545E-2</v>
      </c>
      <c r="X12" s="14">
        <v>0</v>
      </c>
      <c r="Y12" s="14">
        <v>8.3338961946599802E-2</v>
      </c>
      <c r="Z12" s="14">
        <v>0</v>
      </c>
      <c r="AA12" s="14">
        <v>0</v>
      </c>
      <c r="AB12" s="14"/>
      <c r="AC12" s="14">
        <v>6.4024269789094201E-2</v>
      </c>
      <c r="AD12" s="14">
        <v>2.5778419946257101E-2</v>
      </c>
      <c r="AE12" s="14">
        <v>0</v>
      </c>
      <c r="AF12" s="14">
        <v>0</v>
      </c>
      <c r="AG12" s="14">
        <v>7.1301060561869106E-2</v>
      </c>
      <c r="AH12" s="14"/>
      <c r="AI12" s="14">
        <v>0</v>
      </c>
      <c r="AJ12" s="14">
        <v>0</v>
      </c>
      <c r="AK12" s="14">
        <v>0</v>
      </c>
      <c r="AL12" s="14">
        <v>3.9980373341307301E-2</v>
      </c>
      <c r="AM12" s="14">
        <v>0</v>
      </c>
      <c r="AN12" s="14">
        <v>1.9858039434587301E-2</v>
      </c>
      <c r="AO12" s="14"/>
      <c r="AP12" s="14">
        <v>2.3730201134162798E-2</v>
      </c>
      <c r="AQ12" s="14">
        <v>2.9776852387736401E-3</v>
      </c>
      <c r="AR12" s="14"/>
      <c r="AS12" s="14" t="s">
        <v>88</v>
      </c>
      <c r="AT12" s="14">
        <v>1.5742801228406499E-2</v>
      </c>
      <c r="AU12" s="14" t="s">
        <v>88</v>
      </c>
      <c r="AV12" s="14"/>
      <c r="AW12" s="14">
        <v>1.9705363865355398E-2</v>
      </c>
      <c r="AX12" s="14">
        <v>0</v>
      </c>
      <c r="AY12" s="14"/>
      <c r="AZ12" s="14">
        <v>7.15763508520895E-3</v>
      </c>
      <c r="BA12" s="14">
        <v>6.7125265288973099E-2</v>
      </c>
    </row>
    <row r="13" spans="2:53" x14ac:dyDescent="0.35">
      <c r="B13" s="15" t="s">
        <v>116</v>
      </c>
      <c r="C13" s="18">
        <v>3.38664694715878E-2</v>
      </c>
      <c r="D13" s="18">
        <v>2.6902405581384198E-2</v>
      </c>
      <c r="E13" s="18">
        <v>4.1022797444390302E-2</v>
      </c>
      <c r="F13" s="18"/>
      <c r="G13" s="18" t="s">
        <v>88</v>
      </c>
      <c r="H13" s="18">
        <v>1.5648430195214998E-2</v>
      </c>
      <c r="I13" s="18">
        <v>2.45886516038374E-2</v>
      </c>
      <c r="J13" s="18">
        <v>0.107441121233476</v>
      </c>
      <c r="K13" s="18">
        <v>0</v>
      </c>
      <c r="L13" s="18">
        <v>0</v>
      </c>
      <c r="M13" s="18"/>
      <c r="N13" s="18">
        <v>3.4442988150312E-2</v>
      </c>
      <c r="O13" s="18">
        <v>5.6737374018538803E-2</v>
      </c>
      <c r="P13" s="18">
        <v>3.64223057744643E-2</v>
      </c>
      <c r="Q13" s="18">
        <v>0</v>
      </c>
      <c r="R13" s="18"/>
      <c r="S13" s="18">
        <v>4.8404034095116698E-2</v>
      </c>
      <c r="T13" s="18">
        <v>8.3646727143130206E-2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8.6052619981350206E-2</v>
      </c>
      <c r="AB13" s="18"/>
      <c r="AC13" s="18">
        <v>4.3502690617051497E-2</v>
      </c>
      <c r="AD13" s="18">
        <v>4.84330707976749E-2</v>
      </c>
      <c r="AE13" s="18">
        <v>6.8483778601165599E-2</v>
      </c>
      <c r="AF13" s="18">
        <v>0</v>
      </c>
      <c r="AG13" s="18">
        <v>0</v>
      </c>
      <c r="AH13" s="18"/>
      <c r="AI13" s="18">
        <v>0</v>
      </c>
      <c r="AJ13" s="18">
        <v>6.8568720091440702E-2</v>
      </c>
      <c r="AK13" s="18">
        <v>0</v>
      </c>
      <c r="AL13" s="18">
        <v>8.2243410321188995E-2</v>
      </c>
      <c r="AM13" s="18">
        <v>0</v>
      </c>
      <c r="AN13" s="18">
        <v>0</v>
      </c>
      <c r="AO13" s="18"/>
      <c r="AP13" s="18">
        <v>3.39546290644792E-2</v>
      </c>
      <c r="AQ13" s="18">
        <v>3.3725576635103303E-2</v>
      </c>
      <c r="AR13" s="18"/>
      <c r="AS13" s="18" t="s">
        <v>88</v>
      </c>
      <c r="AT13" s="18">
        <v>3.38664694715878E-2</v>
      </c>
      <c r="AU13" s="18" t="s">
        <v>88</v>
      </c>
      <c r="AV13" s="18"/>
      <c r="AW13" s="18">
        <v>4.571923486888E-2</v>
      </c>
      <c r="AX13" s="18">
        <v>0</v>
      </c>
      <c r="AY13" s="18"/>
      <c r="AZ13" s="18">
        <v>3.3704931967692003E-2</v>
      </c>
      <c r="BA13" s="18">
        <v>3.4833276036529498E-2</v>
      </c>
    </row>
    <row r="14" spans="2:53" x14ac:dyDescent="0.35">
      <c r="B14" s="26" t="s">
        <v>224</v>
      </c>
      <c r="C14" s="27">
        <v>0.740649347179269</v>
      </c>
      <c r="D14" s="27">
        <v>0.77164098329477604</v>
      </c>
      <c r="E14" s="27">
        <v>0.70880209305394404</v>
      </c>
      <c r="F14" s="27"/>
      <c r="G14" s="27" t="s">
        <v>88</v>
      </c>
      <c r="H14" s="27">
        <v>0.75725684439441399</v>
      </c>
      <c r="I14" s="27">
        <v>0.72231042732635398</v>
      </c>
      <c r="J14" s="27">
        <v>0.72798862316239099</v>
      </c>
      <c r="K14" s="27">
        <v>0.82951849580383297</v>
      </c>
      <c r="L14" s="27">
        <v>1</v>
      </c>
      <c r="M14" s="27"/>
      <c r="N14" s="27">
        <v>0.77938482467318104</v>
      </c>
      <c r="O14" s="27">
        <v>0.62668545152316402</v>
      </c>
      <c r="P14" s="27">
        <v>0.65709019243095701</v>
      </c>
      <c r="Q14" s="27">
        <v>0.91534426361177001</v>
      </c>
      <c r="R14" s="27"/>
      <c r="S14" s="27">
        <v>0.80373084287754404</v>
      </c>
      <c r="T14" s="27">
        <v>0.77639920005532004</v>
      </c>
      <c r="U14" s="27">
        <v>0.83492211732362498</v>
      </c>
      <c r="V14" s="27">
        <v>0.65367422105953998</v>
      </c>
      <c r="W14" s="27">
        <v>0.44907892857596798</v>
      </c>
      <c r="X14" s="27">
        <v>0.75789493350542403</v>
      </c>
      <c r="Y14" s="27">
        <v>0.64250238373495205</v>
      </c>
      <c r="Z14" s="27">
        <v>1</v>
      </c>
      <c r="AA14" s="27">
        <v>0.71731092793507301</v>
      </c>
      <c r="AB14" s="27"/>
      <c r="AC14" s="27">
        <v>0.71308681012663699</v>
      </c>
      <c r="AD14" s="27">
        <v>0.70772657443502596</v>
      </c>
      <c r="AE14" s="27">
        <v>0.69598207653149402</v>
      </c>
      <c r="AF14" s="27">
        <v>0.77427953715347198</v>
      </c>
      <c r="AG14" s="27">
        <v>0.56956810290043403</v>
      </c>
      <c r="AH14" s="27"/>
      <c r="AI14" s="27">
        <v>0.777775641793923</v>
      </c>
      <c r="AJ14" s="27">
        <v>0.77727062005240999</v>
      </c>
      <c r="AK14" s="27">
        <v>0.78752250049934303</v>
      </c>
      <c r="AL14" s="27">
        <v>0.69628852778100303</v>
      </c>
      <c r="AM14" s="27">
        <v>0.59438945063636095</v>
      </c>
      <c r="AN14" s="27">
        <v>0.79593201025490301</v>
      </c>
      <c r="AO14" s="27"/>
      <c r="AP14" s="27">
        <v>0.69881495700526697</v>
      </c>
      <c r="AQ14" s="27">
        <v>0.80750725453681105</v>
      </c>
      <c r="AR14" s="27"/>
      <c r="AS14" s="27" t="s">
        <v>88</v>
      </c>
      <c r="AT14" s="27">
        <v>0.740649347179269</v>
      </c>
      <c r="AU14" s="27" t="s">
        <v>88</v>
      </c>
      <c r="AV14" s="27"/>
      <c r="AW14" s="27">
        <v>0.71335891277626895</v>
      </c>
      <c r="AX14" s="27">
        <v>0.80537554451960303</v>
      </c>
      <c r="AY14" s="27"/>
      <c r="AZ14" s="27">
        <v>0.74670683524049497</v>
      </c>
      <c r="BA14" s="27">
        <v>0.70439510848292497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B2:BA18"/>
  <sheetViews>
    <sheetView showGridLines="0" workbookViewId="0">
      <pane xSplit="2" topLeftCell="C1" activePane="topRight" state="frozen"/>
      <selection pane="topRight" activeCell="B9" sqref="B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181</v>
      </c>
      <c r="D7" s="10">
        <v>77</v>
      </c>
      <c r="E7" s="10">
        <v>104</v>
      </c>
      <c r="F7" s="10"/>
      <c r="G7" s="10" t="s">
        <v>87</v>
      </c>
      <c r="H7" s="10">
        <v>45</v>
      </c>
      <c r="I7" s="10">
        <v>98</v>
      </c>
      <c r="J7" s="10">
        <v>29</v>
      </c>
      <c r="K7" s="10">
        <v>8</v>
      </c>
      <c r="L7" s="10">
        <v>1</v>
      </c>
      <c r="M7" s="10"/>
      <c r="N7" s="10">
        <v>78</v>
      </c>
      <c r="O7" s="10">
        <v>52</v>
      </c>
      <c r="P7" s="10">
        <v>23</v>
      </c>
      <c r="Q7" s="10">
        <v>28</v>
      </c>
      <c r="R7" s="10"/>
      <c r="S7" s="10">
        <v>39</v>
      </c>
      <c r="T7" s="10">
        <v>29</v>
      </c>
      <c r="U7" s="10">
        <v>16</v>
      </c>
      <c r="V7" s="10">
        <v>11</v>
      </c>
      <c r="W7" s="10">
        <v>13</v>
      </c>
      <c r="X7" s="10">
        <v>21</v>
      </c>
      <c r="Y7" s="10">
        <v>21</v>
      </c>
      <c r="Z7" s="10">
        <v>6</v>
      </c>
      <c r="AA7" s="10">
        <v>25</v>
      </c>
      <c r="AB7" s="10"/>
      <c r="AC7" s="10">
        <v>20</v>
      </c>
      <c r="AD7" s="10">
        <v>33</v>
      </c>
      <c r="AE7" s="10">
        <v>49</v>
      </c>
      <c r="AF7" s="10">
        <v>52</v>
      </c>
      <c r="AG7" s="10">
        <v>6</v>
      </c>
      <c r="AH7" s="10"/>
      <c r="AI7" s="10">
        <v>62</v>
      </c>
      <c r="AJ7" s="10">
        <v>43</v>
      </c>
      <c r="AK7" s="10">
        <v>15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78</v>
      </c>
      <c r="AR7" s="10"/>
      <c r="AS7" s="10" t="s">
        <v>87</v>
      </c>
      <c r="AT7" s="10">
        <v>181</v>
      </c>
      <c r="AU7" s="10" t="s">
        <v>87</v>
      </c>
      <c r="AV7" s="10"/>
      <c r="AW7" s="10">
        <v>129</v>
      </c>
      <c r="AX7" s="10">
        <v>44</v>
      </c>
      <c r="AY7" s="10"/>
      <c r="AZ7" s="10">
        <v>155</v>
      </c>
      <c r="BA7" s="10">
        <v>26</v>
      </c>
    </row>
    <row r="8" spans="2:53" ht="30" customHeight="1" x14ac:dyDescent="0.35">
      <c r="B8" s="11" t="s">
        <v>19</v>
      </c>
      <c r="C8" s="11">
        <v>177</v>
      </c>
      <c r="D8" s="11">
        <v>90</v>
      </c>
      <c r="E8" s="11">
        <v>87</v>
      </c>
      <c r="F8" s="11"/>
      <c r="G8" s="11" t="s">
        <v>87</v>
      </c>
      <c r="H8" s="11">
        <v>42</v>
      </c>
      <c r="I8" s="11">
        <v>93</v>
      </c>
      <c r="J8" s="11">
        <v>28</v>
      </c>
      <c r="K8" s="11">
        <v>12</v>
      </c>
      <c r="L8" s="11">
        <v>1</v>
      </c>
      <c r="M8" s="11"/>
      <c r="N8" s="11">
        <v>48</v>
      </c>
      <c r="O8" s="11">
        <v>56</v>
      </c>
      <c r="P8" s="11">
        <v>32</v>
      </c>
      <c r="Q8" s="11">
        <v>41</v>
      </c>
      <c r="R8" s="11"/>
      <c r="S8" s="11">
        <v>29</v>
      </c>
      <c r="T8" s="11">
        <v>29</v>
      </c>
      <c r="U8" s="11">
        <v>22</v>
      </c>
      <c r="V8" s="11">
        <v>12</v>
      </c>
      <c r="W8" s="11">
        <v>12</v>
      </c>
      <c r="X8" s="11">
        <v>21</v>
      </c>
      <c r="Y8" s="11">
        <v>20</v>
      </c>
      <c r="Z8" s="11">
        <v>7</v>
      </c>
      <c r="AA8" s="11">
        <v>25</v>
      </c>
      <c r="AB8" s="11"/>
      <c r="AC8" s="11">
        <v>27</v>
      </c>
      <c r="AD8" s="11">
        <v>34</v>
      </c>
      <c r="AE8" s="11">
        <v>46</v>
      </c>
      <c r="AF8" s="11">
        <v>43</v>
      </c>
      <c r="AG8" s="11">
        <v>3</v>
      </c>
      <c r="AH8" s="11"/>
      <c r="AI8" s="11">
        <v>65</v>
      </c>
      <c r="AJ8" s="11">
        <v>40</v>
      </c>
      <c r="AK8" s="11">
        <v>13</v>
      </c>
      <c r="AL8" s="11">
        <v>22</v>
      </c>
      <c r="AM8" s="11">
        <v>8</v>
      </c>
      <c r="AN8" s="11">
        <v>10</v>
      </c>
      <c r="AO8" s="11"/>
      <c r="AP8" s="11">
        <v>109</v>
      </c>
      <c r="AQ8" s="11">
        <v>68</v>
      </c>
      <c r="AR8" s="11"/>
      <c r="AS8" s="11" t="s">
        <v>87</v>
      </c>
      <c r="AT8" s="11">
        <v>177</v>
      </c>
      <c r="AU8" s="11" t="s">
        <v>87</v>
      </c>
      <c r="AV8" s="11"/>
      <c r="AW8" s="11">
        <v>131</v>
      </c>
      <c r="AX8" s="11">
        <v>36</v>
      </c>
      <c r="AY8" s="11"/>
      <c r="AZ8" s="11">
        <v>152</v>
      </c>
      <c r="BA8" s="11">
        <v>25</v>
      </c>
    </row>
    <row r="9" spans="2:53" x14ac:dyDescent="0.35">
      <c r="B9" s="15" t="s">
        <v>226</v>
      </c>
      <c r="C9" s="14">
        <v>0.22669429690699799</v>
      </c>
      <c r="D9" s="14">
        <v>0.21800754494105501</v>
      </c>
      <c r="E9" s="14">
        <v>0.235620872979071</v>
      </c>
      <c r="F9" s="14"/>
      <c r="G9" s="14" t="s">
        <v>88</v>
      </c>
      <c r="H9" s="14">
        <v>0.31686869183282701</v>
      </c>
      <c r="I9" s="14">
        <v>0.206185895762557</v>
      </c>
      <c r="J9" s="14">
        <v>0.18124000267423901</v>
      </c>
      <c r="K9" s="14">
        <v>0.19905108002198099</v>
      </c>
      <c r="L9" s="14">
        <v>0</v>
      </c>
      <c r="M9" s="14"/>
      <c r="N9" s="14">
        <v>0.27508708773252799</v>
      </c>
      <c r="O9" s="14">
        <v>0.25617964493435402</v>
      </c>
      <c r="P9" s="14">
        <v>6.9194432651659296E-2</v>
      </c>
      <c r="Q9" s="14">
        <v>0.25140967535934799</v>
      </c>
      <c r="R9" s="14"/>
      <c r="S9" s="14">
        <v>0.28474286978114999</v>
      </c>
      <c r="T9" s="14">
        <v>0.26824670922823002</v>
      </c>
      <c r="U9" s="14">
        <v>0.13739296680983601</v>
      </c>
      <c r="V9" s="14">
        <v>0.37807321429354301</v>
      </c>
      <c r="W9" s="14">
        <v>0.25378332984588498</v>
      </c>
      <c r="X9" s="14">
        <v>0.161257453546789</v>
      </c>
      <c r="Y9" s="14">
        <v>0.10686883124680201</v>
      </c>
      <c r="Z9" s="14">
        <v>0.36232865525997598</v>
      </c>
      <c r="AA9" s="14">
        <v>0.22463820482973501</v>
      </c>
      <c r="AB9" s="14"/>
      <c r="AC9" s="14">
        <v>0.14506817879484901</v>
      </c>
      <c r="AD9" s="14">
        <v>0.108629086124388</v>
      </c>
      <c r="AE9" s="14">
        <v>0.29193089669083699</v>
      </c>
      <c r="AF9" s="14">
        <v>0.27957081630193198</v>
      </c>
      <c r="AG9" s="14">
        <v>0.3122407490711</v>
      </c>
      <c r="AH9" s="14"/>
      <c r="AI9" s="14">
        <v>0.31854805137290199</v>
      </c>
      <c r="AJ9" s="14">
        <v>0.109463408291975</v>
      </c>
      <c r="AK9" s="14">
        <v>0.30900055848653901</v>
      </c>
      <c r="AL9" s="14">
        <v>0.24858062976763001</v>
      </c>
      <c r="AM9" s="14">
        <v>0.26147884126879101</v>
      </c>
      <c r="AN9" s="14">
        <v>0.112703503847527</v>
      </c>
      <c r="AO9" s="14"/>
      <c r="AP9" s="14">
        <v>0.224925522944248</v>
      </c>
      <c r="AQ9" s="14">
        <v>0.22952107471458899</v>
      </c>
      <c r="AR9" s="14"/>
      <c r="AS9" s="14" t="s">
        <v>88</v>
      </c>
      <c r="AT9" s="14">
        <v>0.22669429690699799</v>
      </c>
      <c r="AU9" s="14" t="s">
        <v>88</v>
      </c>
      <c r="AV9" s="14"/>
      <c r="AW9" s="14">
        <v>0.18454124372290701</v>
      </c>
      <c r="AX9" s="14">
        <v>0.40268414609789299</v>
      </c>
      <c r="AY9" s="14"/>
      <c r="AZ9" s="14">
        <v>0.236882742174471</v>
      </c>
      <c r="BA9" s="14">
        <v>0.16571616159114799</v>
      </c>
    </row>
    <row r="10" spans="2:53" x14ac:dyDescent="0.35">
      <c r="B10" s="15" t="s">
        <v>227</v>
      </c>
      <c r="C10" s="14">
        <v>0.41450847085341302</v>
      </c>
      <c r="D10" s="14">
        <v>0.43425231210562099</v>
      </c>
      <c r="E10" s="14">
        <v>0.394219541045847</v>
      </c>
      <c r="F10" s="14"/>
      <c r="G10" s="14" t="s">
        <v>88</v>
      </c>
      <c r="H10" s="14">
        <v>0.37331532290890401</v>
      </c>
      <c r="I10" s="14">
        <v>0.43422040881365098</v>
      </c>
      <c r="J10" s="14">
        <v>0.29484436199575698</v>
      </c>
      <c r="K10" s="14">
        <v>0.63046741578185195</v>
      </c>
      <c r="L10" s="14">
        <v>1</v>
      </c>
      <c r="M10" s="14"/>
      <c r="N10" s="14">
        <v>0.42698175392270299</v>
      </c>
      <c r="O10" s="14">
        <v>0.27964981628476399</v>
      </c>
      <c r="P10" s="14">
        <v>0.581127939346052</v>
      </c>
      <c r="Q10" s="14">
        <v>0.45520628223752402</v>
      </c>
      <c r="R10" s="14"/>
      <c r="S10" s="14">
        <v>0.310684944930325</v>
      </c>
      <c r="T10" s="14">
        <v>0.43765697970797302</v>
      </c>
      <c r="U10" s="14">
        <v>0.57530639832850405</v>
      </c>
      <c r="V10" s="14">
        <v>0.38880602435480199</v>
      </c>
      <c r="W10" s="14">
        <v>0.18433201908866301</v>
      </c>
      <c r="X10" s="14">
        <v>0.46381654456870902</v>
      </c>
      <c r="Y10" s="14">
        <v>0.45866308132101902</v>
      </c>
      <c r="Z10" s="14">
        <v>0.28520068032225998</v>
      </c>
      <c r="AA10" s="14">
        <v>0.44218775063104698</v>
      </c>
      <c r="AB10" s="14"/>
      <c r="AC10" s="14">
        <v>0.27017106997100598</v>
      </c>
      <c r="AD10" s="14">
        <v>0.494109798855009</v>
      </c>
      <c r="AE10" s="14">
        <v>0.37895945178914398</v>
      </c>
      <c r="AF10" s="14">
        <v>0.49729362356455298</v>
      </c>
      <c r="AG10" s="14">
        <v>0.32862841439120299</v>
      </c>
      <c r="AH10" s="14"/>
      <c r="AI10" s="14">
        <v>0.43786209106093998</v>
      </c>
      <c r="AJ10" s="14">
        <v>0.49206625579088098</v>
      </c>
      <c r="AK10" s="14">
        <v>0.47852194201280301</v>
      </c>
      <c r="AL10" s="14">
        <v>0.27347977072151403</v>
      </c>
      <c r="AM10" s="14">
        <v>0.33291060936757</v>
      </c>
      <c r="AN10" s="14">
        <v>0.52601833470109904</v>
      </c>
      <c r="AO10" s="14"/>
      <c r="AP10" s="14">
        <v>0.397105026394376</v>
      </c>
      <c r="AQ10" s="14">
        <v>0.44232190072546002</v>
      </c>
      <c r="AR10" s="14"/>
      <c r="AS10" s="14" t="s">
        <v>88</v>
      </c>
      <c r="AT10" s="14">
        <v>0.41450847085341302</v>
      </c>
      <c r="AU10" s="14" t="s">
        <v>88</v>
      </c>
      <c r="AV10" s="14"/>
      <c r="AW10" s="14">
        <v>0.422416913930175</v>
      </c>
      <c r="AX10" s="14">
        <v>0.29700778664606597</v>
      </c>
      <c r="AY10" s="14"/>
      <c r="AZ10" s="14">
        <v>0.45004286490066298</v>
      </c>
      <c r="BA10" s="14">
        <v>0.20183410968295401</v>
      </c>
    </row>
    <row r="11" spans="2:53" x14ac:dyDescent="0.35">
      <c r="B11" s="15" t="s">
        <v>228</v>
      </c>
      <c r="C11" s="14">
        <v>0.27556027259655702</v>
      </c>
      <c r="D11" s="14">
        <v>0.26031804679144699</v>
      </c>
      <c r="E11" s="14">
        <v>0.291223306224139</v>
      </c>
      <c r="F11" s="14"/>
      <c r="G11" s="14" t="s">
        <v>88</v>
      </c>
      <c r="H11" s="14">
        <v>0.24376455299510899</v>
      </c>
      <c r="I11" s="14">
        <v>0.26299527276019402</v>
      </c>
      <c r="J11" s="14">
        <v>0.42057243104943298</v>
      </c>
      <c r="K11" s="14">
        <v>0.17048150419616701</v>
      </c>
      <c r="L11" s="14">
        <v>0</v>
      </c>
      <c r="M11" s="14"/>
      <c r="N11" s="14">
        <v>0.203036704869764</v>
      </c>
      <c r="O11" s="14">
        <v>0.33173899449074201</v>
      </c>
      <c r="P11" s="14">
        <v>0.263301661930395</v>
      </c>
      <c r="Q11" s="14">
        <v>0.29338404240312799</v>
      </c>
      <c r="R11" s="14"/>
      <c r="S11" s="14">
        <v>0.31618941414472401</v>
      </c>
      <c r="T11" s="14">
        <v>0.202769690785502</v>
      </c>
      <c r="U11" s="14">
        <v>0.238972518770111</v>
      </c>
      <c r="V11" s="14">
        <v>0.10000800521703899</v>
      </c>
      <c r="W11" s="14">
        <v>0.56188465106545205</v>
      </c>
      <c r="X11" s="14">
        <v>0.334574011848362</v>
      </c>
      <c r="Y11" s="14">
        <v>0.23727989219741999</v>
      </c>
      <c r="Z11" s="14">
        <v>0.35247066441776398</v>
      </c>
      <c r="AA11" s="14">
        <v>0.25340741917603798</v>
      </c>
      <c r="AB11" s="14"/>
      <c r="AC11" s="14">
        <v>0.46234411986184998</v>
      </c>
      <c r="AD11" s="14">
        <v>0.26554856510418801</v>
      </c>
      <c r="AE11" s="14">
        <v>0.234862980374588</v>
      </c>
      <c r="AF11" s="14">
        <v>0.162443804106947</v>
      </c>
      <c r="AG11" s="14">
        <v>0.35913083653769701</v>
      </c>
      <c r="AH11" s="14"/>
      <c r="AI11" s="14">
        <v>0.20246053750013299</v>
      </c>
      <c r="AJ11" s="14">
        <v>0.32498967455968703</v>
      </c>
      <c r="AK11" s="14">
        <v>0.107333795264848</v>
      </c>
      <c r="AL11" s="14">
        <v>0.43923848842503599</v>
      </c>
      <c r="AM11" s="14">
        <v>0.33949570565887</v>
      </c>
      <c r="AN11" s="14">
        <v>0.13751069919262199</v>
      </c>
      <c r="AO11" s="14"/>
      <c r="AP11" s="14">
        <v>0.29135108446154701</v>
      </c>
      <c r="AQ11" s="14">
        <v>0.25032408217095897</v>
      </c>
      <c r="AR11" s="14"/>
      <c r="AS11" s="14" t="s">
        <v>88</v>
      </c>
      <c r="AT11" s="14">
        <v>0.27556027259655702</v>
      </c>
      <c r="AU11" s="14" t="s">
        <v>88</v>
      </c>
      <c r="AV11" s="14"/>
      <c r="AW11" s="14">
        <v>0.28958621721411498</v>
      </c>
      <c r="AX11" s="14">
        <v>0.26826617426994198</v>
      </c>
      <c r="AY11" s="14"/>
      <c r="AZ11" s="14">
        <v>0.246905870893593</v>
      </c>
      <c r="BA11" s="14">
        <v>0.44705768349363401</v>
      </c>
    </row>
    <row r="12" spans="2:53" x14ac:dyDescent="0.35">
      <c r="B12" s="15" t="s">
        <v>229</v>
      </c>
      <c r="C12" s="14">
        <v>2.7511119091479099E-2</v>
      </c>
      <c r="D12" s="14">
        <v>3.6255185905919203E-2</v>
      </c>
      <c r="E12" s="14">
        <v>1.8525645820870799E-2</v>
      </c>
      <c r="F12" s="14"/>
      <c r="G12" s="14" t="s">
        <v>88</v>
      </c>
      <c r="H12" s="14">
        <v>3.8343673718324298E-2</v>
      </c>
      <c r="I12" s="14">
        <v>3.4806012935891598E-2</v>
      </c>
      <c r="J12" s="14">
        <v>0</v>
      </c>
      <c r="K12" s="14">
        <v>0</v>
      </c>
      <c r="L12" s="14">
        <v>0</v>
      </c>
      <c r="M12" s="14"/>
      <c r="N12" s="14">
        <v>0</v>
      </c>
      <c r="O12" s="14">
        <v>5.6528376069134301E-2</v>
      </c>
      <c r="P12" s="14">
        <v>5.3603846064895197E-2</v>
      </c>
      <c r="Q12" s="14">
        <v>0</v>
      </c>
      <c r="R12" s="14"/>
      <c r="S12" s="14">
        <v>0</v>
      </c>
      <c r="T12" s="14">
        <v>3.0442206868545402E-2</v>
      </c>
      <c r="U12" s="14">
        <v>0</v>
      </c>
      <c r="V12" s="14">
        <v>0.13311275613461501</v>
      </c>
      <c r="W12" s="14">
        <v>0</v>
      </c>
      <c r="X12" s="14">
        <v>0</v>
      </c>
      <c r="Y12" s="14">
        <v>0.11932738600439</v>
      </c>
      <c r="Z12" s="14">
        <v>0</v>
      </c>
      <c r="AA12" s="14">
        <v>0</v>
      </c>
      <c r="AB12" s="14"/>
      <c r="AC12" s="14">
        <v>0.122416631372294</v>
      </c>
      <c r="AD12" s="14">
        <v>4.7230170631261198E-2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0.22376746225875199</v>
      </c>
      <c r="AO12" s="14"/>
      <c r="AP12" s="14">
        <v>3.7978900751245999E-2</v>
      </c>
      <c r="AQ12" s="14">
        <v>1.07819645959369E-2</v>
      </c>
      <c r="AR12" s="14"/>
      <c r="AS12" s="14" t="s">
        <v>88</v>
      </c>
      <c r="AT12" s="14">
        <v>2.7511119091479099E-2</v>
      </c>
      <c r="AU12" s="14" t="s">
        <v>88</v>
      </c>
      <c r="AV12" s="14"/>
      <c r="AW12" s="14">
        <v>3.7139605482179899E-2</v>
      </c>
      <c r="AX12" s="14">
        <v>0</v>
      </c>
      <c r="AY12" s="14"/>
      <c r="AZ12" s="14">
        <v>2.0892245650035699E-2</v>
      </c>
      <c r="BA12" s="14">
        <v>6.7125265288973099E-2</v>
      </c>
    </row>
    <row r="13" spans="2:53" x14ac:dyDescent="0.35">
      <c r="B13" s="15" t="s">
        <v>116</v>
      </c>
      <c r="C13" s="23">
        <v>3.07959559772766E-2</v>
      </c>
      <c r="D13" s="23">
        <v>2.6902405581384198E-2</v>
      </c>
      <c r="E13" s="23">
        <v>3.47969996280732E-2</v>
      </c>
      <c r="F13" s="23"/>
      <c r="G13" s="23" t="s">
        <v>88</v>
      </c>
      <c r="H13" s="23">
        <v>4.6941242235278603E-3</v>
      </c>
      <c r="I13" s="23">
        <v>3.6085640959069798E-2</v>
      </c>
      <c r="J13" s="23">
        <v>6.6551261427616706E-2</v>
      </c>
      <c r="K13" s="23">
        <v>0</v>
      </c>
      <c r="L13" s="23">
        <v>0</v>
      </c>
      <c r="M13" s="23"/>
      <c r="N13" s="23">
        <v>2.4847446866556301E-2</v>
      </c>
      <c r="O13" s="23">
        <v>7.5903168221005998E-2</v>
      </c>
      <c r="P13" s="23">
        <v>0</v>
      </c>
      <c r="Q13" s="23">
        <v>0</v>
      </c>
      <c r="R13" s="23"/>
      <c r="S13" s="23">
        <v>5.5177052479213201E-2</v>
      </c>
      <c r="T13" s="23">
        <v>6.0884413409750301E-2</v>
      </c>
      <c r="U13" s="23">
        <v>4.8328116091548697E-2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3.98833126815899E-2</v>
      </c>
      <c r="AB13" s="23"/>
      <c r="AC13" s="23">
        <v>0</v>
      </c>
      <c r="AD13" s="23">
        <v>2.9157973850504101E-2</v>
      </c>
      <c r="AE13" s="23">
        <v>7.2747138941653799E-2</v>
      </c>
      <c r="AF13" s="23">
        <v>2.51336124609358E-2</v>
      </c>
      <c r="AG13" s="23">
        <v>0</v>
      </c>
      <c r="AH13" s="23"/>
      <c r="AI13" s="23">
        <v>0</v>
      </c>
      <c r="AJ13" s="23">
        <v>7.3480661357457594E-2</v>
      </c>
      <c r="AK13" s="23">
        <v>8.0790399302246907E-2</v>
      </c>
      <c r="AL13" s="23">
        <v>0</v>
      </c>
      <c r="AM13" s="23">
        <v>0</v>
      </c>
      <c r="AN13" s="23">
        <v>0</v>
      </c>
      <c r="AO13" s="23"/>
      <c r="AP13" s="23">
        <v>1.9095732563551699E-2</v>
      </c>
      <c r="AQ13" s="23">
        <v>4.9494745413521002E-2</v>
      </c>
      <c r="AR13" s="23"/>
      <c r="AS13" s="23" t="s">
        <v>88</v>
      </c>
      <c r="AT13" s="23">
        <v>3.07959559772766E-2</v>
      </c>
      <c r="AU13" s="23" t="s">
        <v>88</v>
      </c>
      <c r="AV13" s="23"/>
      <c r="AW13" s="23">
        <v>4.0064078908967501E-2</v>
      </c>
      <c r="AX13" s="23">
        <v>5.4283938482554599E-3</v>
      </c>
      <c r="AY13" s="23"/>
      <c r="AZ13" s="23">
        <v>2.3037926260759099E-2</v>
      </c>
      <c r="BA13" s="23">
        <v>7.7227984949204895E-2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B2:BA17"/>
  <sheetViews>
    <sheetView showGridLines="0" workbookViewId="0">
      <pane xSplit="2" topLeftCell="C1" activePane="topRight" state="frozen"/>
      <selection pane="topRight" activeCell="B11" sqref="B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181</v>
      </c>
      <c r="D7" s="10">
        <v>77</v>
      </c>
      <c r="E7" s="10">
        <v>104</v>
      </c>
      <c r="F7" s="10"/>
      <c r="G7" s="10" t="s">
        <v>87</v>
      </c>
      <c r="H7" s="10">
        <v>45</v>
      </c>
      <c r="I7" s="10">
        <v>98</v>
      </c>
      <c r="J7" s="10">
        <v>29</v>
      </c>
      <c r="K7" s="10">
        <v>8</v>
      </c>
      <c r="L7" s="10">
        <v>1</v>
      </c>
      <c r="M7" s="10"/>
      <c r="N7" s="10">
        <v>78</v>
      </c>
      <c r="O7" s="10">
        <v>52</v>
      </c>
      <c r="P7" s="10">
        <v>23</v>
      </c>
      <c r="Q7" s="10">
        <v>28</v>
      </c>
      <c r="R7" s="10"/>
      <c r="S7" s="10">
        <v>39</v>
      </c>
      <c r="T7" s="10">
        <v>29</v>
      </c>
      <c r="U7" s="10">
        <v>16</v>
      </c>
      <c r="V7" s="10">
        <v>11</v>
      </c>
      <c r="W7" s="10">
        <v>13</v>
      </c>
      <c r="X7" s="10">
        <v>21</v>
      </c>
      <c r="Y7" s="10">
        <v>21</v>
      </c>
      <c r="Z7" s="10">
        <v>6</v>
      </c>
      <c r="AA7" s="10">
        <v>25</v>
      </c>
      <c r="AB7" s="10"/>
      <c r="AC7" s="10">
        <v>20</v>
      </c>
      <c r="AD7" s="10">
        <v>33</v>
      </c>
      <c r="AE7" s="10">
        <v>49</v>
      </c>
      <c r="AF7" s="10">
        <v>52</v>
      </c>
      <c r="AG7" s="10">
        <v>6</v>
      </c>
      <c r="AH7" s="10"/>
      <c r="AI7" s="10">
        <v>62</v>
      </c>
      <c r="AJ7" s="10">
        <v>43</v>
      </c>
      <c r="AK7" s="10">
        <v>15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78</v>
      </c>
      <c r="AR7" s="10"/>
      <c r="AS7" s="10" t="s">
        <v>87</v>
      </c>
      <c r="AT7" s="10">
        <v>181</v>
      </c>
      <c r="AU7" s="10" t="s">
        <v>87</v>
      </c>
      <c r="AV7" s="10"/>
      <c r="AW7" s="10">
        <v>129</v>
      </c>
      <c r="AX7" s="10">
        <v>44</v>
      </c>
      <c r="AY7" s="10"/>
      <c r="AZ7" s="10">
        <v>155</v>
      </c>
      <c r="BA7" s="10">
        <v>26</v>
      </c>
    </row>
    <row r="8" spans="2:53" ht="30" customHeight="1" x14ac:dyDescent="0.35">
      <c r="B8" s="11" t="s">
        <v>19</v>
      </c>
      <c r="C8" s="11">
        <v>177</v>
      </c>
      <c r="D8" s="11">
        <v>90</v>
      </c>
      <c r="E8" s="11">
        <v>87</v>
      </c>
      <c r="F8" s="11"/>
      <c r="G8" s="11" t="s">
        <v>87</v>
      </c>
      <c r="H8" s="11">
        <v>42</v>
      </c>
      <c r="I8" s="11">
        <v>93</v>
      </c>
      <c r="J8" s="11">
        <v>28</v>
      </c>
      <c r="K8" s="11">
        <v>12</v>
      </c>
      <c r="L8" s="11">
        <v>1</v>
      </c>
      <c r="M8" s="11"/>
      <c r="N8" s="11">
        <v>48</v>
      </c>
      <c r="O8" s="11">
        <v>56</v>
      </c>
      <c r="P8" s="11">
        <v>32</v>
      </c>
      <c r="Q8" s="11">
        <v>41</v>
      </c>
      <c r="R8" s="11"/>
      <c r="S8" s="11">
        <v>29</v>
      </c>
      <c r="T8" s="11">
        <v>29</v>
      </c>
      <c r="U8" s="11">
        <v>22</v>
      </c>
      <c r="V8" s="11">
        <v>12</v>
      </c>
      <c r="W8" s="11">
        <v>12</v>
      </c>
      <c r="X8" s="11">
        <v>21</v>
      </c>
      <c r="Y8" s="11">
        <v>20</v>
      </c>
      <c r="Z8" s="11">
        <v>7</v>
      </c>
      <c r="AA8" s="11">
        <v>25</v>
      </c>
      <c r="AB8" s="11"/>
      <c r="AC8" s="11">
        <v>27</v>
      </c>
      <c r="AD8" s="11">
        <v>34</v>
      </c>
      <c r="AE8" s="11">
        <v>46</v>
      </c>
      <c r="AF8" s="11">
        <v>43</v>
      </c>
      <c r="AG8" s="11">
        <v>3</v>
      </c>
      <c r="AH8" s="11"/>
      <c r="AI8" s="11">
        <v>65</v>
      </c>
      <c r="AJ8" s="11">
        <v>40</v>
      </c>
      <c r="AK8" s="11">
        <v>13</v>
      </c>
      <c r="AL8" s="11">
        <v>22</v>
      </c>
      <c r="AM8" s="11">
        <v>8</v>
      </c>
      <c r="AN8" s="11">
        <v>10</v>
      </c>
      <c r="AO8" s="11"/>
      <c r="AP8" s="11">
        <v>109</v>
      </c>
      <c r="AQ8" s="11">
        <v>68</v>
      </c>
      <c r="AR8" s="11"/>
      <c r="AS8" s="11" t="s">
        <v>87</v>
      </c>
      <c r="AT8" s="11">
        <v>177</v>
      </c>
      <c r="AU8" s="11" t="s">
        <v>87</v>
      </c>
      <c r="AV8" s="11"/>
      <c r="AW8" s="11">
        <v>131</v>
      </c>
      <c r="AX8" s="11">
        <v>36</v>
      </c>
      <c r="AY8" s="11"/>
      <c r="AZ8" s="11">
        <v>152</v>
      </c>
      <c r="BA8" s="11">
        <v>25</v>
      </c>
    </row>
    <row r="9" spans="2:53" ht="29" x14ac:dyDescent="0.35">
      <c r="B9" s="15" t="s">
        <v>231</v>
      </c>
      <c r="C9" s="14">
        <v>0.121142560432212</v>
      </c>
      <c r="D9" s="14">
        <v>0.12524718021091899</v>
      </c>
      <c r="E9" s="14">
        <v>0.116924620188816</v>
      </c>
      <c r="F9" s="14"/>
      <c r="G9" s="14" t="s">
        <v>88</v>
      </c>
      <c r="H9" s="14">
        <v>0.12781108095764701</v>
      </c>
      <c r="I9" s="14">
        <v>0.16304903198936099</v>
      </c>
      <c r="J9" s="14">
        <v>2.88816327923637E-2</v>
      </c>
      <c r="K9" s="14">
        <v>0</v>
      </c>
      <c r="L9" s="14">
        <v>0</v>
      </c>
      <c r="M9" s="14"/>
      <c r="N9" s="14">
        <v>7.9253628844406704E-2</v>
      </c>
      <c r="O9" s="14">
        <v>0.124865699303261</v>
      </c>
      <c r="P9" s="14">
        <v>0.17175955515202501</v>
      </c>
      <c r="Q9" s="14">
        <v>0.12606218743871</v>
      </c>
      <c r="R9" s="14"/>
      <c r="S9" s="14">
        <v>0.14971922910388399</v>
      </c>
      <c r="T9" s="14">
        <v>9.2139059853144994E-2</v>
      </c>
      <c r="U9" s="14">
        <v>6.8421650493277197E-2</v>
      </c>
      <c r="V9" s="14">
        <v>0.13311274786128</v>
      </c>
      <c r="W9" s="14">
        <v>0.150719356180266</v>
      </c>
      <c r="X9" s="14">
        <v>0.19182570532000201</v>
      </c>
      <c r="Y9" s="14">
        <v>0</v>
      </c>
      <c r="Z9" s="14">
        <v>0.36232865525997598</v>
      </c>
      <c r="AA9" s="14">
        <v>0.124949292678179</v>
      </c>
      <c r="AB9" s="14"/>
      <c r="AC9" s="14">
        <v>8.8820085483597197E-2</v>
      </c>
      <c r="AD9" s="14">
        <v>0.102013473827251</v>
      </c>
      <c r="AE9" s="14">
        <v>9.4251790021892504E-2</v>
      </c>
      <c r="AF9" s="14">
        <v>0.17576328398504701</v>
      </c>
      <c r="AG9" s="14">
        <v>0</v>
      </c>
      <c r="AH9" s="14"/>
      <c r="AI9" s="14">
        <v>0.14767934492896201</v>
      </c>
      <c r="AJ9" s="14">
        <v>0.119462978354252</v>
      </c>
      <c r="AK9" s="14">
        <v>6.6655754165628203E-2</v>
      </c>
      <c r="AL9" s="14">
        <v>0.18052100692908299</v>
      </c>
      <c r="AM9" s="14">
        <v>0.106695840883961</v>
      </c>
      <c r="AN9" s="14">
        <v>0.12019506899258101</v>
      </c>
      <c r="AO9" s="14"/>
      <c r="AP9" s="14">
        <v>0.15926319427771801</v>
      </c>
      <c r="AQ9" s="14">
        <v>6.02198173145784E-2</v>
      </c>
      <c r="AR9" s="14"/>
      <c r="AS9" s="14" t="s">
        <v>88</v>
      </c>
      <c r="AT9" s="14">
        <v>0.121142560432212</v>
      </c>
      <c r="AU9" s="14" t="s">
        <v>88</v>
      </c>
      <c r="AV9" s="14"/>
      <c r="AW9" s="14">
        <v>9.3218460279136495E-2</v>
      </c>
      <c r="AX9" s="14">
        <v>0.17478035785391399</v>
      </c>
      <c r="AY9" s="14"/>
      <c r="AZ9" s="14">
        <v>0.133603911334995</v>
      </c>
      <c r="BA9" s="14">
        <v>4.65610201069055E-2</v>
      </c>
    </row>
    <row r="10" spans="2:53" ht="29" x14ac:dyDescent="0.35">
      <c r="B10" s="15" t="s">
        <v>232</v>
      </c>
      <c r="C10" s="14">
        <v>0.72565047132218496</v>
      </c>
      <c r="D10" s="14">
        <v>0.73396402359766699</v>
      </c>
      <c r="E10" s="14">
        <v>0.71710739824870495</v>
      </c>
      <c r="F10" s="14"/>
      <c r="G10" s="14" t="s">
        <v>88</v>
      </c>
      <c r="H10" s="14">
        <v>0.83044472838410599</v>
      </c>
      <c r="I10" s="14">
        <v>0.63936144517872995</v>
      </c>
      <c r="J10" s="14">
        <v>0.81229288071627803</v>
      </c>
      <c r="K10" s="14">
        <v>0.79815629689173495</v>
      </c>
      <c r="L10" s="14">
        <v>1</v>
      </c>
      <c r="M10" s="14"/>
      <c r="N10" s="14">
        <v>0.813422240216499</v>
      </c>
      <c r="O10" s="14">
        <v>0.71967305191340003</v>
      </c>
      <c r="P10" s="14">
        <v>0.63123950256870198</v>
      </c>
      <c r="Q10" s="14">
        <v>0.703851916383193</v>
      </c>
      <c r="R10" s="14"/>
      <c r="S10" s="14">
        <v>0.77725238579579703</v>
      </c>
      <c r="T10" s="14">
        <v>0.63957070632870605</v>
      </c>
      <c r="U10" s="14">
        <v>0.797099021750032</v>
      </c>
      <c r="V10" s="14">
        <v>0.71514846536166599</v>
      </c>
      <c r="W10" s="14">
        <v>0.63503908783211005</v>
      </c>
      <c r="X10" s="14">
        <v>0.69994452961310905</v>
      </c>
      <c r="Y10" s="14">
        <v>0.88975169468218196</v>
      </c>
      <c r="Z10" s="14">
        <v>0.63767134474002396</v>
      </c>
      <c r="AA10" s="14">
        <v>0.659951607915506</v>
      </c>
      <c r="AB10" s="14"/>
      <c r="AC10" s="14">
        <v>0.55730429409039905</v>
      </c>
      <c r="AD10" s="14">
        <v>0.82621917372173004</v>
      </c>
      <c r="AE10" s="14">
        <v>0.72126900276922201</v>
      </c>
      <c r="AF10" s="14">
        <v>0.79447117713653803</v>
      </c>
      <c r="AG10" s="14">
        <v>0.92869893943813098</v>
      </c>
      <c r="AH10" s="14"/>
      <c r="AI10" s="14">
        <v>0.74599463199801896</v>
      </c>
      <c r="AJ10" s="14">
        <v>0.78515711784862396</v>
      </c>
      <c r="AK10" s="14">
        <v>0.57392572540692799</v>
      </c>
      <c r="AL10" s="14">
        <v>0.71990700077223202</v>
      </c>
      <c r="AM10" s="14">
        <v>0.74463933442047703</v>
      </c>
      <c r="AN10" s="14">
        <v>0.55340414587584796</v>
      </c>
      <c r="AO10" s="14"/>
      <c r="AP10" s="14">
        <v>0.69190979896559002</v>
      </c>
      <c r="AQ10" s="14">
        <v>0.77957335001638095</v>
      </c>
      <c r="AR10" s="14"/>
      <c r="AS10" s="14" t="s">
        <v>88</v>
      </c>
      <c r="AT10" s="14">
        <v>0.72565047132218496</v>
      </c>
      <c r="AU10" s="14" t="s">
        <v>88</v>
      </c>
      <c r="AV10" s="14"/>
      <c r="AW10" s="14">
        <v>0.73171228128072796</v>
      </c>
      <c r="AX10" s="14">
        <v>0.77167894358150402</v>
      </c>
      <c r="AY10" s="14"/>
      <c r="AZ10" s="14">
        <v>0.72990371792923303</v>
      </c>
      <c r="BA10" s="14">
        <v>0.70019466915340101</v>
      </c>
    </row>
    <row r="11" spans="2:53" ht="29" x14ac:dyDescent="0.35">
      <c r="B11" s="15" t="s">
        <v>233</v>
      </c>
      <c r="C11" s="14">
        <v>9.1337995703207303E-2</v>
      </c>
      <c r="D11" s="14">
        <v>9.6592776981288306E-2</v>
      </c>
      <c r="E11" s="14">
        <v>8.5938140267620394E-2</v>
      </c>
      <c r="F11" s="14"/>
      <c r="G11" s="14" t="s">
        <v>88</v>
      </c>
      <c r="H11" s="14">
        <v>3.6934492439682998E-2</v>
      </c>
      <c r="I11" s="14">
        <v>0.115064400643191</v>
      </c>
      <c r="J11" s="14">
        <v>5.13843652578823E-2</v>
      </c>
      <c r="K11" s="14">
        <v>0.20184370310826499</v>
      </c>
      <c r="L11" s="14">
        <v>0</v>
      </c>
      <c r="M11" s="14"/>
      <c r="N11" s="14">
        <v>7.0968698423003504E-2</v>
      </c>
      <c r="O11" s="14">
        <v>5.18814903248856E-2</v>
      </c>
      <c r="P11" s="14">
        <v>9.0026162210289001E-2</v>
      </c>
      <c r="Q11" s="14">
        <v>0.170085896178097</v>
      </c>
      <c r="R11" s="14"/>
      <c r="S11" s="14">
        <v>2.4624351005202098E-2</v>
      </c>
      <c r="T11" s="14">
        <v>0.164306543223733</v>
      </c>
      <c r="U11" s="14">
        <v>8.6151211665142099E-2</v>
      </c>
      <c r="V11" s="14">
        <v>1.86260306424391E-2</v>
      </c>
      <c r="W11" s="14">
        <v>0.19699385869107999</v>
      </c>
      <c r="X11" s="14">
        <v>6.1517912342695803E-2</v>
      </c>
      <c r="Y11" s="14">
        <v>8.3338961946599802E-2</v>
      </c>
      <c r="Z11" s="14">
        <v>0</v>
      </c>
      <c r="AA11" s="14">
        <v>0.129046479424965</v>
      </c>
      <c r="AB11" s="14"/>
      <c r="AC11" s="14">
        <v>0.20494279066339399</v>
      </c>
      <c r="AD11" s="14">
        <v>4.2609378600514398E-2</v>
      </c>
      <c r="AE11" s="14">
        <v>8.2869059999830394E-2</v>
      </c>
      <c r="AF11" s="14">
        <v>4.6319264174792003E-3</v>
      </c>
      <c r="AG11" s="14">
        <v>0</v>
      </c>
      <c r="AH11" s="14"/>
      <c r="AI11" s="14">
        <v>9.7913327672596098E-2</v>
      </c>
      <c r="AJ11" s="14">
        <v>2.6811183705683601E-2</v>
      </c>
      <c r="AK11" s="14">
        <v>0.27862812112519703</v>
      </c>
      <c r="AL11" s="14">
        <v>4.7222794801416203E-2</v>
      </c>
      <c r="AM11" s="14">
        <v>2.9597946858327201E-2</v>
      </c>
      <c r="AN11" s="14">
        <v>3.2346890619377497E-2</v>
      </c>
      <c r="AO11" s="14"/>
      <c r="AP11" s="14">
        <v>0.101641120626907</v>
      </c>
      <c r="AQ11" s="14">
        <v>7.4871988459482702E-2</v>
      </c>
      <c r="AR11" s="14"/>
      <c r="AS11" s="14" t="s">
        <v>88</v>
      </c>
      <c r="AT11" s="14">
        <v>9.1337995703207303E-2</v>
      </c>
      <c r="AU11" s="14" t="s">
        <v>88</v>
      </c>
      <c r="AV11" s="14"/>
      <c r="AW11" s="14">
        <v>9.3094242827476706E-2</v>
      </c>
      <c r="AX11" s="14">
        <v>5.3540698564582198E-2</v>
      </c>
      <c r="AY11" s="14"/>
      <c r="AZ11" s="14">
        <v>8.08110228979593E-2</v>
      </c>
      <c r="BA11" s="14">
        <v>0.15434222798132199</v>
      </c>
    </row>
    <row r="12" spans="2:53" x14ac:dyDescent="0.35">
      <c r="B12" s="15" t="s">
        <v>116</v>
      </c>
      <c r="C12" s="23">
        <v>6.1868972542395401E-2</v>
      </c>
      <c r="D12" s="23">
        <v>4.4196019210126003E-2</v>
      </c>
      <c r="E12" s="23">
        <v>8.0029841294858295E-2</v>
      </c>
      <c r="F12" s="23"/>
      <c r="G12" s="23" t="s">
        <v>88</v>
      </c>
      <c r="H12" s="23">
        <v>4.8096982185644099E-3</v>
      </c>
      <c r="I12" s="23">
        <v>8.2525122188718505E-2</v>
      </c>
      <c r="J12" s="23">
        <v>0.107441121233476</v>
      </c>
      <c r="K12" s="23">
        <v>0</v>
      </c>
      <c r="L12" s="23">
        <v>0</v>
      </c>
      <c r="M12" s="23"/>
      <c r="N12" s="23">
        <v>3.6355432516090899E-2</v>
      </c>
      <c r="O12" s="23">
        <v>0.10357975845845301</v>
      </c>
      <c r="P12" s="23">
        <v>0.106974780068985</v>
      </c>
      <c r="Q12" s="23">
        <v>0</v>
      </c>
      <c r="R12" s="23"/>
      <c r="S12" s="23">
        <v>4.8404034095116698E-2</v>
      </c>
      <c r="T12" s="23">
        <v>0.10398369059441601</v>
      </c>
      <c r="U12" s="23">
        <v>4.8328116091548697E-2</v>
      </c>
      <c r="V12" s="23">
        <v>0.13311275613461501</v>
      </c>
      <c r="W12" s="23">
        <v>1.7247697296545E-2</v>
      </c>
      <c r="X12" s="23">
        <v>4.67118527241938E-2</v>
      </c>
      <c r="Y12" s="23">
        <v>2.6909343371218201E-2</v>
      </c>
      <c r="Z12" s="23">
        <v>0</v>
      </c>
      <c r="AA12" s="23">
        <v>8.6052619981350206E-2</v>
      </c>
      <c r="AB12" s="23"/>
      <c r="AC12" s="23">
        <v>0.14893282976260999</v>
      </c>
      <c r="AD12" s="23">
        <v>2.9157973850504101E-2</v>
      </c>
      <c r="AE12" s="23">
        <v>0.10161014720905499</v>
      </c>
      <c r="AF12" s="23">
        <v>2.51336124609358E-2</v>
      </c>
      <c r="AG12" s="23">
        <v>7.1301060561869106E-2</v>
      </c>
      <c r="AH12" s="23"/>
      <c r="AI12" s="23">
        <v>8.4126954004227605E-3</v>
      </c>
      <c r="AJ12" s="23">
        <v>6.8568720091440702E-2</v>
      </c>
      <c r="AK12" s="23">
        <v>8.0790399302246907E-2</v>
      </c>
      <c r="AL12" s="23">
        <v>5.2349197497269399E-2</v>
      </c>
      <c r="AM12" s="23">
        <v>0.11906687783723501</v>
      </c>
      <c r="AN12" s="23">
        <v>0.29405389451219399</v>
      </c>
      <c r="AO12" s="23"/>
      <c r="AP12" s="23">
        <v>4.7185886129784298E-2</v>
      </c>
      <c r="AQ12" s="23">
        <v>8.5334844209557698E-2</v>
      </c>
      <c r="AR12" s="23"/>
      <c r="AS12" s="23" t="s">
        <v>88</v>
      </c>
      <c r="AT12" s="23">
        <v>6.1868972542395401E-2</v>
      </c>
      <c r="AU12" s="23" t="s">
        <v>88</v>
      </c>
      <c r="AV12" s="23"/>
      <c r="AW12" s="23">
        <v>8.1975015612658894E-2</v>
      </c>
      <c r="AX12" s="23">
        <v>0</v>
      </c>
      <c r="AY12" s="23"/>
      <c r="AZ12" s="23">
        <v>5.5681347837812402E-2</v>
      </c>
      <c r="BA12" s="23">
        <v>9.8902082758372506E-2</v>
      </c>
    </row>
    <row r="13" spans="2:53" x14ac:dyDescent="0.35">
      <c r="B13" s="16" t="s">
        <v>328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B2:BA18"/>
  <sheetViews>
    <sheetView showGridLines="0" workbookViewId="0">
      <pane xSplit="2" topLeftCell="C1" activePane="topRight" state="frozen"/>
      <selection pane="topRight" activeCell="B7" sqref="B7:BA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181</v>
      </c>
      <c r="D7" s="10">
        <v>77</v>
      </c>
      <c r="E7" s="10">
        <v>104</v>
      </c>
      <c r="F7" s="10"/>
      <c r="G7" s="10" t="s">
        <v>87</v>
      </c>
      <c r="H7" s="10">
        <v>45</v>
      </c>
      <c r="I7" s="10">
        <v>98</v>
      </c>
      <c r="J7" s="10">
        <v>29</v>
      </c>
      <c r="K7" s="10">
        <v>8</v>
      </c>
      <c r="L7" s="10">
        <v>1</v>
      </c>
      <c r="M7" s="10"/>
      <c r="N7" s="10">
        <v>78</v>
      </c>
      <c r="O7" s="10">
        <v>52</v>
      </c>
      <c r="P7" s="10">
        <v>23</v>
      </c>
      <c r="Q7" s="10">
        <v>28</v>
      </c>
      <c r="R7" s="10"/>
      <c r="S7" s="10">
        <v>39</v>
      </c>
      <c r="T7" s="10">
        <v>29</v>
      </c>
      <c r="U7" s="10">
        <v>16</v>
      </c>
      <c r="V7" s="10">
        <v>11</v>
      </c>
      <c r="W7" s="10">
        <v>13</v>
      </c>
      <c r="X7" s="10">
        <v>21</v>
      </c>
      <c r="Y7" s="10">
        <v>21</v>
      </c>
      <c r="Z7" s="10">
        <v>6</v>
      </c>
      <c r="AA7" s="10">
        <v>25</v>
      </c>
      <c r="AB7" s="10"/>
      <c r="AC7" s="10">
        <v>20</v>
      </c>
      <c r="AD7" s="10">
        <v>33</v>
      </c>
      <c r="AE7" s="10">
        <v>49</v>
      </c>
      <c r="AF7" s="10">
        <v>52</v>
      </c>
      <c r="AG7" s="10">
        <v>6</v>
      </c>
      <c r="AH7" s="10"/>
      <c r="AI7" s="10">
        <v>62</v>
      </c>
      <c r="AJ7" s="10">
        <v>43</v>
      </c>
      <c r="AK7" s="10">
        <v>15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78</v>
      </c>
      <c r="AR7" s="10"/>
      <c r="AS7" s="10" t="s">
        <v>87</v>
      </c>
      <c r="AT7" s="10">
        <v>181</v>
      </c>
      <c r="AU7" s="10" t="s">
        <v>87</v>
      </c>
      <c r="AV7" s="10"/>
      <c r="AW7" s="10">
        <v>129</v>
      </c>
      <c r="AX7" s="10">
        <v>44</v>
      </c>
      <c r="AY7" s="10"/>
      <c r="AZ7" s="10">
        <v>155</v>
      </c>
      <c r="BA7" s="10">
        <v>26</v>
      </c>
    </row>
    <row r="8" spans="2:53" ht="30" customHeight="1" x14ac:dyDescent="0.35">
      <c r="B8" s="11" t="s">
        <v>19</v>
      </c>
      <c r="C8" s="11">
        <v>177</v>
      </c>
      <c r="D8" s="11">
        <v>90</v>
      </c>
      <c r="E8" s="11">
        <v>87</v>
      </c>
      <c r="F8" s="11"/>
      <c r="G8" s="11" t="s">
        <v>87</v>
      </c>
      <c r="H8" s="11">
        <v>42</v>
      </c>
      <c r="I8" s="11">
        <v>93</v>
      </c>
      <c r="J8" s="11">
        <v>28</v>
      </c>
      <c r="K8" s="11">
        <v>12</v>
      </c>
      <c r="L8" s="11">
        <v>1</v>
      </c>
      <c r="M8" s="11"/>
      <c r="N8" s="11">
        <v>48</v>
      </c>
      <c r="O8" s="11">
        <v>56</v>
      </c>
      <c r="P8" s="11">
        <v>32</v>
      </c>
      <c r="Q8" s="11">
        <v>41</v>
      </c>
      <c r="R8" s="11"/>
      <c r="S8" s="11">
        <v>29</v>
      </c>
      <c r="T8" s="11">
        <v>29</v>
      </c>
      <c r="U8" s="11">
        <v>22</v>
      </c>
      <c r="V8" s="11">
        <v>12</v>
      </c>
      <c r="W8" s="11">
        <v>12</v>
      </c>
      <c r="X8" s="11">
        <v>21</v>
      </c>
      <c r="Y8" s="11">
        <v>20</v>
      </c>
      <c r="Z8" s="11">
        <v>7</v>
      </c>
      <c r="AA8" s="11">
        <v>25</v>
      </c>
      <c r="AB8" s="11"/>
      <c r="AC8" s="11">
        <v>27</v>
      </c>
      <c r="AD8" s="11">
        <v>34</v>
      </c>
      <c r="AE8" s="11">
        <v>46</v>
      </c>
      <c r="AF8" s="11">
        <v>43</v>
      </c>
      <c r="AG8" s="11">
        <v>3</v>
      </c>
      <c r="AH8" s="11"/>
      <c r="AI8" s="11">
        <v>65</v>
      </c>
      <c r="AJ8" s="11">
        <v>40</v>
      </c>
      <c r="AK8" s="11">
        <v>13</v>
      </c>
      <c r="AL8" s="11">
        <v>22</v>
      </c>
      <c r="AM8" s="11">
        <v>8</v>
      </c>
      <c r="AN8" s="11">
        <v>10</v>
      </c>
      <c r="AO8" s="11"/>
      <c r="AP8" s="11">
        <v>109</v>
      </c>
      <c r="AQ8" s="11">
        <v>68</v>
      </c>
      <c r="AR8" s="11"/>
      <c r="AS8" s="11" t="s">
        <v>87</v>
      </c>
      <c r="AT8" s="11">
        <v>177</v>
      </c>
      <c r="AU8" s="11" t="s">
        <v>87</v>
      </c>
      <c r="AV8" s="11"/>
      <c r="AW8" s="11">
        <v>131</v>
      </c>
      <c r="AX8" s="11">
        <v>36</v>
      </c>
      <c r="AY8" s="11"/>
      <c r="AZ8" s="11">
        <v>152</v>
      </c>
      <c r="BA8" s="11">
        <v>25</v>
      </c>
    </row>
    <row r="9" spans="2:53" x14ac:dyDescent="0.35">
      <c r="B9" s="15" t="s">
        <v>235</v>
      </c>
      <c r="C9" s="14">
        <v>0.30096191020345903</v>
      </c>
      <c r="D9" s="14">
        <v>0.29564878053354698</v>
      </c>
      <c r="E9" s="14">
        <v>0.30642172491501102</v>
      </c>
      <c r="F9" s="14"/>
      <c r="G9" s="14" t="s">
        <v>88</v>
      </c>
      <c r="H9" s="14">
        <v>0.18065913055358199</v>
      </c>
      <c r="I9" s="14">
        <v>0.30224176820061199</v>
      </c>
      <c r="J9" s="14">
        <v>0.44692860427266701</v>
      </c>
      <c r="K9" s="14">
        <v>0.40089478313024601</v>
      </c>
      <c r="L9" s="14">
        <v>0</v>
      </c>
      <c r="M9" s="14"/>
      <c r="N9" s="14">
        <v>0.375946930440684</v>
      </c>
      <c r="O9" s="14">
        <v>0.34477784488757901</v>
      </c>
      <c r="P9" s="14">
        <v>0.19673773045755699</v>
      </c>
      <c r="Q9" s="14">
        <v>0.23377597095035699</v>
      </c>
      <c r="R9" s="14"/>
      <c r="S9" s="14">
        <v>0.319546983930106</v>
      </c>
      <c r="T9" s="14">
        <v>0.48704446574838101</v>
      </c>
      <c r="U9" s="14">
        <v>0.15463106550353201</v>
      </c>
      <c r="V9" s="14">
        <v>0.21137911952803301</v>
      </c>
      <c r="W9" s="14">
        <v>0.29923347974432701</v>
      </c>
      <c r="X9" s="14">
        <v>0.161257453546789</v>
      </c>
      <c r="Y9" s="14">
        <v>0.23624737837436399</v>
      </c>
      <c r="Z9" s="14">
        <v>0.181164363337218</v>
      </c>
      <c r="AA9" s="14">
        <v>0.43828434614352801</v>
      </c>
      <c r="AB9" s="14"/>
      <c r="AC9" s="14">
        <v>0.16600313629684799</v>
      </c>
      <c r="AD9" s="14">
        <v>0.21447314212271101</v>
      </c>
      <c r="AE9" s="14">
        <v>0.37418137265192603</v>
      </c>
      <c r="AF9" s="14">
        <v>0.41951810950198298</v>
      </c>
      <c r="AG9" s="14">
        <v>0.69671979680904605</v>
      </c>
      <c r="AH9" s="14"/>
      <c r="AI9" s="14">
        <v>0.30917020900653602</v>
      </c>
      <c r="AJ9" s="14">
        <v>0.22933025687363501</v>
      </c>
      <c r="AK9" s="14">
        <v>0.52889951025083204</v>
      </c>
      <c r="AL9" s="14">
        <v>0.438727468927261</v>
      </c>
      <c r="AM9" s="14">
        <v>0.13629378774228801</v>
      </c>
      <c r="AN9" s="14">
        <v>0.41050492736462102</v>
      </c>
      <c r="AO9" s="14"/>
      <c r="AP9" s="14">
        <v>0.30172930782185597</v>
      </c>
      <c r="AQ9" s="14">
        <v>0.29973548862389798</v>
      </c>
      <c r="AR9" s="14"/>
      <c r="AS9" s="14" t="s">
        <v>88</v>
      </c>
      <c r="AT9" s="14">
        <v>0.30096191020345903</v>
      </c>
      <c r="AU9" s="14" t="s">
        <v>88</v>
      </c>
      <c r="AV9" s="14"/>
      <c r="AW9" s="14">
        <v>0.27406560144263398</v>
      </c>
      <c r="AX9" s="14">
        <v>0.41367365656507799</v>
      </c>
      <c r="AY9" s="14"/>
      <c r="AZ9" s="14">
        <v>0.31824774496326702</v>
      </c>
      <c r="BA9" s="14">
        <v>0.19750569648690999</v>
      </c>
    </row>
    <row r="10" spans="2:53" x14ac:dyDescent="0.35">
      <c r="B10" s="15" t="s">
        <v>236</v>
      </c>
      <c r="C10" s="14">
        <v>0.56717435281484296</v>
      </c>
      <c r="D10" s="14">
        <v>0.55629596167597195</v>
      </c>
      <c r="E10" s="14">
        <v>0.57835307489918497</v>
      </c>
      <c r="F10" s="14"/>
      <c r="G10" s="14" t="s">
        <v>88</v>
      </c>
      <c r="H10" s="14">
        <v>0.64717519345156704</v>
      </c>
      <c r="I10" s="14">
        <v>0.55938241923894805</v>
      </c>
      <c r="J10" s="14">
        <v>0.44167042520695998</v>
      </c>
      <c r="K10" s="14">
        <v>0.59910521686975404</v>
      </c>
      <c r="L10" s="14">
        <v>1</v>
      </c>
      <c r="M10" s="14"/>
      <c r="N10" s="14">
        <v>0.58711833725562501</v>
      </c>
      <c r="O10" s="14">
        <v>0.43049126187461201</v>
      </c>
      <c r="P10" s="14">
        <v>0.64769031994884396</v>
      </c>
      <c r="Q10" s="14">
        <v>0.66813323092419996</v>
      </c>
      <c r="R10" s="14"/>
      <c r="S10" s="14">
        <v>0.60992157597598895</v>
      </c>
      <c r="T10" s="14">
        <v>0.42162891397332403</v>
      </c>
      <c r="U10" s="14">
        <v>0.79704081840491903</v>
      </c>
      <c r="V10" s="14">
        <v>0.574126149762752</v>
      </c>
      <c r="W10" s="14">
        <v>0.56025650085484802</v>
      </c>
      <c r="X10" s="14">
        <v>0.52943807954531696</v>
      </c>
      <c r="Y10" s="14">
        <v>0.64442523562124598</v>
      </c>
      <c r="Z10" s="14">
        <v>0.67623529650165204</v>
      </c>
      <c r="AA10" s="14">
        <v>0.422296965363611</v>
      </c>
      <c r="AB10" s="14"/>
      <c r="AC10" s="14">
        <v>0.61024883607357205</v>
      </c>
      <c r="AD10" s="14">
        <v>0.60972701576336097</v>
      </c>
      <c r="AE10" s="14">
        <v>0.51443151543893995</v>
      </c>
      <c r="AF10" s="14">
        <v>0.53965535697497302</v>
      </c>
      <c r="AG10" s="14">
        <v>0.23197914262908501</v>
      </c>
      <c r="AH10" s="14"/>
      <c r="AI10" s="14">
        <v>0.61941392851424704</v>
      </c>
      <c r="AJ10" s="14">
        <v>0.61399832862020498</v>
      </c>
      <c r="AK10" s="14">
        <v>0.352615816234229</v>
      </c>
      <c r="AL10" s="14">
        <v>0.41865156300710099</v>
      </c>
      <c r="AM10" s="14">
        <v>0.74953308577130495</v>
      </c>
      <c r="AN10" s="14">
        <v>0.34586957094203902</v>
      </c>
      <c r="AO10" s="14"/>
      <c r="AP10" s="14">
        <v>0.55292313839544205</v>
      </c>
      <c r="AQ10" s="14">
        <v>0.58995002539956798</v>
      </c>
      <c r="AR10" s="14"/>
      <c r="AS10" s="14" t="s">
        <v>88</v>
      </c>
      <c r="AT10" s="14">
        <v>0.56717435281484296</v>
      </c>
      <c r="AU10" s="14" t="s">
        <v>88</v>
      </c>
      <c r="AV10" s="14"/>
      <c r="AW10" s="14">
        <v>0.56803285127194403</v>
      </c>
      <c r="AX10" s="14">
        <v>0.51958488425971305</v>
      </c>
      <c r="AY10" s="14"/>
      <c r="AZ10" s="14">
        <v>0.55743194326519596</v>
      </c>
      <c r="BA10" s="14">
        <v>0.62548295164664303</v>
      </c>
    </row>
    <row r="11" spans="2:53" x14ac:dyDescent="0.35">
      <c r="B11" s="15" t="s">
        <v>237</v>
      </c>
      <c r="C11" s="14">
        <v>0.113583719929459</v>
      </c>
      <c r="D11" s="14">
        <v>0.11424770158152101</v>
      </c>
      <c r="E11" s="14">
        <v>0.112901407052237</v>
      </c>
      <c r="F11" s="14"/>
      <c r="G11" s="14" t="s">
        <v>88</v>
      </c>
      <c r="H11" s="14">
        <v>0.128997572028371</v>
      </c>
      <c r="I11" s="14">
        <v>0.123233570993872</v>
      </c>
      <c r="J11" s="14">
        <v>0.111400970520373</v>
      </c>
      <c r="K11" s="14">
        <v>0</v>
      </c>
      <c r="L11" s="14">
        <v>0</v>
      </c>
      <c r="M11" s="14"/>
      <c r="N11" s="14">
        <v>3.2721625792157601E-2</v>
      </c>
      <c r="O11" s="14">
        <v>0.199488364375521</v>
      </c>
      <c r="P11" s="14">
        <v>0.10458790310240899</v>
      </c>
      <c r="Q11" s="14">
        <v>9.8090798125443607E-2</v>
      </c>
      <c r="R11" s="14"/>
      <c r="S11" s="14">
        <v>2.2127405998787701E-2</v>
      </c>
      <c r="T11" s="14">
        <v>9.1326620278295703E-2</v>
      </c>
      <c r="U11" s="14">
        <v>4.8328116091548697E-2</v>
      </c>
      <c r="V11" s="14">
        <v>0.21449473070921499</v>
      </c>
      <c r="W11" s="14">
        <v>0.12326232210427999</v>
      </c>
      <c r="X11" s="14">
        <v>0.232900058393987</v>
      </c>
      <c r="Y11" s="14">
        <v>0.11932738600439</v>
      </c>
      <c r="Z11" s="14">
        <v>0.14260034016112999</v>
      </c>
      <c r="AA11" s="14">
        <v>0.13941868849286099</v>
      </c>
      <c r="AB11" s="14"/>
      <c r="AC11" s="14">
        <v>0.22374802762957999</v>
      </c>
      <c r="AD11" s="14">
        <v>0.128551525170541</v>
      </c>
      <c r="AE11" s="14">
        <v>8.0918592915400295E-2</v>
      </c>
      <c r="AF11" s="14">
        <v>4.0826533523043197E-2</v>
      </c>
      <c r="AG11" s="14">
        <v>0</v>
      </c>
      <c r="AH11" s="14"/>
      <c r="AI11" s="14">
        <v>7.1415862479216899E-2</v>
      </c>
      <c r="AJ11" s="14">
        <v>0.116533099642774</v>
      </c>
      <c r="AK11" s="14">
        <v>0.11848467351493799</v>
      </c>
      <c r="AL11" s="14">
        <v>0.14262096806563701</v>
      </c>
      <c r="AM11" s="14">
        <v>0.114173126486406</v>
      </c>
      <c r="AN11" s="14">
        <v>0.22376746225875199</v>
      </c>
      <c r="AO11" s="14"/>
      <c r="AP11" s="14">
        <v>0.13048812302711699</v>
      </c>
      <c r="AQ11" s="14">
        <v>8.6567836309859897E-2</v>
      </c>
      <c r="AR11" s="14"/>
      <c r="AS11" s="14" t="s">
        <v>88</v>
      </c>
      <c r="AT11" s="14">
        <v>0.113583719929459</v>
      </c>
      <c r="AU11" s="14" t="s">
        <v>88</v>
      </c>
      <c r="AV11" s="14"/>
      <c r="AW11" s="14">
        <v>0.14711012853185701</v>
      </c>
      <c r="AX11" s="14">
        <v>2.2382911366181701E-2</v>
      </c>
      <c r="AY11" s="14"/>
      <c r="AZ11" s="14">
        <v>0.102986003992622</v>
      </c>
      <c r="BA11" s="14">
        <v>0.17701135186644801</v>
      </c>
    </row>
    <row r="12" spans="2:53" x14ac:dyDescent="0.35">
      <c r="B12" s="15" t="s">
        <v>238</v>
      </c>
      <c r="C12" s="14">
        <v>1.02862862992889E-2</v>
      </c>
      <c r="D12" s="14">
        <v>1.8034856703291399E-2</v>
      </c>
      <c r="E12" s="14">
        <v>2.32379313356758E-3</v>
      </c>
      <c r="F12" s="14"/>
      <c r="G12" s="14" t="s">
        <v>88</v>
      </c>
      <c r="H12" s="14">
        <v>4.3168103966480201E-2</v>
      </c>
      <c r="I12" s="14">
        <v>0</v>
      </c>
      <c r="J12" s="14">
        <v>0</v>
      </c>
      <c r="K12" s="14">
        <v>0</v>
      </c>
      <c r="L12" s="14">
        <v>0</v>
      </c>
      <c r="M12" s="14"/>
      <c r="N12" s="14">
        <v>4.2131065115331096E-3</v>
      </c>
      <c r="O12" s="14">
        <v>0</v>
      </c>
      <c r="P12" s="14">
        <v>5.0984046491190302E-2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1.7247697296545E-2</v>
      </c>
      <c r="X12" s="14">
        <v>7.6404408513906993E-2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4.72483169433872E-2</v>
      </c>
      <c r="AE12" s="14">
        <v>0</v>
      </c>
      <c r="AF12" s="14">
        <v>0</v>
      </c>
      <c r="AG12" s="14">
        <v>7.1301060561869106E-2</v>
      </c>
      <c r="AH12" s="14"/>
      <c r="AI12" s="14">
        <v>0</v>
      </c>
      <c r="AJ12" s="14">
        <v>4.01383148633856E-2</v>
      </c>
      <c r="AK12" s="14">
        <v>0</v>
      </c>
      <c r="AL12" s="14">
        <v>0</v>
      </c>
      <c r="AM12" s="14">
        <v>0</v>
      </c>
      <c r="AN12" s="14">
        <v>1.9858039434587301E-2</v>
      </c>
      <c r="AO12" s="14"/>
      <c r="AP12" s="14">
        <v>1.4859430755585301E-2</v>
      </c>
      <c r="AQ12" s="14">
        <v>2.9776852387736401E-3</v>
      </c>
      <c r="AR12" s="14"/>
      <c r="AS12" s="14" t="s">
        <v>88</v>
      </c>
      <c r="AT12" s="14">
        <v>1.02862862992889E-2</v>
      </c>
      <c r="AU12" s="14" t="s">
        <v>88</v>
      </c>
      <c r="AV12" s="14"/>
      <c r="AW12" s="14">
        <v>0</v>
      </c>
      <c r="AX12" s="14">
        <v>4.43585478090271E-2</v>
      </c>
      <c r="AY12" s="14"/>
      <c r="AZ12" s="14">
        <v>1.2004955858845199E-2</v>
      </c>
      <c r="BA12" s="14">
        <v>0</v>
      </c>
    </row>
    <row r="13" spans="2:53" x14ac:dyDescent="0.35">
      <c r="B13" s="15" t="s">
        <v>116</v>
      </c>
      <c r="C13" s="23">
        <v>7.9937307529505206E-3</v>
      </c>
      <c r="D13" s="23">
        <v>1.5772699505668501E-2</v>
      </c>
      <c r="E13" s="23">
        <v>0</v>
      </c>
      <c r="F13" s="23"/>
      <c r="G13" s="23" t="s">
        <v>88</v>
      </c>
      <c r="H13" s="23">
        <v>0</v>
      </c>
      <c r="I13" s="23">
        <v>1.51422415665671E-2</v>
      </c>
      <c r="J13" s="23">
        <v>0</v>
      </c>
      <c r="K13" s="23">
        <v>0</v>
      </c>
      <c r="L13" s="23">
        <v>0</v>
      </c>
      <c r="M13" s="23"/>
      <c r="N13" s="23">
        <v>0</v>
      </c>
      <c r="O13" s="23">
        <v>2.5242528862288002E-2</v>
      </c>
      <c r="P13" s="23">
        <v>0</v>
      </c>
      <c r="Q13" s="23">
        <v>0</v>
      </c>
      <c r="R13" s="23"/>
      <c r="S13" s="23">
        <v>4.8404034095116698E-2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/>
      <c r="AC13" s="23">
        <v>0</v>
      </c>
      <c r="AD13" s="23">
        <v>0</v>
      </c>
      <c r="AE13" s="23">
        <v>3.0468518993734501E-2</v>
      </c>
      <c r="AF13" s="23">
        <v>0</v>
      </c>
      <c r="AG13" s="23">
        <v>0</v>
      </c>
      <c r="AH13" s="23"/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/>
      <c r="AP13" s="23">
        <v>0</v>
      </c>
      <c r="AQ13" s="23">
        <v>2.0768964427900299E-2</v>
      </c>
      <c r="AR13" s="23"/>
      <c r="AS13" s="23" t="s">
        <v>88</v>
      </c>
      <c r="AT13" s="23">
        <v>7.9937307529505206E-3</v>
      </c>
      <c r="AU13" s="23" t="s">
        <v>88</v>
      </c>
      <c r="AV13" s="23"/>
      <c r="AW13" s="23">
        <v>1.07914187535651E-2</v>
      </c>
      <c r="AX13" s="23">
        <v>0</v>
      </c>
      <c r="AY13" s="23"/>
      <c r="AZ13" s="23">
        <v>9.3293519200703598E-3</v>
      </c>
      <c r="BA13" s="23">
        <v>0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B2:BA19"/>
  <sheetViews>
    <sheetView showGridLines="0" workbookViewId="0">
      <pane xSplit="2" topLeftCell="C1" activePane="topRight" state="frozen"/>
      <selection pane="topRight" activeCell="D18" sqref="D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181</v>
      </c>
      <c r="D7" s="10">
        <v>77</v>
      </c>
      <c r="E7" s="10">
        <v>104</v>
      </c>
      <c r="F7" s="10"/>
      <c r="G7" s="10" t="s">
        <v>87</v>
      </c>
      <c r="H7" s="10">
        <v>45</v>
      </c>
      <c r="I7" s="10">
        <v>98</v>
      </c>
      <c r="J7" s="10">
        <v>29</v>
      </c>
      <c r="K7" s="10">
        <v>8</v>
      </c>
      <c r="L7" s="10">
        <v>1</v>
      </c>
      <c r="M7" s="10"/>
      <c r="N7" s="10">
        <v>78</v>
      </c>
      <c r="O7" s="10">
        <v>52</v>
      </c>
      <c r="P7" s="10">
        <v>23</v>
      </c>
      <c r="Q7" s="10">
        <v>28</v>
      </c>
      <c r="R7" s="10"/>
      <c r="S7" s="10">
        <v>39</v>
      </c>
      <c r="T7" s="10">
        <v>29</v>
      </c>
      <c r="U7" s="10">
        <v>16</v>
      </c>
      <c r="V7" s="10">
        <v>11</v>
      </c>
      <c r="W7" s="10">
        <v>13</v>
      </c>
      <c r="X7" s="10">
        <v>21</v>
      </c>
      <c r="Y7" s="10">
        <v>21</v>
      </c>
      <c r="Z7" s="10">
        <v>6</v>
      </c>
      <c r="AA7" s="10">
        <v>25</v>
      </c>
      <c r="AB7" s="10"/>
      <c r="AC7" s="10">
        <v>20</v>
      </c>
      <c r="AD7" s="10">
        <v>33</v>
      </c>
      <c r="AE7" s="10">
        <v>49</v>
      </c>
      <c r="AF7" s="10">
        <v>52</v>
      </c>
      <c r="AG7" s="10">
        <v>6</v>
      </c>
      <c r="AH7" s="10"/>
      <c r="AI7" s="10">
        <v>62</v>
      </c>
      <c r="AJ7" s="10">
        <v>43</v>
      </c>
      <c r="AK7" s="10">
        <v>15</v>
      </c>
      <c r="AL7" s="10">
        <v>23</v>
      </c>
      <c r="AM7" s="10">
        <v>10</v>
      </c>
      <c r="AN7" s="10">
        <v>12</v>
      </c>
      <c r="AO7" s="10"/>
      <c r="AP7" s="10">
        <v>103</v>
      </c>
      <c r="AQ7" s="10">
        <v>78</v>
      </c>
      <c r="AR7" s="10"/>
      <c r="AS7" s="10" t="s">
        <v>87</v>
      </c>
      <c r="AT7" s="10">
        <v>181</v>
      </c>
      <c r="AU7" s="10" t="s">
        <v>87</v>
      </c>
      <c r="AV7" s="10"/>
      <c r="AW7" s="10">
        <v>129</v>
      </c>
      <c r="AX7" s="10">
        <v>44</v>
      </c>
      <c r="AY7" s="10"/>
      <c r="AZ7" s="10">
        <v>155</v>
      </c>
      <c r="BA7" s="10">
        <v>26</v>
      </c>
    </row>
    <row r="8" spans="2:53" ht="30" customHeight="1" x14ac:dyDescent="0.35">
      <c r="B8" s="11" t="s">
        <v>19</v>
      </c>
      <c r="C8" s="11">
        <v>177</v>
      </c>
      <c r="D8" s="11">
        <v>90</v>
      </c>
      <c r="E8" s="11">
        <v>87</v>
      </c>
      <c r="F8" s="11"/>
      <c r="G8" s="11" t="s">
        <v>87</v>
      </c>
      <c r="H8" s="11">
        <v>42</v>
      </c>
      <c r="I8" s="11">
        <v>93</v>
      </c>
      <c r="J8" s="11">
        <v>28</v>
      </c>
      <c r="K8" s="11">
        <v>12</v>
      </c>
      <c r="L8" s="11">
        <v>1</v>
      </c>
      <c r="M8" s="11"/>
      <c r="N8" s="11">
        <v>48</v>
      </c>
      <c r="O8" s="11">
        <v>56</v>
      </c>
      <c r="P8" s="11">
        <v>32</v>
      </c>
      <c r="Q8" s="11">
        <v>41</v>
      </c>
      <c r="R8" s="11"/>
      <c r="S8" s="11">
        <v>29</v>
      </c>
      <c r="T8" s="11">
        <v>29</v>
      </c>
      <c r="U8" s="11">
        <v>22</v>
      </c>
      <c r="V8" s="11">
        <v>12</v>
      </c>
      <c r="W8" s="11">
        <v>12</v>
      </c>
      <c r="X8" s="11">
        <v>21</v>
      </c>
      <c r="Y8" s="11">
        <v>20</v>
      </c>
      <c r="Z8" s="11">
        <v>7</v>
      </c>
      <c r="AA8" s="11">
        <v>25</v>
      </c>
      <c r="AB8" s="11"/>
      <c r="AC8" s="11">
        <v>27</v>
      </c>
      <c r="AD8" s="11">
        <v>34</v>
      </c>
      <c r="AE8" s="11">
        <v>46</v>
      </c>
      <c r="AF8" s="11">
        <v>43</v>
      </c>
      <c r="AG8" s="11">
        <v>3</v>
      </c>
      <c r="AH8" s="11"/>
      <c r="AI8" s="11">
        <v>65</v>
      </c>
      <c r="AJ8" s="11">
        <v>40</v>
      </c>
      <c r="AK8" s="11">
        <v>13</v>
      </c>
      <c r="AL8" s="11">
        <v>22</v>
      </c>
      <c r="AM8" s="11">
        <v>8</v>
      </c>
      <c r="AN8" s="11">
        <v>10</v>
      </c>
      <c r="AO8" s="11"/>
      <c r="AP8" s="11">
        <v>109</v>
      </c>
      <c r="AQ8" s="11">
        <v>68</v>
      </c>
      <c r="AR8" s="11"/>
      <c r="AS8" s="11" t="s">
        <v>87</v>
      </c>
      <c r="AT8" s="11">
        <v>177</v>
      </c>
      <c r="AU8" s="11" t="s">
        <v>87</v>
      </c>
      <c r="AV8" s="11"/>
      <c r="AW8" s="11">
        <v>131</v>
      </c>
      <c r="AX8" s="11">
        <v>36</v>
      </c>
      <c r="AY8" s="11"/>
      <c r="AZ8" s="11">
        <v>152</v>
      </c>
      <c r="BA8" s="11">
        <v>25</v>
      </c>
    </row>
    <row r="9" spans="2:53" x14ac:dyDescent="0.35">
      <c r="B9" s="15" t="s">
        <v>220</v>
      </c>
      <c r="C9" s="14">
        <v>0.288359702314327</v>
      </c>
      <c r="D9" s="14">
        <v>0.29758262900214399</v>
      </c>
      <c r="E9" s="14">
        <v>0.27888214879274398</v>
      </c>
      <c r="F9" s="14"/>
      <c r="G9" s="14" t="s">
        <v>88</v>
      </c>
      <c r="H9" s="14">
        <v>0.27722278255592098</v>
      </c>
      <c r="I9" s="14">
        <v>0.31874828232013303</v>
      </c>
      <c r="J9" s="14">
        <v>0.30092675739521701</v>
      </c>
      <c r="K9" s="14">
        <v>8.8786914276692497E-2</v>
      </c>
      <c r="L9" s="14">
        <v>0</v>
      </c>
      <c r="M9" s="14"/>
      <c r="N9" s="14">
        <v>0.29556033134968501</v>
      </c>
      <c r="O9" s="14">
        <v>0.27038812368529802</v>
      </c>
      <c r="P9" s="14">
        <v>0.23570211479504299</v>
      </c>
      <c r="Q9" s="14">
        <v>0.34513336820231899</v>
      </c>
      <c r="R9" s="14"/>
      <c r="S9" s="14">
        <v>0.28819943718979901</v>
      </c>
      <c r="T9" s="14">
        <v>0.37288910683077697</v>
      </c>
      <c r="U9" s="14">
        <v>0.19466664588927299</v>
      </c>
      <c r="V9" s="14">
        <v>0.34449186738931298</v>
      </c>
      <c r="W9" s="14">
        <v>0.104827844125186</v>
      </c>
      <c r="X9" s="14">
        <v>0.32202370136304198</v>
      </c>
      <c r="Y9" s="14">
        <v>0.19291835933426801</v>
      </c>
      <c r="Z9" s="14">
        <v>0.36232865525997598</v>
      </c>
      <c r="AA9" s="14">
        <v>0.36403056969088399</v>
      </c>
      <c r="AB9" s="14"/>
      <c r="AC9" s="14">
        <v>0.129678504400524</v>
      </c>
      <c r="AD9" s="14">
        <v>0.182205910491232</v>
      </c>
      <c r="AE9" s="14">
        <v>0.31642921749851899</v>
      </c>
      <c r="AF9" s="14">
        <v>0.33016527835640402</v>
      </c>
      <c r="AG9" s="14">
        <v>0.60007052504692804</v>
      </c>
      <c r="AH9" s="14"/>
      <c r="AI9" s="14">
        <v>0.347371709770599</v>
      </c>
      <c r="AJ9" s="14">
        <v>0.15423105112143101</v>
      </c>
      <c r="AK9" s="14">
        <v>0.64736667496901401</v>
      </c>
      <c r="AL9" s="14">
        <v>0.31488841256040001</v>
      </c>
      <c r="AM9" s="14">
        <v>0.39403571457117897</v>
      </c>
      <c r="AN9" s="14">
        <v>0.21304053340552001</v>
      </c>
      <c r="AO9" s="14"/>
      <c r="AP9" s="14">
        <v>0.30549787028575198</v>
      </c>
      <c r="AQ9" s="14">
        <v>0.26097022581554902</v>
      </c>
      <c r="AR9" s="14"/>
      <c r="AS9" s="14" t="s">
        <v>88</v>
      </c>
      <c r="AT9" s="14">
        <v>0.288359702314327</v>
      </c>
      <c r="AU9" s="14" t="s">
        <v>88</v>
      </c>
      <c r="AV9" s="14"/>
      <c r="AW9" s="14">
        <v>0.219935656102033</v>
      </c>
      <c r="AX9" s="14">
        <v>0.419170776684409</v>
      </c>
      <c r="AY9" s="14"/>
      <c r="AZ9" s="14">
        <v>0.32440849782631997</v>
      </c>
      <c r="BA9" s="14">
        <v>7.2606633715955701E-2</v>
      </c>
    </row>
    <row r="10" spans="2:53" x14ac:dyDescent="0.35">
      <c r="B10" s="15" t="s">
        <v>221</v>
      </c>
      <c r="C10" s="14">
        <v>0.57759697823711897</v>
      </c>
      <c r="D10" s="14">
        <v>0.59600615356412401</v>
      </c>
      <c r="E10" s="14">
        <v>0.55867956185123602</v>
      </c>
      <c r="F10" s="14"/>
      <c r="G10" s="14" t="s">
        <v>88</v>
      </c>
      <c r="H10" s="14">
        <v>0.57953572212225901</v>
      </c>
      <c r="I10" s="14">
        <v>0.52493820422018</v>
      </c>
      <c r="J10" s="14">
        <v>0.59016284544846498</v>
      </c>
      <c r="K10" s="14">
        <v>0.91121308572330795</v>
      </c>
      <c r="L10" s="14">
        <v>1</v>
      </c>
      <c r="M10" s="14"/>
      <c r="N10" s="14">
        <v>0.57044895633850101</v>
      </c>
      <c r="O10" s="14">
        <v>0.54958940831659697</v>
      </c>
      <c r="P10" s="14">
        <v>0.59051556686740903</v>
      </c>
      <c r="Q10" s="14">
        <v>0.61422223357291394</v>
      </c>
      <c r="R10" s="14"/>
      <c r="S10" s="14">
        <v>0.593824711187532</v>
      </c>
      <c r="T10" s="14">
        <v>0.56622647975947304</v>
      </c>
      <c r="U10" s="14">
        <v>0.681914962084887</v>
      </c>
      <c r="V10" s="14">
        <v>0.44101340190147198</v>
      </c>
      <c r="W10" s="14">
        <v>0.63503909050381702</v>
      </c>
      <c r="X10" s="14">
        <v>0.47888552923968503</v>
      </c>
      <c r="Y10" s="14">
        <v>0.61897252480193099</v>
      </c>
      <c r="Z10" s="14">
        <v>0.63767134474002396</v>
      </c>
      <c r="AA10" s="14">
        <v>0.54991681032776596</v>
      </c>
      <c r="AB10" s="14"/>
      <c r="AC10" s="14">
        <v>0.59561508298548904</v>
      </c>
      <c r="AD10" s="14">
        <v>0.64751779611501703</v>
      </c>
      <c r="AE10" s="14">
        <v>0.58498883227148102</v>
      </c>
      <c r="AF10" s="14">
        <v>0.576185140842284</v>
      </c>
      <c r="AG10" s="14">
        <v>0.32862841439120299</v>
      </c>
      <c r="AH10" s="14"/>
      <c r="AI10" s="14">
        <v>0.594894865334199</v>
      </c>
      <c r="AJ10" s="14">
        <v>0.71781111354566496</v>
      </c>
      <c r="AK10" s="14">
        <v>0.18083386662954901</v>
      </c>
      <c r="AL10" s="14">
        <v>0.59406127885651006</v>
      </c>
      <c r="AM10" s="14">
        <v>0.42567631523764599</v>
      </c>
      <c r="AN10" s="14">
        <v>0.61523836746876004</v>
      </c>
      <c r="AO10" s="14"/>
      <c r="AP10" s="14">
        <v>0.55754671543579104</v>
      </c>
      <c r="AQ10" s="14">
        <v>0.60964043834947901</v>
      </c>
      <c r="AR10" s="14"/>
      <c r="AS10" s="14" t="s">
        <v>88</v>
      </c>
      <c r="AT10" s="14">
        <v>0.57759697823711897</v>
      </c>
      <c r="AU10" s="14" t="s">
        <v>88</v>
      </c>
      <c r="AV10" s="14"/>
      <c r="AW10" s="14">
        <v>0.63265146677995399</v>
      </c>
      <c r="AX10" s="14">
        <v>0.46580380624782503</v>
      </c>
      <c r="AY10" s="14"/>
      <c r="AZ10" s="14">
        <v>0.56924528832339105</v>
      </c>
      <c r="BA10" s="14">
        <v>0.62758208040979602</v>
      </c>
    </row>
    <row r="11" spans="2:53" x14ac:dyDescent="0.35">
      <c r="B11" s="15" t="s">
        <v>222</v>
      </c>
      <c r="C11" s="14">
        <v>7.4463042169727101E-2</v>
      </c>
      <c r="D11" s="14">
        <v>4.74124409763126E-2</v>
      </c>
      <c r="E11" s="14">
        <v>0.102260457163848</v>
      </c>
      <c r="F11" s="14"/>
      <c r="G11" s="14" t="s">
        <v>88</v>
      </c>
      <c r="H11" s="14">
        <v>8.2220042156910894E-2</v>
      </c>
      <c r="I11" s="14">
        <v>8.21254620708817E-2</v>
      </c>
      <c r="J11" s="14">
        <v>7.2118454303363194E-2</v>
      </c>
      <c r="K11" s="14">
        <v>0</v>
      </c>
      <c r="L11" s="14">
        <v>0</v>
      </c>
      <c r="M11" s="14"/>
      <c r="N11" s="14">
        <v>3.7575825351588502E-2</v>
      </c>
      <c r="O11" s="14">
        <v>0.12359983194421401</v>
      </c>
      <c r="P11" s="14">
        <v>8.7406352265654602E-2</v>
      </c>
      <c r="Q11" s="14">
        <v>4.0644398224766599E-2</v>
      </c>
      <c r="R11" s="14"/>
      <c r="S11" s="14">
        <v>0</v>
      </c>
      <c r="T11" s="14">
        <v>3.0442206541204799E-2</v>
      </c>
      <c r="U11" s="14">
        <v>0.123418392025841</v>
      </c>
      <c r="V11" s="14">
        <v>0.21449473070921499</v>
      </c>
      <c r="W11" s="14">
        <v>0.26013306537099701</v>
      </c>
      <c r="X11" s="14">
        <v>0.134068529797611</v>
      </c>
      <c r="Y11" s="14">
        <v>0</v>
      </c>
      <c r="Z11" s="14">
        <v>0</v>
      </c>
      <c r="AA11" s="14">
        <v>4.61693072997603E-2</v>
      </c>
      <c r="AB11" s="14"/>
      <c r="AC11" s="14">
        <v>0.19101967119815999</v>
      </c>
      <c r="AD11" s="14">
        <v>7.3133517085611E-2</v>
      </c>
      <c r="AE11" s="14">
        <v>4.2350538691999298E-2</v>
      </c>
      <c r="AF11" s="14">
        <v>5.8091437235679402E-2</v>
      </c>
      <c r="AG11" s="14">
        <v>7.1301060561869106E-2</v>
      </c>
      <c r="AH11" s="14"/>
      <c r="AI11" s="14">
        <v>1.6604104829176999E-2</v>
      </c>
      <c r="AJ11" s="14">
        <v>7.4997834398647906E-2</v>
      </c>
      <c r="AK11" s="14">
        <v>0.14744615346787501</v>
      </c>
      <c r="AL11" s="14">
        <v>5.2349197497269399E-2</v>
      </c>
      <c r="AM11" s="14">
        <v>0.114173126486406</v>
      </c>
      <c r="AN11" s="14">
        <v>0.17172109912571901</v>
      </c>
      <c r="AO11" s="14"/>
      <c r="AP11" s="14">
        <v>8.1863051785984506E-2</v>
      </c>
      <c r="AQ11" s="14">
        <v>6.2636667856372799E-2</v>
      </c>
      <c r="AR11" s="14"/>
      <c r="AS11" s="14" t="s">
        <v>88</v>
      </c>
      <c r="AT11" s="14">
        <v>7.4463042169727101E-2</v>
      </c>
      <c r="AU11" s="14" t="s">
        <v>88</v>
      </c>
      <c r="AV11" s="14"/>
      <c r="AW11" s="14">
        <v>7.9877617381205801E-2</v>
      </c>
      <c r="AX11" s="14">
        <v>6.8660575105171401E-2</v>
      </c>
      <c r="AY11" s="14"/>
      <c r="AZ11" s="14">
        <v>6.42086200242966E-2</v>
      </c>
      <c r="BA11" s="14">
        <v>0.13583605098062199</v>
      </c>
    </row>
    <row r="12" spans="2:53" x14ac:dyDescent="0.35">
      <c r="B12" s="15" t="s">
        <v>223</v>
      </c>
      <c r="C12" s="14">
        <v>1.54851279781706E-2</v>
      </c>
      <c r="D12" s="14">
        <v>1.8961572277177399E-2</v>
      </c>
      <c r="E12" s="14">
        <v>1.1912705901763699E-2</v>
      </c>
      <c r="F12" s="14"/>
      <c r="G12" s="14" t="s">
        <v>88</v>
      </c>
      <c r="H12" s="14">
        <v>0</v>
      </c>
      <c r="I12" s="14">
        <v>1.8203650415057698E-2</v>
      </c>
      <c r="J12" s="14">
        <v>3.6791942852955097E-2</v>
      </c>
      <c r="K12" s="14">
        <v>0</v>
      </c>
      <c r="L12" s="14">
        <v>0</v>
      </c>
      <c r="M12" s="14"/>
      <c r="N12" s="14">
        <v>0</v>
      </c>
      <c r="O12" s="14">
        <v>0</v>
      </c>
      <c r="P12" s="14">
        <v>8.6375966071893295E-2</v>
      </c>
      <c r="Q12" s="14">
        <v>0</v>
      </c>
      <c r="R12" s="14"/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0.13429042649013501</v>
      </c>
      <c r="Z12" s="14">
        <v>0</v>
      </c>
      <c r="AA12" s="14">
        <v>0</v>
      </c>
      <c r="AB12" s="14"/>
      <c r="AC12" s="14">
        <v>6.4024269789094201E-2</v>
      </c>
      <c r="AD12" s="14">
        <v>3.0370824200172598E-2</v>
      </c>
      <c r="AE12" s="14">
        <v>0</v>
      </c>
      <c r="AF12" s="14">
        <v>0</v>
      </c>
      <c r="AG12" s="14">
        <v>0</v>
      </c>
      <c r="AH12" s="14"/>
      <c r="AI12" s="14">
        <v>1.5929008207188899E-2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2.5174496241954201E-2</v>
      </c>
      <c r="AQ12" s="14">
        <v>0</v>
      </c>
      <c r="AR12" s="14"/>
      <c r="AS12" s="14" t="s">
        <v>88</v>
      </c>
      <c r="AT12" s="14">
        <v>1.54851279781706E-2</v>
      </c>
      <c r="AU12" s="14" t="s">
        <v>88</v>
      </c>
      <c r="AV12" s="14"/>
      <c r="AW12" s="14">
        <v>2.0904694645026301E-2</v>
      </c>
      <c r="AX12" s="14">
        <v>0</v>
      </c>
      <c r="AY12" s="14"/>
      <c r="AZ12" s="14">
        <v>0</v>
      </c>
      <c r="BA12" s="14">
        <v>0.10816406028306</v>
      </c>
    </row>
    <row r="13" spans="2:53" x14ac:dyDescent="0.35">
      <c r="B13" s="15" t="s">
        <v>116</v>
      </c>
      <c r="C13" s="18">
        <v>1.10966671064584E-2</v>
      </c>
      <c r="D13" s="18">
        <v>1.5772699505668501E-2</v>
      </c>
      <c r="E13" s="18">
        <v>6.2915386659696702E-3</v>
      </c>
      <c r="F13" s="18"/>
      <c r="G13" s="18" t="s">
        <v>88</v>
      </c>
      <c r="H13" s="18">
        <v>0</v>
      </c>
      <c r="I13" s="18">
        <v>2.1020024204312E-2</v>
      </c>
      <c r="J13" s="18">
        <v>0</v>
      </c>
      <c r="K13" s="18">
        <v>0</v>
      </c>
      <c r="L13" s="18">
        <v>0</v>
      </c>
      <c r="M13" s="18"/>
      <c r="N13" s="18">
        <v>1.14067479321899E-2</v>
      </c>
      <c r="O13" s="18">
        <v>2.5242528862288002E-2</v>
      </c>
      <c r="P13" s="18">
        <v>0</v>
      </c>
      <c r="Q13" s="18">
        <v>0</v>
      </c>
      <c r="R13" s="18"/>
      <c r="S13" s="18">
        <v>4.8404034095116698E-2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2.6909344686833401E-2</v>
      </c>
      <c r="Z13" s="18">
        <v>0</v>
      </c>
      <c r="AA13" s="18">
        <v>0</v>
      </c>
      <c r="AB13" s="18"/>
      <c r="AC13" s="18">
        <v>0</v>
      </c>
      <c r="AD13" s="18">
        <v>1.6039950650042E-2</v>
      </c>
      <c r="AE13" s="18">
        <v>3.0468518993734501E-2</v>
      </c>
      <c r="AF13" s="18">
        <v>0</v>
      </c>
      <c r="AG13" s="18">
        <v>0</v>
      </c>
      <c r="AH13" s="18"/>
      <c r="AI13" s="18">
        <v>0</v>
      </c>
      <c r="AJ13" s="18">
        <v>1.36262332974944E-2</v>
      </c>
      <c r="AK13" s="18">
        <v>0</v>
      </c>
      <c r="AL13" s="18">
        <v>0</v>
      </c>
      <c r="AM13" s="18">
        <v>0</v>
      </c>
      <c r="AN13" s="18">
        <v>0</v>
      </c>
      <c r="AO13" s="18"/>
      <c r="AP13" s="18">
        <v>0</v>
      </c>
      <c r="AQ13" s="18">
        <v>2.8830879038203801E-2</v>
      </c>
      <c r="AR13" s="18"/>
      <c r="AS13" s="18" t="s">
        <v>88</v>
      </c>
      <c r="AT13" s="18">
        <v>1.10966671064584E-2</v>
      </c>
      <c r="AU13" s="18" t="s">
        <v>88</v>
      </c>
      <c r="AV13" s="18"/>
      <c r="AW13" s="18">
        <v>1.49803371186233E-2</v>
      </c>
      <c r="AX13" s="18">
        <v>0</v>
      </c>
      <c r="AY13" s="18"/>
      <c r="AZ13" s="18">
        <v>9.3293519200703598E-3</v>
      </c>
      <c r="BA13" s="18">
        <v>2.1674098868828099E-2</v>
      </c>
    </row>
    <row r="14" spans="2:53" x14ac:dyDescent="0.35">
      <c r="B14" s="26" t="s">
        <v>224</v>
      </c>
      <c r="C14" s="27">
        <v>0.86595668055144603</v>
      </c>
      <c r="D14" s="27">
        <v>0.89358878256626795</v>
      </c>
      <c r="E14" s="27">
        <v>0.83756171064398</v>
      </c>
      <c r="F14" s="27"/>
      <c r="G14" s="27" t="s">
        <v>88</v>
      </c>
      <c r="H14" s="27">
        <v>0.85675850467817904</v>
      </c>
      <c r="I14" s="27">
        <v>0.84368648654031297</v>
      </c>
      <c r="J14" s="27">
        <v>0.89108960284368199</v>
      </c>
      <c r="K14" s="27">
        <v>1</v>
      </c>
      <c r="L14" s="27">
        <v>1</v>
      </c>
      <c r="M14" s="27"/>
      <c r="N14" s="27">
        <v>0.86600928768818597</v>
      </c>
      <c r="O14" s="27">
        <v>0.81997753200189505</v>
      </c>
      <c r="P14" s="27">
        <v>0.82621768166245202</v>
      </c>
      <c r="Q14" s="27">
        <v>0.95935560177523305</v>
      </c>
      <c r="R14" s="27"/>
      <c r="S14" s="27">
        <v>0.88202414837733101</v>
      </c>
      <c r="T14" s="27">
        <v>0.93911558659024996</v>
      </c>
      <c r="U14" s="27">
        <v>0.87658160797415896</v>
      </c>
      <c r="V14" s="27">
        <v>0.78550526929078501</v>
      </c>
      <c r="W14" s="27">
        <v>0.73986693462900299</v>
      </c>
      <c r="X14" s="27">
        <v>0.80090923060272801</v>
      </c>
      <c r="Y14" s="27">
        <v>0.81189088413619803</v>
      </c>
      <c r="Z14" s="27">
        <v>1</v>
      </c>
      <c r="AA14" s="27">
        <v>0.91394738001864995</v>
      </c>
      <c r="AB14" s="27"/>
      <c r="AC14" s="27">
        <v>0.72529358738601302</v>
      </c>
      <c r="AD14" s="27">
        <v>0.82972370660624895</v>
      </c>
      <c r="AE14" s="27">
        <v>0.90141804977000095</v>
      </c>
      <c r="AF14" s="27">
        <v>0.90635041919868797</v>
      </c>
      <c r="AG14" s="27">
        <v>0.92869893943813098</v>
      </c>
      <c r="AH14" s="27"/>
      <c r="AI14" s="27">
        <v>0.94226657510479805</v>
      </c>
      <c r="AJ14" s="27">
        <v>0.87204216466709605</v>
      </c>
      <c r="AK14" s="27">
        <v>0.82820054159856304</v>
      </c>
      <c r="AL14" s="27">
        <v>0.90894969141690996</v>
      </c>
      <c r="AM14" s="27">
        <v>0.81971202980882496</v>
      </c>
      <c r="AN14" s="27">
        <v>0.82827890087428102</v>
      </c>
      <c r="AO14" s="27"/>
      <c r="AP14" s="27">
        <v>0.86304458572154397</v>
      </c>
      <c r="AQ14" s="27">
        <v>0.87061066416502797</v>
      </c>
      <c r="AR14" s="27"/>
      <c r="AS14" s="27" t="s">
        <v>88</v>
      </c>
      <c r="AT14" s="27">
        <v>0.86595668055144603</v>
      </c>
      <c r="AU14" s="27" t="s">
        <v>88</v>
      </c>
      <c r="AV14" s="27"/>
      <c r="AW14" s="27">
        <v>0.85258712288198701</v>
      </c>
      <c r="AX14" s="27">
        <v>0.88497458293223397</v>
      </c>
      <c r="AY14" s="27"/>
      <c r="AZ14" s="27">
        <v>0.89365378614971103</v>
      </c>
      <c r="BA14" s="27">
        <v>0.70018871412575201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B2:BA16"/>
  <sheetViews>
    <sheetView showGridLines="0" topLeftCell="A5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383</v>
      </c>
      <c r="D7" s="10">
        <v>141</v>
      </c>
      <c r="E7" s="10">
        <v>242</v>
      </c>
      <c r="F7" s="10"/>
      <c r="G7" s="10">
        <v>1</v>
      </c>
      <c r="H7" s="10">
        <v>103</v>
      </c>
      <c r="I7" s="10">
        <v>197</v>
      </c>
      <c r="J7" s="10">
        <v>70</v>
      </c>
      <c r="K7" s="10">
        <v>10</v>
      </c>
      <c r="L7" s="10">
        <v>2</v>
      </c>
      <c r="M7" s="10"/>
      <c r="N7" s="10">
        <v>138</v>
      </c>
      <c r="O7" s="10">
        <v>111</v>
      </c>
      <c r="P7" s="10">
        <v>55</v>
      </c>
      <c r="Q7" s="10">
        <v>78</v>
      </c>
      <c r="R7" s="10"/>
      <c r="S7" s="10">
        <v>69</v>
      </c>
      <c r="T7" s="10">
        <v>61</v>
      </c>
      <c r="U7" s="10">
        <v>28</v>
      </c>
      <c r="V7" s="10">
        <v>26</v>
      </c>
      <c r="W7" s="10">
        <v>35</v>
      </c>
      <c r="X7" s="10">
        <v>49</v>
      </c>
      <c r="Y7" s="10">
        <v>42</v>
      </c>
      <c r="Z7" s="10">
        <v>16</v>
      </c>
      <c r="AA7" s="10">
        <v>57</v>
      </c>
      <c r="AB7" s="10"/>
      <c r="AC7" s="10">
        <v>46</v>
      </c>
      <c r="AD7" s="10">
        <v>81</v>
      </c>
      <c r="AE7" s="10">
        <v>122</v>
      </c>
      <c r="AF7" s="10">
        <v>82</v>
      </c>
      <c r="AG7" s="10">
        <v>9</v>
      </c>
      <c r="AH7" s="10"/>
      <c r="AI7" s="10">
        <v>138</v>
      </c>
      <c r="AJ7" s="10">
        <v>73</v>
      </c>
      <c r="AK7" s="10">
        <v>29</v>
      </c>
      <c r="AL7" s="10">
        <v>53</v>
      </c>
      <c r="AM7" s="10">
        <v>20</v>
      </c>
      <c r="AN7" s="10">
        <v>27</v>
      </c>
      <c r="AO7" s="10"/>
      <c r="AP7" s="10">
        <v>209</v>
      </c>
      <c r="AQ7" s="10">
        <v>174</v>
      </c>
      <c r="AR7" s="10"/>
      <c r="AS7" s="10" t="s">
        <v>87</v>
      </c>
      <c r="AT7" s="10">
        <v>383</v>
      </c>
      <c r="AU7" s="10" t="s">
        <v>87</v>
      </c>
      <c r="AV7" s="10"/>
      <c r="AW7" s="10">
        <v>294</v>
      </c>
      <c r="AX7" s="10">
        <v>72</v>
      </c>
      <c r="AY7" s="10"/>
      <c r="AZ7" s="10">
        <v>295</v>
      </c>
      <c r="BA7" s="10">
        <v>85</v>
      </c>
    </row>
    <row r="8" spans="2:53" ht="30" customHeight="1" x14ac:dyDescent="0.35">
      <c r="B8" s="11" t="s">
        <v>19</v>
      </c>
      <c r="C8" s="11">
        <v>390</v>
      </c>
      <c r="D8" s="11">
        <v>177</v>
      </c>
      <c r="E8" s="11">
        <v>213</v>
      </c>
      <c r="F8" s="11"/>
      <c r="G8" s="11">
        <v>2</v>
      </c>
      <c r="H8" s="11">
        <v>104</v>
      </c>
      <c r="I8" s="11">
        <v>198</v>
      </c>
      <c r="J8" s="11">
        <v>69</v>
      </c>
      <c r="K8" s="11">
        <v>14</v>
      </c>
      <c r="L8" s="11">
        <v>3</v>
      </c>
      <c r="M8" s="11"/>
      <c r="N8" s="11">
        <v>88</v>
      </c>
      <c r="O8" s="11">
        <v>116</v>
      </c>
      <c r="P8" s="11">
        <v>75</v>
      </c>
      <c r="Q8" s="11">
        <v>111</v>
      </c>
      <c r="R8" s="11"/>
      <c r="S8" s="11">
        <v>59</v>
      </c>
      <c r="T8" s="11">
        <v>65</v>
      </c>
      <c r="U8" s="11">
        <v>34</v>
      </c>
      <c r="V8" s="11">
        <v>32</v>
      </c>
      <c r="W8" s="11">
        <v>37</v>
      </c>
      <c r="X8" s="11">
        <v>49</v>
      </c>
      <c r="Y8" s="11">
        <v>40</v>
      </c>
      <c r="Z8" s="11">
        <v>15</v>
      </c>
      <c r="AA8" s="11">
        <v>58</v>
      </c>
      <c r="AB8" s="11"/>
      <c r="AC8" s="11">
        <v>63</v>
      </c>
      <c r="AD8" s="11">
        <v>88</v>
      </c>
      <c r="AE8" s="11">
        <v>114</v>
      </c>
      <c r="AF8" s="11">
        <v>72</v>
      </c>
      <c r="AG8" s="11">
        <v>4</v>
      </c>
      <c r="AH8" s="11"/>
      <c r="AI8" s="11">
        <v>144</v>
      </c>
      <c r="AJ8" s="11">
        <v>70</v>
      </c>
      <c r="AK8" s="11">
        <v>27</v>
      </c>
      <c r="AL8" s="11">
        <v>52</v>
      </c>
      <c r="AM8" s="11">
        <v>21</v>
      </c>
      <c r="AN8" s="11">
        <v>27</v>
      </c>
      <c r="AO8" s="11"/>
      <c r="AP8" s="11">
        <v>222</v>
      </c>
      <c r="AQ8" s="11">
        <v>168</v>
      </c>
      <c r="AR8" s="11"/>
      <c r="AS8" s="11" t="s">
        <v>87</v>
      </c>
      <c r="AT8" s="11">
        <v>390</v>
      </c>
      <c r="AU8" s="11" t="s">
        <v>87</v>
      </c>
      <c r="AV8" s="11"/>
      <c r="AW8" s="11">
        <v>311</v>
      </c>
      <c r="AX8" s="11">
        <v>58</v>
      </c>
      <c r="AY8" s="11"/>
      <c r="AZ8" s="11">
        <v>299</v>
      </c>
      <c r="BA8" s="11">
        <v>87</v>
      </c>
    </row>
    <row r="9" spans="2:53" x14ac:dyDescent="0.35">
      <c r="B9" s="15" t="s">
        <v>154</v>
      </c>
      <c r="C9" s="14">
        <v>0.549974497406999</v>
      </c>
      <c r="D9" s="14">
        <v>0.55462115767720799</v>
      </c>
      <c r="E9" s="14">
        <v>0.54610766643984698</v>
      </c>
      <c r="F9" s="14"/>
      <c r="G9" s="14">
        <v>0</v>
      </c>
      <c r="H9" s="14">
        <v>0.47881559061413198</v>
      </c>
      <c r="I9" s="14">
        <v>0.58053655738790999</v>
      </c>
      <c r="J9" s="14">
        <v>0.58078115442675904</v>
      </c>
      <c r="K9" s="14">
        <v>0.70432496279697399</v>
      </c>
      <c r="L9" s="14">
        <v>0</v>
      </c>
      <c r="M9" s="14"/>
      <c r="N9" s="14">
        <v>0.62745491219331595</v>
      </c>
      <c r="O9" s="14">
        <v>0.54403222986765598</v>
      </c>
      <c r="P9" s="14">
        <v>0.48148074705597799</v>
      </c>
      <c r="Q9" s="14">
        <v>0.54601411714599501</v>
      </c>
      <c r="R9" s="14"/>
      <c r="S9" s="14">
        <v>0.57656598313948104</v>
      </c>
      <c r="T9" s="14">
        <v>0.55643425171080396</v>
      </c>
      <c r="U9" s="14">
        <v>0.66890723968653598</v>
      </c>
      <c r="V9" s="14">
        <v>0.44043856819406102</v>
      </c>
      <c r="W9" s="14">
        <v>0.409071417813272</v>
      </c>
      <c r="X9" s="14">
        <v>0.665919463037702</v>
      </c>
      <c r="Y9" s="14">
        <v>0.495263122316976</v>
      </c>
      <c r="Z9" s="14">
        <v>0.58728343537431504</v>
      </c>
      <c r="AA9" s="14">
        <v>0.52594369759258097</v>
      </c>
      <c r="AB9" s="14"/>
      <c r="AC9" s="14">
        <v>0.45342921086824101</v>
      </c>
      <c r="AD9" s="14">
        <v>0.58886080011352104</v>
      </c>
      <c r="AE9" s="14">
        <v>0.55748429670847099</v>
      </c>
      <c r="AF9" s="14">
        <v>0.61052864060906198</v>
      </c>
      <c r="AG9" s="14">
        <v>0.638913218940106</v>
      </c>
      <c r="AH9" s="14"/>
      <c r="AI9" s="14">
        <v>0.58704692608818698</v>
      </c>
      <c r="AJ9" s="14">
        <v>0.61325476038715998</v>
      </c>
      <c r="AK9" s="14">
        <v>0.60875988224673505</v>
      </c>
      <c r="AL9" s="14">
        <v>0.454837575097713</v>
      </c>
      <c r="AM9" s="14">
        <v>0.60692267986953097</v>
      </c>
      <c r="AN9" s="14">
        <v>0.56407786325842502</v>
      </c>
      <c r="AO9" s="14"/>
      <c r="AP9" s="14">
        <v>0.57149663397738704</v>
      </c>
      <c r="AQ9" s="14">
        <v>0.52148430423654102</v>
      </c>
      <c r="AR9" s="14"/>
      <c r="AS9" s="14" t="s">
        <v>88</v>
      </c>
      <c r="AT9" s="14">
        <v>0.549974497406999</v>
      </c>
      <c r="AU9" s="14" t="s">
        <v>88</v>
      </c>
      <c r="AV9" s="14"/>
      <c r="AW9" s="14">
        <v>0.53341686087055395</v>
      </c>
      <c r="AX9" s="14">
        <v>0.62343115064601895</v>
      </c>
      <c r="AY9" s="14"/>
      <c r="AZ9" s="14">
        <v>0.56256576123054602</v>
      </c>
      <c r="BA9" s="14">
        <v>0.53624569944283795</v>
      </c>
    </row>
    <row r="10" spans="2:53" x14ac:dyDescent="0.35">
      <c r="B10" s="15" t="s">
        <v>155</v>
      </c>
      <c r="C10" s="14">
        <v>0.24636671585884901</v>
      </c>
      <c r="D10" s="14">
        <v>0.272042919430527</v>
      </c>
      <c r="E10" s="14">
        <v>0.22499964073041101</v>
      </c>
      <c r="F10" s="14"/>
      <c r="G10" s="14">
        <v>1</v>
      </c>
      <c r="H10" s="14">
        <v>0.30995614626022</v>
      </c>
      <c r="I10" s="14">
        <v>0.239718040647772</v>
      </c>
      <c r="J10" s="14">
        <v>0.168851159567731</v>
      </c>
      <c r="K10" s="14">
        <v>0.11928372032960501</v>
      </c>
      <c r="L10" s="14">
        <v>0.34819201228478702</v>
      </c>
      <c r="M10" s="14"/>
      <c r="N10" s="14">
        <v>0.21609282043554601</v>
      </c>
      <c r="O10" s="14">
        <v>0.265883051187494</v>
      </c>
      <c r="P10" s="14">
        <v>0.27231447962612099</v>
      </c>
      <c r="Q10" s="14">
        <v>0.23458439625632399</v>
      </c>
      <c r="R10" s="14"/>
      <c r="S10" s="14">
        <v>0.24228968192132999</v>
      </c>
      <c r="T10" s="14">
        <v>0.28558497462111099</v>
      </c>
      <c r="U10" s="14">
        <v>0.172415088663539</v>
      </c>
      <c r="V10" s="14">
        <v>0.41584093553252199</v>
      </c>
      <c r="W10" s="14">
        <v>0.318820396835862</v>
      </c>
      <c r="X10" s="14">
        <v>0.12743542981306399</v>
      </c>
      <c r="Y10" s="14">
        <v>0.26388311461688202</v>
      </c>
      <c r="Z10" s="14">
        <v>0.27146414459035401</v>
      </c>
      <c r="AA10" s="14">
        <v>0.19164433599834699</v>
      </c>
      <c r="AB10" s="14"/>
      <c r="AC10" s="14">
        <v>0.25826944486449699</v>
      </c>
      <c r="AD10" s="14">
        <v>0.208129287461949</v>
      </c>
      <c r="AE10" s="14">
        <v>0.25233661893713699</v>
      </c>
      <c r="AF10" s="14">
        <v>0.31452225837635001</v>
      </c>
      <c r="AG10" s="14">
        <v>0.243776589510935</v>
      </c>
      <c r="AH10" s="14"/>
      <c r="AI10" s="14">
        <v>0.27539895963399402</v>
      </c>
      <c r="AJ10" s="14">
        <v>0.23714370512737201</v>
      </c>
      <c r="AK10" s="14">
        <v>0.29440963092966799</v>
      </c>
      <c r="AL10" s="14">
        <v>0.20930620023023</v>
      </c>
      <c r="AM10" s="14">
        <v>0.22707449511282701</v>
      </c>
      <c r="AN10" s="14">
        <v>6.3766213631290897E-2</v>
      </c>
      <c r="AO10" s="14"/>
      <c r="AP10" s="14">
        <v>0.24561557360389499</v>
      </c>
      <c r="AQ10" s="14">
        <v>0.24736104966358599</v>
      </c>
      <c r="AR10" s="14"/>
      <c r="AS10" s="14" t="s">
        <v>88</v>
      </c>
      <c r="AT10" s="14">
        <v>0.24636671585884901</v>
      </c>
      <c r="AU10" s="14" t="s">
        <v>88</v>
      </c>
      <c r="AV10" s="14"/>
      <c r="AW10" s="14">
        <v>0.24091279429965101</v>
      </c>
      <c r="AX10" s="14">
        <v>0.29580807365202499</v>
      </c>
      <c r="AY10" s="14"/>
      <c r="AZ10" s="14">
        <v>0.274287738344481</v>
      </c>
      <c r="BA10" s="14">
        <v>0.16372357520851999</v>
      </c>
    </row>
    <row r="11" spans="2:53" x14ac:dyDescent="0.35">
      <c r="B11" s="15" t="s">
        <v>116</v>
      </c>
      <c r="C11" s="23">
        <v>0.203658786734152</v>
      </c>
      <c r="D11" s="23">
        <v>0.17333592289226499</v>
      </c>
      <c r="E11" s="23">
        <v>0.22889269282974201</v>
      </c>
      <c r="F11" s="23"/>
      <c r="G11" s="23">
        <v>0</v>
      </c>
      <c r="H11" s="23">
        <v>0.21122826312564799</v>
      </c>
      <c r="I11" s="23">
        <v>0.17974540196431801</v>
      </c>
      <c r="J11" s="23">
        <v>0.25036768600551002</v>
      </c>
      <c r="K11" s="23">
        <v>0.17639131687342099</v>
      </c>
      <c r="L11" s="23">
        <v>0.65180798771521298</v>
      </c>
      <c r="M11" s="23"/>
      <c r="N11" s="23">
        <v>0.15645226737113799</v>
      </c>
      <c r="O11" s="23">
        <v>0.19008471894484999</v>
      </c>
      <c r="P11" s="23">
        <v>0.246204773317901</v>
      </c>
      <c r="Q11" s="23">
        <v>0.21940148659768099</v>
      </c>
      <c r="R11" s="23"/>
      <c r="S11" s="23">
        <v>0.18114433493918899</v>
      </c>
      <c r="T11" s="23">
        <v>0.15798077366808599</v>
      </c>
      <c r="U11" s="23">
        <v>0.158677671649924</v>
      </c>
      <c r="V11" s="23">
        <v>0.14372049627341699</v>
      </c>
      <c r="W11" s="23">
        <v>0.27210818535086601</v>
      </c>
      <c r="X11" s="23">
        <v>0.20664510714923401</v>
      </c>
      <c r="Y11" s="23">
        <v>0.24085376306614301</v>
      </c>
      <c r="Z11" s="23">
        <v>0.14125242003533101</v>
      </c>
      <c r="AA11" s="23">
        <v>0.28241196640907201</v>
      </c>
      <c r="AB11" s="23"/>
      <c r="AC11" s="23">
        <v>0.28830134426726101</v>
      </c>
      <c r="AD11" s="23">
        <v>0.20300991242453001</v>
      </c>
      <c r="AE11" s="23">
        <v>0.19017908435439199</v>
      </c>
      <c r="AF11" s="23">
        <v>7.4949101014587599E-2</v>
      </c>
      <c r="AG11" s="23">
        <v>0.11731019154896</v>
      </c>
      <c r="AH11" s="23"/>
      <c r="AI11" s="23">
        <v>0.137554114277818</v>
      </c>
      <c r="AJ11" s="23">
        <v>0.14960153448546801</v>
      </c>
      <c r="AK11" s="23">
        <v>9.6830486823596906E-2</v>
      </c>
      <c r="AL11" s="23">
        <v>0.335856224672057</v>
      </c>
      <c r="AM11" s="23">
        <v>0.16600282501764099</v>
      </c>
      <c r="AN11" s="23">
        <v>0.372155923110284</v>
      </c>
      <c r="AO11" s="23"/>
      <c r="AP11" s="23">
        <v>0.182887792418718</v>
      </c>
      <c r="AQ11" s="23">
        <v>0.23115464609987299</v>
      </c>
      <c r="AR11" s="23"/>
      <c r="AS11" s="23" t="s">
        <v>88</v>
      </c>
      <c r="AT11" s="23">
        <v>0.203658786734152</v>
      </c>
      <c r="AU11" s="23" t="s">
        <v>88</v>
      </c>
      <c r="AV11" s="23"/>
      <c r="AW11" s="23">
        <v>0.22567034482979501</v>
      </c>
      <c r="AX11" s="23">
        <v>8.0760775701956E-2</v>
      </c>
      <c r="AY11" s="23"/>
      <c r="AZ11" s="23">
        <v>0.163146500424973</v>
      </c>
      <c r="BA11" s="23">
        <v>0.300030725348643</v>
      </c>
    </row>
    <row r="12" spans="2:53" x14ac:dyDescent="0.35">
      <c r="B12" s="16" t="s">
        <v>320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B2:BA18"/>
  <sheetViews>
    <sheetView showGridLines="0" workbookViewId="0">
      <pane xSplit="2" topLeftCell="C1" activePane="topRight" state="frozen"/>
      <selection pane="topRight" activeCell="C15" sqref="C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319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219</v>
      </c>
      <c r="D7" s="10">
        <v>82</v>
      </c>
      <c r="E7" s="10">
        <v>137</v>
      </c>
      <c r="F7" s="10"/>
      <c r="G7" s="10" t="s">
        <v>87</v>
      </c>
      <c r="H7" s="10">
        <v>52</v>
      </c>
      <c r="I7" s="10">
        <v>119</v>
      </c>
      <c r="J7" s="10">
        <v>41</v>
      </c>
      <c r="K7" s="10">
        <v>7</v>
      </c>
      <c r="L7" s="10" t="s">
        <v>87</v>
      </c>
      <c r="M7" s="10"/>
      <c r="N7" s="10">
        <v>90</v>
      </c>
      <c r="O7" s="10">
        <v>61</v>
      </c>
      <c r="P7" s="10">
        <v>25</v>
      </c>
      <c r="Q7" s="10">
        <v>43</v>
      </c>
      <c r="R7" s="10"/>
      <c r="S7" s="10">
        <v>45</v>
      </c>
      <c r="T7" s="10">
        <v>35</v>
      </c>
      <c r="U7" s="10">
        <v>18</v>
      </c>
      <c r="V7" s="10">
        <v>12</v>
      </c>
      <c r="W7" s="10">
        <v>16</v>
      </c>
      <c r="X7" s="10">
        <v>32</v>
      </c>
      <c r="Y7" s="10">
        <v>21</v>
      </c>
      <c r="Z7" s="10">
        <v>8</v>
      </c>
      <c r="AA7" s="10">
        <v>32</v>
      </c>
      <c r="AB7" s="10"/>
      <c r="AC7" s="10">
        <v>22</v>
      </c>
      <c r="AD7" s="10">
        <v>46</v>
      </c>
      <c r="AE7" s="10">
        <v>66</v>
      </c>
      <c r="AF7" s="10">
        <v>56</v>
      </c>
      <c r="AG7" s="10">
        <v>6</v>
      </c>
      <c r="AH7" s="10"/>
      <c r="AI7" s="10">
        <v>82</v>
      </c>
      <c r="AJ7" s="10">
        <v>45</v>
      </c>
      <c r="AK7" s="10">
        <v>19</v>
      </c>
      <c r="AL7" s="10">
        <v>25</v>
      </c>
      <c r="AM7" s="10">
        <v>14</v>
      </c>
      <c r="AN7" s="10">
        <v>15</v>
      </c>
      <c r="AO7" s="10"/>
      <c r="AP7" s="10">
        <v>124</v>
      </c>
      <c r="AQ7" s="10">
        <v>95</v>
      </c>
      <c r="AR7" s="10"/>
      <c r="AS7" s="10" t="s">
        <v>87</v>
      </c>
      <c r="AT7" s="10">
        <v>219</v>
      </c>
      <c r="AU7" s="10" t="s">
        <v>87</v>
      </c>
      <c r="AV7" s="10"/>
      <c r="AW7" s="10">
        <v>164</v>
      </c>
      <c r="AX7" s="10">
        <v>45</v>
      </c>
      <c r="AY7" s="10"/>
      <c r="AZ7" s="10">
        <v>171</v>
      </c>
      <c r="BA7" s="10">
        <v>48</v>
      </c>
    </row>
    <row r="8" spans="2:53" ht="30" customHeight="1" x14ac:dyDescent="0.35">
      <c r="B8" s="11" t="s">
        <v>19</v>
      </c>
      <c r="C8" s="11">
        <v>215</v>
      </c>
      <c r="D8" s="11">
        <v>98</v>
      </c>
      <c r="E8" s="11">
        <v>116</v>
      </c>
      <c r="F8" s="11"/>
      <c r="G8" s="11" t="s">
        <v>87</v>
      </c>
      <c r="H8" s="11">
        <v>50</v>
      </c>
      <c r="I8" s="11">
        <v>115</v>
      </c>
      <c r="J8" s="11">
        <v>40</v>
      </c>
      <c r="K8" s="11">
        <v>10</v>
      </c>
      <c r="L8" s="11" t="s">
        <v>87</v>
      </c>
      <c r="M8" s="11"/>
      <c r="N8" s="11">
        <v>55</v>
      </c>
      <c r="O8" s="11">
        <v>63</v>
      </c>
      <c r="P8" s="11">
        <v>36</v>
      </c>
      <c r="Q8" s="11">
        <v>61</v>
      </c>
      <c r="R8" s="11"/>
      <c r="S8" s="11">
        <v>34</v>
      </c>
      <c r="T8" s="11">
        <v>36</v>
      </c>
      <c r="U8" s="11">
        <v>23</v>
      </c>
      <c r="V8" s="11">
        <v>14</v>
      </c>
      <c r="W8" s="11">
        <v>15</v>
      </c>
      <c r="X8" s="11">
        <v>33</v>
      </c>
      <c r="Y8" s="11">
        <v>20</v>
      </c>
      <c r="Z8" s="11">
        <v>9</v>
      </c>
      <c r="AA8" s="11">
        <v>30</v>
      </c>
      <c r="AB8" s="11"/>
      <c r="AC8" s="11">
        <v>29</v>
      </c>
      <c r="AD8" s="11">
        <v>52</v>
      </c>
      <c r="AE8" s="11">
        <v>64</v>
      </c>
      <c r="AF8" s="11">
        <v>44</v>
      </c>
      <c r="AG8" s="11">
        <v>3</v>
      </c>
      <c r="AH8" s="11"/>
      <c r="AI8" s="11">
        <v>85</v>
      </c>
      <c r="AJ8" s="11">
        <v>43</v>
      </c>
      <c r="AK8" s="11">
        <v>16</v>
      </c>
      <c r="AL8" s="11">
        <v>24</v>
      </c>
      <c r="AM8" s="11">
        <v>13</v>
      </c>
      <c r="AN8" s="11">
        <v>15</v>
      </c>
      <c r="AO8" s="11"/>
      <c r="AP8" s="11">
        <v>127</v>
      </c>
      <c r="AQ8" s="11">
        <v>88</v>
      </c>
      <c r="AR8" s="11"/>
      <c r="AS8" s="11" t="s">
        <v>87</v>
      </c>
      <c r="AT8" s="11">
        <v>215</v>
      </c>
      <c r="AU8" s="11" t="s">
        <v>87</v>
      </c>
      <c r="AV8" s="11"/>
      <c r="AW8" s="11">
        <v>166</v>
      </c>
      <c r="AX8" s="11">
        <v>36</v>
      </c>
      <c r="AY8" s="11"/>
      <c r="AZ8" s="11">
        <v>168</v>
      </c>
      <c r="BA8" s="11">
        <v>47</v>
      </c>
    </row>
    <row r="9" spans="2:53" x14ac:dyDescent="0.35">
      <c r="B9" s="15" t="s">
        <v>214</v>
      </c>
      <c r="C9" s="14">
        <v>0.207951746515667</v>
      </c>
      <c r="D9" s="14">
        <v>0.247750394638414</v>
      </c>
      <c r="E9" s="14">
        <v>0.17431602511366701</v>
      </c>
      <c r="F9" s="14"/>
      <c r="G9" s="14" t="s">
        <v>88</v>
      </c>
      <c r="H9" s="14">
        <v>0.26483066955793699</v>
      </c>
      <c r="I9" s="14">
        <v>0.23236886874156601</v>
      </c>
      <c r="J9" s="14">
        <v>0.11910411149342701</v>
      </c>
      <c r="K9" s="14">
        <v>0</v>
      </c>
      <c r="L9" s="14" t="s">
        <v>88</v>
      </c>
      <c r="M9" s="14"/>
      <c r="N9" s="14">
        <v>0.189612940928826</v>
      </c>
      <c r="O9" s="14">
        <v>0.22808852699238799</v>
      </c>
      <c r="P9" s="14">
        <v>0.16700038702049499</v>
      </c>
      <c r="Q9" s="14">
        <v>0.22792718792831301</v>
      </c>
      <c r="R9" s="14"/>
      <c r="S9" s="14">
        <v>0.32492579365482799</v>
      </c>
      <c r="T9" s="14">
        <v>0.33417835583393402</v>
      </c>
      <c r="U9" s="14">
        <v>0.159973269045529</v>
      </c>
      <c r="V9" s="14">
        <v>2.4894547290093799E-2</v>
      </c>
      <c r="W9" s="14">
        <v>0.22218047974737701</v>
      </c>
      <c r="X9" s="14">
        <v>0.151213004391547</v>
      </c>
      <c r="Y9" s="14">
        <v>0.149235086635786</v>
      </c>
      <c r="Z9" s="14">
        <v>0.25612196867887299</v>
      </c>
      <c r="AA9" s="14">
        <v>0.125896293745039</v>
      </c>
      <c r="AB9" s="14"/>
      <c r="AC9" s="14">
        <v>0.246605301924608</v>
      </c>
      <c r="AD9" s="14">
        <v>0.19900064431089401</v>
      </c>
      <c r="AE9" s="14">
        <v>0.14347984488505899</v>
      </c>
      <c r="AF9" s="14">
        <v>0.26663925768621299</v>
      </c>
      <c r="AG9" s="14">
        <v>0.124796923527945</v>
      </c>
      <c r="AH9" s="14"/>
      <c r="AI9" s="14">
        <v>0.22667208652740001</v>
      </c>
      <c r="AJ9" s="14">
        <v>0.20619154859604699</v>
      </c>
      <c r="AK9" s="14">
        <v>0.40095149359573201</v>
      </c>
      <c r="AL9" s="14">
        <v>7.8524131813846904E-2</v>
      </c>
      <c r="AM9" s="14">
        <v>6.9568230178971902E-2</v>
      </c>
      <c r="AN9" s="14">
        <v>0.29830726205666003</v>
      </c>
      <c r="AO9" s="14"/>
      <c r="AP9" s="14">
        <v>0.22657478937976699</v>
      </c>
      <c r="AQ9" s="14">
        <v>0.18093499744056399</v>
      </c>
      <c r="AR9" s="14"/>
      <c r="AS9" s="14" t="s">
        <v>88</v>
      </c>
      <c r="AT9" s="14">
        <v>0.207951746515667</v>
      </c>
      <c r="AU9" s="14" t="s">
        <v>88</v>
      </c>
      <c r="AV9" s="14"/>
      <c r="AW9" s="14">
        <v>0.15979504079947199</v>
      </c>
      <c r="AX9" s="14">
        <v>0.36380099073765199</v>
      </c>
      <c r="AY9" s="14"/>
      <c r="AZ9" s="14">
        <v>0.21317325714570801</v>
      </c>
      <c r="BA9" s="14">
        <v>0.189145557957134</v>
      </c>
    </row>
    <row r="10" spans="2:53" x14ac:dyDescent="0.35">
      <c r="B10" s="15" t="s">
        <v>215</v>
      </c>
      <c r="C10" s="14">
        <v>0.57449942859103897</v>
      </c>
      <c r="D10" s="14">
        <v>0.63109214847693795</v>
      </c>
      <c r="E10" s="14">
        <v>0.52667024219273095</v>
      </c>
      <c r="F10" s="14"/>
      <c r="G10" s="14" t="s">
        <v>88</v>
      </c>
      <c r="H10" s="14">
        <v>0.45967808540708799</v>
      </c>
      <c r="I10" s="14">
        <v>0.57261113159800103</v>
      </c>
      <c r="J10" s="14">
        <v>0.64422801074119196</v>
      </c>
      <c r="K10" s="14">
        <v>0.88622350519791804</v>
      </c>
      <c r="L10" s="14" t="s">
        <v>88</v>
      </c>
      <c r="M10" s="14"/>
      <c r="N10" s="14">
        <v>0.54120806202918903</v>
      </c>
      <c r="O10" s="14">
        <v>0.56855926491279696</v>
      </c>
      <c r="P10" s="14">
        <v>0.738291802747161</v>
      </c>
      <c r="Q10" s="14">
        <v>0.51367096696003001</v>
      </c>
      <c r="R10" s="14"/>
      <c r="S10" s="14">
        <v>0.56761374650265795</v>
      </c>
      <c r="T10" s="14">
        <v>0.44998676584104602</v>
      </c>
      <c r="U10" s="14">
        <v>0.64750368928905699</v>
      </c>
      <c r="V10" s="14">
        <v>0.62944987682990206</v>
      </c>
      <c r="W10" s="14">
        <v>0.70597255418606497</v>
      </c>
      <c r="X10" s="14">
        <v>0.58188530537778205</v>
      </c>
      <c r="Y10" s="14">
        <v>0.53384710768797605</v>
      </c>
      <c r="Z10" s="14">
        <v>0.53376725643131795</v>
      </c>
      <c r="AA10" s="14">
        <v>0.61590595502947199</v>
      </c>
      <c r="AB10" s="14"/>
      <c r="AC10" s="14">
        <v>0.58427932095381696</v>
      </c>
      <c r="AD10" s="14">
        <v>0.59562671494156705</v>
      </c>
      <c r="AE10" s="14">
        <v>0.64345507938799096</v>
      </c>
      <c r="AF10" s="14">
        <v>0.48248094962018001</v>
      </c>
      <c r="AG10" s="14">
        <v>0.28409309730527399</v>
      </c>
      <c r="AH10" s="14"/>
      <c r="AI10" s="14">
        <v>0.55972007231518395</v>
      </c>
      <c r="AJ10" s="14">
        <v>0.60508846171050801</v>
      </c>
      <c r="AK10" s="14">
        <v>0.317524028858509</v>
      </c>
      <c r="AL10" s="14">
        <v>0.70219892226232905</v>
      </c>
      <c r="AM10" s="14">
        <v>0.70600750245843003</v>
      </c>
      <c r="AN10" s="14">
        <v>0.44186245321130602</v>
      </c>
      <c r="AO10" s="14"/>
      <c r="AP10" s="14">
        <v>0.55701470905851802</v>
      </c>
      <c r="AQ10" s="14">
        <v>0.59986479362326495</v>
      </c>
      <c r="AR10" s="14"/>
      <c r="AS10" s="14" t="s">
        <v>88</v>
      </c>
      <c r="AT10" s="14">
        <v>0.57449942859103897</v>
      </c>
      <c r="AU10" s="14" t="s">
        <v>88</v>
      </c>
      <c r="AV10" s="14"/>
      <c r="AW10" s="14">
        <v>0.59648095336517903</v>
      </c>
      <c r="AX10" s="14">
        <v>0.493924223428445</v>
      </c>
      <c r="AY10" s="14"/>
      <c r="AZ10" s="14">
        <v>0.60146601379262099</v>
      </c>
      <c r="BA10" s="14">
        <v>0.47737453083387099</v>
      </c>
    </row>
    <row r="11" spans="2:53" x14ac:dyDescent="0.35">
      <c r="B11" s="15" t="s">
        <v>216</v>
      </c>
      <c r="C11" s="14">
        <v>8.8082144279591504E-2</v>
      </c>
      <c r="D11" s="14">
        <v>9.5847147922860004E-2</v>
      </c>
      <c r="E11" s="14">
        <v>8.1519572143348096E-2</v>
      </c>
      <c r="F11" s="14"/>
      <c r="G11" s="14" t="s">
        <v>88</v>
      </c>
      <c r="H11" s="14">
        <v>5.9261558955538099E-2</v>
      </c>
      <c r="I11" s="14">
        <v>9.0407167937795005E-2</v>
      </c>
      <c r="J11" s="14">
        <v>0.11074483502715</v>
      </c>
      <c r="K11" s="14">
        <v>0.113776494802082</v>
      </c>
      <c r="L11" s="14" t="s">
        <v>88</v>
      </c>
      <c r="M11" s="14"/>
      <c r="N11" s="14">
        <v>0.15548075607838199</v>
      </c>
      <c r="O11" s="14">
        <v>8.2025964483933803E-2</v>
      </c>
      <c r="P11" s="14">
        <v>0</v>
      </c>
      <c r="Q11" s="14">
        <v>8.5586086991305294E-2</v>
      </c>
      <c r="R11" s="14"/>
      <c r="S11" s="14">
        <v>2.8410590014981502E-2</v>
      </c>
      <c r="T11" s="14">
        <v>0.106207783726024</v>
      </c>
      <c r="U11" s="14">
        <v>0.13441935170118499</v>
      </c>
      <c r="V11" s="14">
        <v>0</v>
      </c>
      <c r="W11" s="14">
        <v>0</v>
      </c>
      <c r="X11" s="14">
        <v>0.18385147099382701</v>
      </c>
      <c r="Y11" s="14">
        <v>9.7065155532353106E-2</v>
      </c>
      <c r="Z11" s="14">
        <v>0</v>
      </c>
      <c r="AA11" s="14">
        <v>9.9602622772148097E-2</v>
      </c>
      <c r="AB11" s="14"/>
      <c r="AC11" s="14">
        <v>7.3757478099610002E-2</v>
      </c>
      <c r="AD11" s="14">
        <v>6.1532992728574099E-2</v>
      </c>
      <c r="AE11" s="14">
        <v>8.3630899735705894E-2</v>
      </c>
      <c r="AF11" s="14">
        <v>0.105194607683742</v>
      </c>
      <c r="AG11" s="14">
        <v>0.23197914262908501</v>
      </c>
      <c r="AH11" s="14"/>
      <c r="AI11" s="14">
        <v>0.119936549421962</v>
      </c>
      <c r="AJ11" s="14">
        <v>9.8820435791015807E-2</v>
      </c>
      <c r="AK11" s="14">
        <v>0</v>
      </c>
      <c r="AL11" s="14">
        <v>7.8760565386579801E-2</v>
      </c>
      <c r="AM11" s="14">
        <v>0</v>
      </c>
      <c r="AN11" s="14">
        <v>0.102588036278409</v>
      </c>
      <c r="AO11" s="14"/>
      <c r="AP11" s="14">
        <v>0.102507733089264</v>
      </c>
      <c r="AQ11" s="14">
        <v>6.7154709596892806E-2</v>
      </c>
      <c r="AR11" s="14"/>
      <c r="AS11" s="14" t="s">
        <v>88</v>
      </c>
      <c r="AT11" s="14">
        <v>8.8082144279591504E-2</v>
      </c>
      <c r="AU11" s="14" t="s">
        <v>88</v>
      </c>
      <c r="AV11" s="14"/>
      <c r="AW11" s="14">
        <v>9.16360344088782E-2</v>
      </c>
      <c r="AX11" s="14">
        <v>0.10118840624044199</v>
      </c>
      <c r="AY11" s="14"/>
      <c r="AZ11" s="14">
        <v>9.5956575594771804E-2</v>
      </c>
      <c r="BA11" s="14">
        <v>5.9720995447967502E-2</v>
      </c>
    </row>
    <row r="12" spans="2:53" x14ac:dyDescent="0.35">
      <c r="B12" s="15" t="s">
        <v>217</v>
      </c>
      <c r="C12" s="14">
        <v>2.21941413197848E-2</v>
      </c>
      <c r="D12" s="14">
        <v>1.09848208749505E-2</v>
      </c>
      <c r="E12" s="14">
        <v>3.1667668622152999E-2</v>
      </c>
      <c r="F12" s="14"/>
      <c r="G12" s="14" t="s">
        <v>88</v>
      </c>
      <c r="H12" s="14">
        <v>5.9830271837664997E-2</v>
      </c>
      <c r="I12" s="14">
        <v>9.8679316271208101E-3</v>
      </c>
      <c r="J12" s="14">
        <v>1.65589565587142E-2</v>
      </c>
      <c r="K12" s="14">
        <v>0</v>
      </c>
      <c r="L12" s="14" t="s">
        <v>88</v>
      </c>
      <c r="M12" s="14"/>
      <c r="N12" s="14">
        <v>3.1673251853630201E-2</v>
      </c>
      <c r="O12" s="14">
        <v>1.3729316815986801E-2</v>
      </c>
      <c r="P12" s="14">
        <v>0</v>
      </c>
      <c r="Q12" s="14">
        <v>3.5567224717535303E-2</v>
      </c>
      <c r="R12" s="14"/>
      <c r="S12" s="14">
        <v>2.5319640889644002E-2</v>
      </c>
      <c r="T12" s="14">
        <v>4.7750316576394398E-2</v>
      </c>
      <c r="U12" s="14">
        <v>0</v>
      </c>
      <c r="V12" s="14">
        <v>0</v>
      </c>
      <c r="W12" s="14">
        <v>0</v>
      </c>
      <c r="X12" s="14">
        <v>0</v>
      </c>
      <c r="Y12" s="14">
        <v>5.1652011276614201E-2</v>
      </c>
      <c r="Z12" s="14">
        <v>0</v>
      </c>
      <c r="AA12" s="14">
        <v>3.7260227668664797E-2</v>
      </c>
      <c r="AB12" s="14"/>
      <c r="AC12" s="14">
        <v>0</v>
      </c>
      <c r="AD12" s="14">
        <v>1.9820692225788299E-2</v>
      </c>
      <c r="AE12" s="14">
        <v>4.5164188276913798E-2</v>
      </c>
      <c r="AF12" s="14">
        <v>1.9577802497977501E-2</v>
      </c>
      <c r="AG12" s="14">
        <v>0</v>
      </c>
      <c r="AH12" s="14"/>
      <c r="AI12" s="14">
        <v>1.0200957104546399E-2</v>
      </c>
      <c r="AJ12" s="14">
        <v>0</v>
      </c>
      <c r="AK12" s="14">
        <v>0.11072887469963499</v>
      </c>
      <c r="AL12" s="14">
        <v>4.5317522632981097E-2</v>
      </c>
      <c r="AM12" s="14">
        <v>0</v>
      </c>
      <c r="AN12" s="14">
        <v>6.7946696316759397E-2</v>
      </c>
      <c r="AO12" s="14"/>
      <c r="AP12" s="14">
        <v>3.2296358035346397E-2</v>
      </c>
      <c r="AQ12" s="14">
        <v>7.53869236343981E-3</v>
      </c>
      <c r="AR12" s="14"/>
      <c r="AS12" s="14" t="s">
        <v>88</v>
      </c>
      <c r="AT12" s="14">
        <v>2.21941413197848E-2</v>
      </c>
      <c r="AU12" s="14" t="s">
        <v>88</v>
      </c>
      <c r="AV12" s="14"/>
      <c r="AW12" s="14">
        <v>2.8667358360213099E-2</v>
      </c>
      <c r="AX12" s="14">
        <v>0</v>
      </c>
      <c r="AY12" s="14"/>
      <c r="AZ12" s="14">
        <v>6.4284423799666401E-3</v>
      </c>
      <c r="BA12" s="14">
        <v>7.8977077911634497E-2</v>
      </c>
    </row>
    <row r="13" spans="2:53" x14ac:dyDescent="0.35">
      <c r="B13" s="26" t="s">
        <v>116</v>
      </c>
      <c r="C13" s="23">
        <v>6.3442416519727998E-2</v>
      </c>
      <c r="D13" s="23">
        <v>1.1030325737319E-2</v>
      </c>
      <c r="E13" s="23">
        <v>0.10773835537213</v>
      </c>
      <c r="F13" s="23"/>
      <c r="G13" s="23" t="s">
        <v>88</v>
      </c>
      <c r="H13" s="23">
        <v>9.9201527506354303E-2</v>
      </c>
      <c r="I13" s="23">
        <v>4.8683375719232702E-2</v>
      </c>
      <c r="J13" s="23">
        <v>7.7560068526214096E-2</v>
      </c>
      <c r="K13" s="23">
        <v>0</v>
      </c>
      <c r="L13" s="23" t="s">
        <v>88</v>
      </c>
      <c r="M13" s="23"/>
      <c r="N13" s="23">
        <v>2.92489534118223E-2</v>
      </c>
      <c r="O13" s="23">
        <v>7.9858294881215194E-2</v>
      </c>
      <c r="P13" s="23">
        <v>5.73806247159796E-2</v>
      </c>
      <c r="Q13" s="23">
        <v>8.0946398814788004E-2</v>
      </c>
      <c r="R13" s="23"/>
      <c r="S13" s="23">
        <v>0</v>
      </c>
      <c r="T13" s="23">
        <v>0</v>
      </c>
      <c r="U13" s="23">
        <v>4.7282146923914199E-2</v>
      </c>
      <c r="V13" s="23">
        <v>0.251506831515386</v>
      </c>
      <c r="W13" s="23">
        <v>7.1846966066557993E-2</v>
      </c>
      <c r="X13" s="23">
        <v>6.7173197824694206E-2</v>
      </c>
      <c r="Y13" s="23">
        <v>3.7132111272629803E-2</v>
      </c>
      <c r="Z13" s="23">
        <v>0.210110774889809</v>
      </c>
      <c r="AA13" s="23">
        <v>0.10130641842881501</v>
      </c>
      <c r="AB13" s="23"/>
      <c r="AC13" s="23">
        <v>4.6178510999506199E-2</v>
      </c>
      <c r="AD13" s="23">
        <v>7.3380284912537896E-2</v>
      </c>
      <c r="AE13" s="23">
        <v>7.4681379784429999E-2</v>
      </c>
      <c r="AF13" s="23">
        <v>6.0669780892846498E-2</v>
      </c>
      <c r="AG13" s="23">
        <v>0</v>
      </c>
      <c r="AH13" s="23"/>
      <c r="AI13" s="23">
        <v>4.6186689810234799E-2</v>
      </c>
      <c r="AJ13" s="23">
        <v>5.7437685938240599E-2</v>
      </c>
      <c r="AK13" s="23">
        <v>6.6249336074649404E-2</v>
      </c>
      <c r="AL13" s="23">
        <v>9.5198857904262996E-2</v>
      </c>
      <c r="AM13" s="23">
        <v>0.16201724765311601</v>
      </c>
      <c r="AN13" s="23">
        <v>0</v>
      </c>
      <c r="AO13" s="23"/>
      <c r="AP13" s="23">
        <v>3.7885196830496001E-2</v>
      </c>
      <c r="AQ13" s="23">
        <v>0.10051868791318</v>
      </c>
      <c r="AR13" s="23"/>
      <c r="AS13" s="23" t="s">
        <v>88</v>
      </c>
      <c r="AT13" s="23">
        <v>6.3442416519727998E-2</v>
      </c>
      <c r="AU13" s="23" t="s">
        <v>88</v>
      </c>
      <c r="AV13" s="23"/>
      <c r="AW13" s="23">
        <v>8.1946242632404007E-2</v>
      </c>
      <c r="AX13" s="23">
        <v>0</v>
      </c>
      <c r="AY13" s="23"/>
      <c r="AZ13" s="23">
        <v>4.1846623841076902E-2</v>
      </c>
      <c r="BA13" s="23">
        <v>0.141223460734995</v>
      </c>
    </row>
    <row r="14" spans="2:53" x14ac:dyDescent="0.35">
      <c r="B14" s="25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B2:BA19"/>
  <sheetViews>
    <sheetView showGridLines="0" workbookViewId="0">
      <pane xSplit="2" topLeftCell="C1" activePane="topRight" state="frozen"/>
      <selection pane="topRight" activeCell="C19" sqref="C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321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219</v>
      </c>
      <c r="D7" s="10">
        <v>82</v>
      </c>
      <c r="E7" s="10">
        <v>137</v>
      </c>
      <c r="F7" s="10"/>
      <c r="G7" s="10" t="s">
        <v>87</v>
      </c>
      <c r="H7" s="10">
        <v>52</v>
      </c>
      <c r="I7" s="10">
        <v>119</v>
      </c>
      <c r="J7" s="10">
        <v>41</v>
      </c>
      <c r="K7" s="10">
        <v>7</v>
      </c>
      <c r="L7" s="10" t="s">
        <v>87</v>
      </c>
      <c r="M7" s="10"/>
      <c r="N7" s="10">
        <v>90</v>
      </c>
      <c r="O7" s="10">
        <v>61</v>
      </c>
      <c r="P7" s="10">
        <v>25</v>
      </c>
      <c r="Q7" s="10">
        <v>43</v>
      </c>
      <c r="R7" s="10"/>
      <c r="S7" s="10">
        <v>45</v>
      </c>
      <c r="T7" s="10">
        <v>35</v>
      </c>
      <c r="U7" s="10">
        <v>18</v>
      </c>
      <c r="V7" s="10">
        <v>12</v>
      </c>
      <c r="W7" s="10">
        <v>16</v>
      </c>
      <c r="X7" s="10">
        <v>32</v>
      </c>
      <c r="Y7" s="10">
        <v>21</v>
      </c>
      <c r="Z7" s="10">
        <v>8</v>
      </c>
      <c r="AA7" s="10">
        <v>32</v>
      </c>
      <c r="AB7" s="10"/>
      <c r="AC7" s="10">
        <v>22</v>
      </c>
      <c r="AD7" s="10">
        <v>46</v>
      </c>
      <c r="AE7" s="10">
        <v>66</v>
      </c>
      <c r="AF7" s="10">
        <v>56</v>
      </c>
      <c r="AG7" s="10">
        <v>6</v>
      </c>
      <c r="AH7" s="10"/>
      <c r="AI7" s="10">
        <v>82</v>
      </c>
      <c r="AJ7" s="10">
        <v>45</v>
      </c>
      <c r="AK7" s="10">
        <v>19</v>
      </c>
      <c r="AL7" s="10">
        <v>25</v>
      </c>
      <c r="AM7" s="10">
        <v>14</v>
      </c>
      <c r="AN7" s="10">
        <v>15</v>
      </c>
      <c r="AO7" s="10"/>
      <c r="AP7" s="10">
        <v>124</v>
      </c>
      <c r="AQ7" s="10">
        <v>95</v>
      </c>
      <c r="AR7" s="10"/>
      <c r="AS7" s="10" t="s">
        <v>87</v>
      </c>
      <c r="AT7" s="10">
        <v>219</v>
      </c>
      <c r="AU7" s="10" t="s">
        <v>87</v>
      </c>
      <c r="AV7" s="10"/>
      <c r="AW7" s="10">
        <v>164</v>
      </c>
      <c r="AX7" s="10">
        <v>45</v>
      </c>
      <c r="AY7" s="10"/>
      <c r="AZ7" s="10">
        <v>171</v>
      </c>
      <c r="BA7" s="10">
        <v>48</v>
      </c>
    </row>
    <row r="8" spans="2:53" ht="30" customHeight="1" x14ac:dyDescent="0.35">
      <c r="B8" s="11" t="s">
        <v>19</v>
      </c>
      <c r="C8" s="11">
        <v>215</v>
      </c>
      <c r="D8" s="11">
        <v>98</v>
      </c>
      <c r="E8" s="11">
        <v>116</v>
      </c>
      <c r="F8" s="11"/>
      <c r="G8" s="11" t="s">
        <v>87</v>
      </c>
      <c r="H8" s="11">
        <v>50</v>
      </c>
      <c r="I8" s="11">
        <v>115</v>
      </c>
      <c r="J8" s="11">
        <v>40</v>
      </c>
      <c r="K8" s="11">
        <v>10</v>
      </c>
      <c r="L8" s="11" t="s">
        <v>87</v>
      </c>
      <c r="M8" s="11"/>
      <c r="N8" s="11">
        <v>55</v>
      </c>
      <c r="O8" s="11">
        <v>63</v>
      </c>
      <c r="P8" s="11">
        <v>36</v>
      </c>
      <c r="Q8" s="11">
        <v>61</v>
      </c>
      <c r="R8" s="11"/>
      <c r="S8" s="11">
        <v>34</v>
      </c>
      <c r="T8" s="11">
        <v>36</v>
      </c>
      <c r="U8" s="11">
        <v>23</v>
      </c>
      <c r="V8" s="11">
        <v>14</v>
      </c>
      <c r="W8" s="11">
        <v>15</v>
      </c>
      <c r="X8" s="11">
        <v>33</v>
      </c>
      <c r="Y8" s="11">
        <v>20</v>
      </c>
      <c r="Z8" s="11">
        <v>9</v>
      </c>
      <c r="AA8" s="11">
        <v>30</v>
      </c>
      <c r="AB8" s="11"/>
      <c r="AC8" s="11">
        <v>29</v>
      </c>
      <c r="AD8" s="11">
        <v>52</v>
      </c>
      <c r="AE8" s="11">
        <v>64</v>
      </c>
      <c r="AF8" s="11">
        <v>44</v>
      </c>
      <c r="AG8" s="11">
        <v>3</v>
      </c>
      <c r="AH8" s="11"/>
      <c r="AI8" s="11">
        <v>85</v>
      </c>
      <c r="AJ8" s="11">
        <v>43</v>
      </c>
      <c r="AK8" s="11">
        <v>16</v>
      </c>
      <c r="AL8" s="11">
        <v>24</v>
      </c>
      <c r="AM8" s="11">
        <v>13</v>
      </c>
      <c r="AN8" s="11">
        <v>15</v>
      </c>
      <c r="AO8" s="11"/>
      <c r="AP8" s="11">
        <v>127</v>
      </c>
      <c r="AQ8" s="11">
        <v>88</v>
      </c>
      <c r="AR8" s="11"/>
      <c r="AS8" s="11" t="s">
        <v>87</v>
      </c>
      <c r="AT8" s="11">
        <v>215</v>
      </c>
      <c r="AU8" s="11" t="s">
        <v>87</v>
      </c>
      <c r="AV8" s="11"/>
      <c r="AW8" s="11">
        <v>166</v>
      </c>
      <c r="AX8" s="11">
        <v>36</v>
      </c>
      <c r="AY8" s="11"/>
      <c r="AZ8" s="11">
        <v>168</v>
      </c>
      <c r="BA8" s="11">
        <v>47</v>
      </c>
    </row>
    <row r="9" spans="2:53" x14ac:dyDescent="0.35">
      <c r="B9" s="15" t="s">
        <v>220</v>
      </c>
      <c r="C9" s="14">
        <v>0.23792056797743599</v>
      </c>
      <c r="D9" s="14">
        <v>0.24756698851272199</v>
      </c>
      <c r="E9" s="14">
        <v>0.22976792136867</v>
      </c>
      <c r="F9" s="14"/>
      <c r="G9" s="14" t="s">
        <v>88</v>
      </c>
      <c r="H9" s="14">
        <v>0.25517296346789498</v>
      </c>
      <c r="I9" s="14">
        <v>0.28797246023144402</v>
      </c>
      <c r="J9" s="14">
        <v>7.9852137612178797E-2</v>
      </c>
      <c r="K9" s="14">
        <v>0.20656703463974199</v>
      </c>
      <c r="L9" s="14" t="s">
        <v>88</v>
      </c>
      <c r="M9" s="14"/>
      <c r="N9" s="14">
        <v>0.202645678471334</v>
      </c>
      <c r="O9" s="14">
        <v>0.24158419895925701</v>
      </c>
      <c r="P9" s="14">
        <v>0.28444126456962998</v>
      </c>
      <c r="Q9" s="14">
        <v>0.23846442183351299</v>
      </c>
      <c r="R9" s="14"/>
      <c r="S9" s="14">
        <v>0.16531513793101599</v>
      </c>
      <c r="T9" s="14">
        <v>0.25722141727007503</v>
      </c>
      <c r="U9" s="14">
        <v>5.8103689964229002E-2</v>
      </c>
      <c r="V9" s="14">
        <v>0.29266863749203198</v>
      </c>
      <c r="W9" s="14">
        <v>0.27955125163549799</v>
      </c>
      <c r="X9" s="14">
        <v>0.25427892531448398</v>
      </c>
      <c r="Y9" s="14">
        <v>0.14619417382026201</v>
      </c>
      <c r="Z9" s="14">
        <v>0.45401074066892499</v>
      </c>
      <c r="AA9" s="14">
        <v>0.36403985943363298</v>
      </c>
      <c r="AB9" s="14"/>
      <c r="AC9" s="14">
        <v>0.31663020844900502</v>
      </c>
      <c r="AD9" s="14">
        <v>0.18789857464078799</v>
      </c>
      <c r="AE9" s="14">
        <v>0.249635784404177</v>
      </c>
      <c r="AF9" s="14">
        <v>0.223227425400366</v>
      </c>
      <c r="AG9" s="14">
        <v>0.3122407490711</v>
      </c>
      <c r="AH9" s="14"/>
      <c r="AI9" s="14">
        <v>0.25941016609797901</v>
      </c>
      <c r="AJ9" s="14">
        <v>0.21051918097227501</v>
      </c>
      <c r="AK9" s="14">
        <v>0.20301183192351899</v>
      </c>
      <c r="AL9" s="14">
        <v>0.17066407717940599</v>
      </c>
      <c r="AM9" s="14">
        <v>0.33588362889010598</v>
      </c>
      <c r="AN9" s="14">
        <v>0.24131625556839401</v>
      </c>
      <c r="AO9" s="14"/>
      <c r="AP9" s="14">
        <v>0.23408804334880001</v>
      </c>
      <c r="AQ9" s="14">
        <v>0.243480473357648</v>
      </c>
      <c r="AR9" s="14"/>
      <c r="AS9" s="14" t="s">
        <v>88</v>
      </c>
      <c r="AT9" s="14">
        <v>0.23792056797743599</v>
      </c>
      <c r="AU9" s="14" t="s">
        <v>88</v>
      </c>
      <c r="AV9" s="14"/>
      <c r="AW9" s="14">
        <v>0.215752466687952</v>
      </c>
      <c r="AX9" s="14">
        <v>0.29012250384117599</v>
      </c>
      <c r="AY9" s="14"/>
      <c r="AZ9" s="14">
        <v>0.25627142379747597</v>
      </c>
      <c r="BA9" s="14">
        <v>0.17182673436986101</v>
      </c>
    </row>
    <row r="10" spans="2:53" x14ac:dyDescent="0.35">
      <c r="B10" s="15" t="s">
        <v>221</v>
      </c>
      <c r="C10" s="14">
        <v>0.48937034771432197</v>
      </c>
      <c r="D10" s="14">
        <v>0.52599640777967605</v>
      </c>
      <c r="E10" s="14">
        <v>0.45841593065443498</v>
      </c>
      <c r="F10" s="14"/>
      <c r="G10" s="14" t="s">
        <v>88</v>
      </c>
      <c r="H10" s="14">
        <v>0.38282614339988402</v>
      </c>
      <c r="I10" s="14">
        <v>0.45442278223902099</v>
      </c>
      <c r="J10" s="14">
        <v>0.68314203417961294</v>
      </c>
      <c r="K10" s="14">
        <v>0.64675617236238303</v>
      </c>
      <c r="L10" s="14" t="s">
        <v>88</v>
      </c>
      <c r="M10" s="14"/>
      <c r="N10" s="14">
        <v>0.52602721956687903</v>
      </c>
      <c r="O10" s="14">
        <v>0.47165171359288399</v>
      </c>
      <c r="P10" s="14">
        <v>0.55962797184380997</v>
      </c>
      <c r="Q10" s="14">
        <v>0.432915274666478</v>
      </c>
      <c r="R10" s="14"/>
      <c r="S10" s="14">
        <v>0.59327570630391702</v>
      </c>
      <c r="T10" s="14">
        <v>0.37138194747565301</v>
      </c>
      <c r="U10" s="14">
        <v>0.75018792830148295</v>
      </c>
      <c r="V10" s="14">
        <v>0.14387218407268301</v>
      </c>
      <c r="W10" s="14">
        <v>0.60236923868776704</v>
      </c>
      <c r="X10" s="14">
        <v>0.49704438174967303</v>
      </c>
      <c r="Y10" s="14">
        <v>0.67108528730848205</v>
      </c>
      <c r="Z10" s="14">
        <v>0.54598925933107501</v>
      </c>
      <c r="AA10" s="14">
        <v>0.28277653839566702</v>
      </c>
      <c r="AB10" s="14"/>
      <c r="AC10" s="14">
        <v>0.40247580732376198</v>
      </c>
      <c r="AD10" s="14">
        <v>0.46572369941459602</v>
      </c>
      <c r="AE10" s="14">
        <v>0.52175906420714402</v>
      </c>
      <c r="AF10" s="14">
        <v>0.54385591411422396</v>
      </c>
      <c r="AG10" s="14">
        <v>0.32862841439120299</v>
      </c>
      <c r="AH10" s="14"/>
      <c r="AI10" s="14">
        <v>0.52633259300597801</v>
      </c>
      <c r="AJ10" s="14">
        <v>0.58613097115943402</v>
      </c>
      <c r="AK10" s="14">
        <v>0.35730531156950002</v>
      </c>
      <c r="AL10" s="14">
        <v>0.52941495904283398</v>
      </c>
      <c r="AM10" s="14">
        <v>0.42947215194455601</v>
      </c>
      <c r="AN10" s="14">
        <v>0.24371219586259099</v>
      </c>
      <c r="AO10" s="14"/>
      <c r="AP10" s="14">
        <v>0.47113104943467099</v>
      </c>
      <c r="AQ10" s="14">
        <v>0.51583039232267103</v>
      </c>
      <c r="AR10" s="14"/>
      <c r="AS10" s="14" t="s">
        <v>88</v>
      </c>
      <c r="AT10" s="14">
        <v>0.48937034771432197</v>
      </c>
      <c r="AU10" s="14" t="s">
        <v>88</v>
      </c>
      <c r="AV10" s="14"/>
      <c r="AW10" s="14">
        <v>0.50710455883972205</v>
      </c>
      <c r="AX10" s="14">
        <v>0.44994609140432901</v>
      </c>
      <c r="AY10" s="14"/>
      <c r="AZ10" s="14">
        <v>0.49269343309826602</v>
      </c>
      <c r="BA10" s="14">
        <v>0.47740167145289403</v>
      </c>
    </row>
    <row r="11" spans="2:53" x14ac:dyDescent="0.35">
      <c r="B11" s="15" t="s">
        <v>222</v>
      </c>
      <c r="C11" s="14">
        <v>0.20717686608499</v>
      </c>
      <c r="D11" s="14">
        <v>0.20199735355096099</v>
      </c>
      <c r="E11" s="14">
        <v>0.211554317300304</v>
      </c>
      <c r="F11" s="14"/>
      <c r="G11" s="14" t="s">
        <v>88</v>
      </c>
      <c r="H11" s="14">
        <v>0.22729810750371501</v>
      </c>
      <c r="I11" s="14">
        <v>0.207639940294606</v>
      </c>
      <c r="J11" s="14">
        <v>0.19605614791048701</v>
      </c>
      <c r="K11" s="14">
        <v>0.14667679299787501</v>
      </c>
      <c r="L11" s="14" t="s">
        <v>88</v>
      </c>
      <c r="M11" s="14"/>
      <c r="N11" s="14">
        <v>0.18407927190410101</v>
      </c>
      <c r="O11" s="14">
        <v>0.23101580901847901</v>
      </c>
      <c r="P11" s="14">
        <v>0.15593076358656</v>
      </c>
      <c r="Q11" s="14">
        <v>0.23372123266772399</v>
      </c>
      <c r="R11" s="14"/>
      <c r="S11" s="14">
        <v>0.18767892682717799</v>
      </c>
      <c r="T11" s="14">
        <v>0.27988660871321602</v>
      </c>
      <c r="U11" s="14">
        <v>0.191708381734288</v>
      </c>
      <c r="V11" s="14">
        <v>0.40445583753463299</v>
      </c>
      <c r="W11" s="14">
        <v>0.118079509676735</v>
      </c>
      <c r="X11" s="14">
        <v>0.23279967152369399</v>
      </c>
      <c r="Y11" s="14">
        <v>2.7764505041413201E-2</v>
      </c>
      <c r="Z11" s="14">
        <v>0</v>
      </c>
      <c r="AA11" s="14">
        <v>0.25358098144096902</v>
      </c>
      <c r="AB11" s="14"/>
      <c r="AC11" s="14">
        <v>0.18553608520526799</v>
      </c>
      <c r="AD11" s="14">
        <v>0.27250172258154398</v>
      </c>
      <c r="AE11" s="14">
        <v>0.18637478414943101</v>
      </c>
      <c r="AF11" s="14">
        <v>0.17990927450366401</v>
      </c>
      <c r="AG11" s="14">
        <v>0</v>
      </c>
      <c r="AH11" s="14"/>
      <c r="AI11" s="14">
        <v>0.148375149518396</v>
      </c>
      <c r="AJ11" s="14">
        <v>0.14001931904008599</v>
      </c>
      <c r="AK11" s="14">
        <v>0.33513658973550697</v>
      </c>
      <c r="AL11" s="14">
        <v>0.214788492841402</v>
      </c>
      <c r="AM11" s="14">
        <v>0.23464421916533901</v>
      </c>
      <c r="AN11" s="14">
        <v>0.44702485225225602</v>
      </c>
      <c r="AO11" s="14"/>
      <c r="AP11" s="14">
        <v>0.232420728845874</v>
      </c>
      <c r="AQ11" s="14">
        <v>0.170555186648713</v>
      </c>
      <c r="AR11" s="14"/>
      <c r="AS11" s="14" t="s">
        <v>88</v>
      </c>
      <c r="AT11" s="14">
        <v>0.20717686608499</v>
      </c>
      <c r="AU11" s="14" t="s">
        <v>88</v>
      </c>
      <c r="AV11" s="14"/>
      <c r="AW11" s="14">
        <v>0.207636803283414</v>
      </c>
      <c r="AX11" s="14">
        <v>0.21884502516103399</v>
      </c>
      <c r="AY11" s="14"/>
      <c r="AZ11" s="14">
        <v>0.18826281076620399</v>
      </c>
      <c r="BA11" s="14">
        <v>0.27529916170671498</v>
      </c>
    </row>
    <row r="12" spans="2:53" x14ac:dyDescent="0.35">
      <c r="B12" s="15" t="s">
        <v>223</v>
      </c>
      <c r="C12" s="14">
        <v>9.0632240866201797E-3</v>
      </c>
      <c r="D12" s="14">
        <v>1.09848208749505E-2</v>
      </c>
      <c r="E12" s="14">
        <v>7.4391916818030302E-3</v>
      </c>
      <c r="F12" s="14"/>
      <c r="G12" s="14" t="s">
        <v>88</v>
      </c>
      <c r="H12" s="14">
        <v>2.1773947631939499E-2</v>
      </c>
      <c r="I12" s="14">
        <v>7.5171122551379596E-3</v>
      </c>
      <c r="J12" s="14">
        <v>0</v>
      </c>
      <c r="K12" s="14">
        <v>0</v>
      </c>
      <c r="L12" s="14" t="s">
        <v>88</v>
      </c>
      <c r="M12" s="14"/>
      <c r="N12" s="14">
        <v>1.9656023475039499E-2</v>
      </c>
      <c r="O12" s="14">
        <v>1.3729316353984699E-2</v>
      </c>
      <c r="P12" s="14">
        <v>0</v>
      </c>
      <c r="Q12" s="14">
        <v>0</v>
      </c>
      <c r="R12" s="14"/>
      <c r="S12" s="14">
        <v>2.5319640037618499E-2</v>
      </c>
      <c r="T12" s="14">
        <v>2.9633248518453E-2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0</v>
      </c>
      <c r="AE12" s="14">
        <v>1.6958115305199199E-2</v>
      </c>
      <c r="AF12" s="14">
        <v>0</v>
      </c>
      <c r="AG12" s="14">
        <v>0</v>
      </c>
      <c r="AH12" s="14"/>
      <c r="AI12" s="14">
        <v>0</v>
      </c>
      <c r="AJ12" s="14">
        <v>2.0239542122455899E-2</v>
      </c>
      <c r="AK12" s="14">
        <v>0</v>
      </c>
      <c r="AL12" s="14">
        <v>4.5317522632981097E-2</v>
      </c>
      <c r="AM12" s="14">
        <v>0</v>
      </c>
      <c r="AN12" s="14">
        <v>0</v>
      </c>
      <c r="AO12" s="14"/>
      <c r="AP12" s="14">
        <v>8.4997259291699195E-3</v>
      </c>
      <c r="AQ12" s="14">
        <v>9.8806999650366007E-3</v>
      </c>
      <c r="AR12" s="14"/>
      <c r="AS12" s="14" t="s">
        <v>88</v>
      </c>
      <c r="AT12" s="14">
        <v>9.0632240866201797E-3</v>
      </c>
      <c r="AU12" s="14" t="s">
        <v>88</v>
      </c>
      <c r="AV12" s="14"/>
      <c r="AW12" s="14">
        <v>1.17066341538721E-2</v>
      </c>
      <c r="AX12" s="14">
        <v>0</v>
      </c>
      <c r="AY12" s="14"/>
      <c r="AZ12" s="14">
        <v>6.4284423799666401E-3</v>
      </c>
      <c r="BA12" s="14">
        <v>1.85528536395742E-2</v>
      </c>
    </row>
    <row r="13" spans="2:53" x14ac:dyDescent="0.35">
      <c r="B13" s="15" t="s">
        <v>116</v>
      </c>
      <c r="C13" s="18">
        <v>2.1981560184956301E-2</v>
      </c>
      <c r="D13" s="18">
        <v>0</v>
      </c>
      <c r="E13" s="18">
        <v>4.0559217196876399E-2</v>
      </c>
      <c r="F13" s="18"/>
      <c r="G13" s="18" t="s">
        <v>88</v>
      </c>
      <c r="H13" s="18">
        <v>8.2814840851128793E-2</v>
      </c>
      <c r="I13" s="18">
        <v>0</v>
      </c>
      <c r="J13" s="18">
        <v>1.53144812838989E-2</v>
      </c>
      <c r="K13" s="18">
        <v>0</v>
      </c>
      <c r="L13" s="18" t="s">
        <v>88</v>
      </c>
      <c r="M13" s="18"/>
      <c r="N13" s="18">
        <v>1.11140830906653E-2</v>
      </c>
      <c r="O13" s="18">
        <v>2.8009646515702102E-2</v>
      </c>
      <c r="P13" s="18">
        <v>0</v>
      </c>
      <c r="Q13" s="18">
        <v>3.85969362442573E-2</v>
      </c>
      <c r="R13" s="18"/>
      <c r="S13" s="18">
        <v>0</v>
      </c>
      <c r="T13" s="18">
        <v>0</v>
      </c>
      <c r="U13" s="18">
        <v>0</v>
      </c>
      <c r="V13" s="18">
        <v>0.15900334090065099</v>
      </c>
      <c r="W13" s="18">
        <v>0</v>
      </c>
      <c r="X13" s="18">
        <v>0</v>
      </c>
      <c r="Y13" s="18">
        <v>5.1652011276614201E-2</v>
      </c>
      <c r="Z13" s="18">
        <v>0</v>
      </c>
      <c r="AA13" s="18">
        <v>4.68144729970838E-2</v>
      </c>
      <c r="AB13" s="18"/>
      <c r="AC13" s="18">
        <v>4.6178510999506199E-2</v>
      </c>
      <c r="AD13" s="18">
        <v>5.4055311137283998E-2</v>
      </c>
      <c r="AE13" s="18">
        <v>0</v>
      </c>
      <c r="AF13" s="18">
        <v>0</v>
      </c>
      <c r="AG13" s="18">
        <v>0</v>
      </c>
      <c r="AH13" s="18"/>
      <c r="AI13" s="18">
        <v>1.6824828159743101E-2</v>
      </c>
      <c r="AJ13" s="18">
        <v>3.08686608640159E-2</v>
      </c>
      <c r="AK13" s="18">
        <v>0</v>
      </c>
      <c r="AL13" s="18">
        <v>3.9814948303377298E-2</v>
      </c>
      <c r="AM13" s="18">
        <v>0</v>
      </c>
      <c r="AN13" s="18">
        <v>6.7946696316759397E-2</v>
      </c>
      <c r="AO13" s="18"/>
      <c r="AP13" s="18">
        <v>1.2850828373286501E-2</v>
      </c>
      <c r="AQ13" s="18">
        <v>3.5227660300178598E-2</v>
      </c>
      <c r="AR13" s="18"/>
      <c r="AS13" s="18" t="s">
        <v>88</v>
      </c>
      <c r="AT13" s="18">
        <v>2.1981560184956301E-2</v>
      </c>
      <c r="AU13" s="18" t="s">
        <v>88</v>
      </c>
      <c r="AV13" s="18"/>
      <c r="AW13" s="18">
        <v>2.8392775104887202E-2</v>
      </c>
      <c r="AX13" s="18">
        <v>0</v>
      </c>
      <c r="AY13" s="18"/>
      <c r="AZ13" s="18">
        <v>2.2000302801525901E-2</v>
      </c>
      <c r="BA13" s="18">
        <v>2.19140553561313E-2</v>
      </c>
    </row>
    <row r="14" spans="2:53" x14ac:dyDescent="0.35">
      <c r="B14" s="26" t="s">
        <v>224</v>
      </c>
      <c r="C14" s="27">
        <v>0.72729091569175797</v>
      </c>
      <c r="D14" s="27">
        <v>0.77356339629239801</v>
      </c>
      <c r="E14" s="27">
        <v>0.68818385202310595</v>
      </c>
      <c r="F14" s="27"/>
      <c r="G14" s="27" t="s">
        <v>88</v>
      </c>
      <c r="H14" s="27">
        <v>0.63799910686777905</v>
      </c>
      <c r="I14" s="27">
        <v>0.74239524247046396</v>
      </c>
      <c r="J14" s="27">
        <v>0.76299417179179196</v>
      </c>
      <c r="K14" s="27">
        <v>0.85332320700212505</v>
      </c>
      <c r="L14" s="27" t="s">
        <v>88</v>
      </c>
      <c r="M14" s="27"/>
      <c r="N14" s="27">
        <v>0.728672898038214</v>
      </c>
      <c r="O14" s="27">
        <v>0.71323591255214003</v>
      </c>
      <c r="P14" s="27">
        <v>0.84406923641344</v>
      </c>
      <c r="Q14" s="27">
        <v>0.67137969649999096</v>
      </c>
      <c r="R14" s="27"/>
      <c r="S14" s="27">
        <v>0.75859084423493295</v>
      </c>
      <c r="T14" s="27">
        <v>0.62860336474572798</v>
      </c>
      <c r="U14" s="27">
        <v>0.80829161826571205</v>
      </c>
      <c r="V14" s="27">
        <v>0.43654082156471602</v>
      </c>
      <c r="W14" s="27">
        <v>0.88192049032326503</v>
      </c>
      <c r="X14" s="27">
        <v>0.75132330706415595</v>
      </c>
      <c r="Y14" s="27">
        <v>0.81727946112874394</v>
      </c>
      <c r="Z14" s="27">
        <v>1</v>
      </c>
      <c r="AA14" s="27">
        <v>0.646816397829301</v>
      </c>
      <c r="AB14" s="27"/>
      <c r="AC14" s="27">
        <v>0.719106015772767</v>
      </c>
      <c r="AD14" s="27">
        <v>0.65362227405538298</v>
      </c>
      <c r="AE14" s="27">
        <v>0.77139484861132102</v>
      </c>
      <c r="AF14" s="27">
        <v>0.76708333951459096</v>
      </c>
      <c r="AG14" s="27">
        <v>0.64086916346230305</v>
      </c>
      <c r="AH14" s="27"/>
      <c r="AI14" s="27">
        <v>0.78574275910395697</v>
      </c>
      <c r="AJ14" s="27">
        <v>0.79665015213170898</v>
      </c>
      <c r="AK14" s="27">
        <v>0.56031714349301798</v>
      </c>
      <c r="AL14" s="27">
        <v>0.70007903622223999</v>
      </c>
      <c r="AM14" s="27">
        <v>0.76535578083466105</v>
      </c>
      <c r="AN14" s="27">
        <v>0.485028451430984</v>
      </c>
      <c r="AO14" s="27"/>
      <c r="AP14" s="27">
        <v>0.70521909278347195</v>
      </c>
      <c r="AQ14" s="27">
        <v>0.75931086568031902</v>
      </c>
      <c r="AR14" s="27"/>
      <c r="AS14" s="27" t="s">
        <v>88</v>
      </c>
      <c r="AT14" s="27">
        <v>0.72729091569175797</v>
      </c>
      <c r="AU14" s="27" t="s">
        <v>88</v>
      </c>
      <c r="AV14" s="27"/>
      <c r="AW14" s="27">
        <v>0.72285702552767395</v>
      </c>
      <c r="AX14" s="27">
        <v>0.74006859524550594</v>
      </c>
      <c r="AY14" s="27"/>
      <c r="AZ14" s="27">
        <v>0.74896485689574199</v>
      </c>
      <c r="BA14" s="27">
        <v>0.64922840582275498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B2:BA18"/>
  <sheetViews>
    <sheetView showGridLines="0" workbookViewId="0">
      <pane xSplit="2" topLeftCell="C1" activePane="topRight" state="frozen"/>
      <selection pane="topRight" activeCell="B7" sqref="B7:BA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322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219</v>
      </c>
      <c r="D7" s="10">
        <v>82</v>
      </c>
      <c r="E7" s="10">
        <v>137</v>
      </c>
      <c r="F7" s="10"/>
      <c r="G7" s="10" t="s">
        <v>87</v>
      </c>
      <c r="H7" s="10">
        <v>52</v>
      </c>
      <c r="I7" s="10">
        <v>119</v>
      </c>
      <c r="J7" s="10">
        <v>41</v>
      </c>
      <c r="K7" s="10">
        <v>7</v>
      </c>
      <c r="L7" s="10" t="s">
        <v>87</v>
      </c>
      <c r="M7" s="10"/>
      <c r="N7" s="10">
        <v>90</v>
      </c>
      <c r="O7" s="10">
        <v>61</v>
      </c>
      <c r="P7" s="10">
        <v>25</v>
      </c>
      <c r="Q7" s="10">
        <v>43</v>
      </c>
      <c r="R7" s="10"/>
      <c r="S7" s="10">
        <v>45</v>
      </c>
      <c r="T7" s="10">
        <v>35</v>
      </c>
      <c r="U7" s="10">
        <v>18</v>
      </c>
      <c r="V7" s="10">
        <v>12</v>
      </c>
      <c r="W7" s="10">
        <v>16</v>
      </c>
      <c r="X7" s="10">
        <v>32</v>
      </c>
      <c r="Y7" s="10">
        <v>21</v>
      </c>
      <c r="Z7" s="10">
        <v>8</v>
      </c>
      <c r="AA7" s="10">
        <v>32</v>
      </c>
      <c r="AB7" s="10"/>
      <c r="AC7" s="10">
        <v>22</v>
      </c>
      <c r="AD7" s="10">
        <v>46</v>
      </c>
      <c r="AE7" s="10">
        <v>66</v>
      </c>
      <c r="AF7" s="10">
        <v>56</v>
      </c>
      <c r="AG7" s="10">
        <v>6</v>
      </c>
      <c r="AH7" s="10"/>
      <c r="AI7" s="10">
        <v>82</v>
      </c>
      <c r="AJ7" s="10">
        <v>45</v>
      </c>
      <c r="AK7" s="10">
        <v>19</v>
      </c>
      <c r="AL7" s="10">
        <v>25</v>
      </c>
      <c r="AM7" s="10">
        <v>14</v>
      </c>
      <c r="AN7" s="10">
        <v>15</v>
      </c>
      <c r="AO7" s="10"/>
      <c r="AP7" s="10">
        <v>124</v>
      </c>
      <c r="AQ7" s="10">
        <v>95</v>
      </c>
      <c r="AR7" s="10"/>
      <c r="AS7" s="10" t="s">
        <v>87</v>
      </c>
      <c r="AT7" s="10">
        <v>219</v>
      </c>
      <c r="AU7" s="10" t="s">
        <v>87</v>
      </c>
      <c r="AV7" s="10"/>
      <c r="AW7" s="10">
        <v>164</v>
      </c>
      <c r="AX7" s="10">
        <v>45</v>
      </c>
      <c r="AY7" s="10"/>
      <c r="AZ7" s="10">
        <v>171</v>
      </c>
      <c r="BA7" s="10">
        <v>48</v>
      </c>
    </row>
    <row r="8" spans="2:53" ht="30" customHeight="1" x14ac:dyDescent="0.35">
      <c r="B8" s="11" t="s">
        <v>19</v>
      </c>
      <c r="C8" s="11">
        <v>215</v>
      </c>
      <c r="D8" s="11">
        <v>98</v>
      </c>
      <c r="E8" s="11">
        <v>116</v>
      </c>
      <c r="F8" s="11"/>
      <c r="G8" s="11" t="s">
        <v>87</v>
      </c>
      <c r="H8" s="11">
        <v>50</v>
      </c>
      <c r="I8" s="11">
        <v>115</v>
      </c>
      <c r="J8" s="11">
        <v>40</v>
      </c>
      <c r="K8" s="11">
        <v>10</v>
      </c>
      <c r="L8" s="11" t="s">
        <v>87</v>
      </c>
      <c r="M8" s="11"/>
      <c r="N8" s="11">
        <v>55</v>
      </c>
      <c r="O8" s="11">
        <v>63</v>
      </c>
      <c r="P8" s="11">
        <v>36</v>
      </c>
      <c r="Q8" s="11">
        <v>61</v>
      </c>
      <c r="R8" s="11"/>
      <c r="S8" s="11">
        <v>34</v>
      </c>
      <c r="T8" s="11">
        <v>36</v>
      </c>
      <c r="U8" s="11">
        <v>23</v>
      </c>
      <c r="V8" s="11">
        <v>14</v>
      </c>
      <c r="W8" s="11">
        <v>15</v>
      </c>
      <c r="X8" s="11">
        <v>33</v>
      </c>
      <c r="Y8" s="11">
        <v>20</v>
      </c>
      <c r="Z8" s="11">
        <v>9</v>
      </c>
      <c r="AA8" s="11">
        <v>30</v>
      </c>
      <c r="AB8" s="11"/>
      <c r="AC8" s="11">
        <v>29</v>
      </c>
      <c r="AD8" s="11">
        <v>52</v>
      </c>
      <c r="AE8" s="11">
        <v>64</v>
      </c>
      <c r="AF8" s="11">
        <v>44</v>
      </c>
      <c r="AG8" s="11">
        <v>3</v>
      </c>
      <c r="AH8" s="11"/>
      <c r="AI8" s="11">
        <v>85</v>
      </c>
      <c r="AJ8" s="11">
        <v>43</v>
      </c>
      <c r="AK8" s="11">
        <v>16</v>
      </c>
      <c r="AL8" s="11">
        <v>24</v>
      </c>
      <c r="AM8" s="11">
        <v>13</v>
      </c>
      <c r="AN8" s="11">
        <v>15</v>
      </c>
      <c r="AO8" s="11"/>
      <c r="AP8" s="11">
        <v>127</v>
      </c>
      <c r="AQ8" s="11">
        <v>88</v>
      </c>
      <c r="AR8" s="11"/>
      <c r="AS8" s="11" t="s">
        <v>87</v>
      </c>
      <c r="AT8" s="11">
        <v>215</v>
      </c>
      <c r="AU8" s="11" t="s">
        <v>87</v>
      </c>
      <c r="AV8" s="11"/>
      <c r="AW8" s="11">
        <v>166</v>
      </c>
      <c r="AX8" s="11">
        <v>36</v>
      </c>
      <c r="AY8" s="11"/>
      <c r="AZ8" s="11">
        <v>168</v>
      </c>
      <c r="BA8" s="11">
        <v>47</v>
      </c>
    </row>
    <row r="9" spans="2:53" x14ac:dyDescent="0.35">
      <c r="B9" s="15" t="s">
        <v>226</v>
      </c>
      <c r="C9" s="14">
        <v>0.23499614563650201</v>
      </c>
      <c r="D9" s="14">
        <v>0.216457492610587</v>
      </c>
      <c r="E9" s="14">
        <v>0.25066403883791999</v>
      </c>
      <c r="F9" s="14"/>
      <c r="G9" s="14" t="s">
        <v>88</v>
      </c>
      <c r="H9" s="14">
        <v>0.177623275170568</v>
      </c>
      <c r="I9" s="14">
        <v>0.31440814503001502</v>
      </c>
      <c r="J9" s="14">
        <v>5.7706272086933297E-2</v>
      </c>
      <c r="K9" s="14">
        <v>0.311903813667882</v>
      </c>
      <c r="L9" s="14" t="s">
        <v>88</v>
      </c>
      <c r="M9" s="14"/>
      <c r="N9" s="14">
        <v>0.226425698709462</v>
      </c>
      <c r="O9" s="14">
        <v>0.20290910999585501</v>
      </c>
      <c r="P9" s="14">
        <v>0.14194547155870299</v>
      </c>
      <c r="Q9" s="14">
        <v>0.33127501983951102</v>
      </c>
      <c r="R9" s="14"/>
      <c r="S9" s="14">
        <v>0.29313548356519498</v>
      </c>
      <c r="T9" s="14">
        <v>0.365398760426417</v>
      </c>
      <c r="U9" s="14">
        <v>5.8103689964229002E-2</v>
      </c>
      <c r="V9" s="14">
        <v>0.33520164046010897</v>
      </c>
      <c r="W9" s="14">
        <v>0.36126860133245298</v>
      </c>
      <c r="X9" s="14">
        <v>0.11584775680979</v>
      </c>
      <c r="Y9" s="14">
        <v>6.0735281237417199E-2</v>
      </c>
      <c r="Z9" s="14">
        <v>0.45401074066892499</v>
      </c>
      <c r="AA9" s="14">
        <v>0.21541135860753</v>
      </c>
      <c r="AB9" s="14"/>
      <c r="AC9" s="14">
        <v>0.31135751885637603</v>
      </c>
      <c r="AD9" s="14">
        <v>0.15600463664519901</v>
      </c>
      <c r="AE9" s="14">
        <v>0.24689038236648</v>
      </c>
      <c r="AF9" s="14">
        <v>0.20499519804505401</v>
      </c>
      <c r="AG9" s="14">
        <v>0.3122407490711</v>
      </c>
      <c r="AH9" s="14"/>
      <c r="AI9" s="14">
        <v>0.202270204660425</v>
      </c>
      <c r="AJ9" s="14">
        <v>0.27684198342767402</v>
      </c>
      <c r="AK9" s="14">
        <v>0.371549774075702</v>
      </c>
      <c r="AL9" s="14">
        <v>0.110107076252484</v>
      </c>
      <c r="AM9" s="14">
        <v>0.214411147065973</v>
      </c>
      <c r="AN9" s="14">
        <v>0.30171730079591103</v>
      </c>
      <c r="AO9" s="14"/>
      <c r="AP9" s="14">
        <v>0.22513833733455599</v>
      </c>
      <c r="AQ9" s="14">
        <v>0.249297027359624</v>
      </c>
      <c r="AR9" s="14"/>
      <c r="AS9" s="14" t="s">
        <v>88</v>
      </c>
      <c r="AT9" s="14">
        <v>0.23499614563650201</v>
      </c>
      <c r="AU9" s="14" t="s">
        <v>88</v>
      </c>
      <c r="AV9" s="14"/>
      <c r="AW9" s="14">
        <v>0.217914139658165</v>
      </c>
      <c r="AX9" s="14">
        <v>0.25222866114409997</v>
      </c>
      <c r="AY9" s="14"/>
      <c r="AZ9" s="14">
        <v>0.24565837852945499</v>
      </c>
      <c r="BA9" s="14">
        <v>0.19659423928276601</v>
      </c>
    </row>
    <row r="10" spans="2:53" x14ac:dyDescent="0.35">
      <c r="B10" s="15" t="s">
        <v>227</v>
      </c>
      <c r="C10" s="14">
        <v>0.41282674234572098</v>
      </c>
      <c r="D10" s="14">
        <v>0.49340004460798098</v>
      </c>
      <c r="E10" s="14">
        <v>0.34473043065759801</v>
      </c>
      <c r="F10" s="14"/>
      <c r="G10" s="14" t="s">
        <v>88</v>
      </c>
      <c r="H10" s="14">
        <v>0.38521059772374699</v>
      </c>
      <c r="I10" s="14">
        <v>0.374260213988443</v>
      </c>
      <c r="J10" s="14">
        <v>0.51123311363093105</v>
      </c>
      <c r="K10" s="14">
        <v>0.600511538961777</v>
      </c>
      <c r="L10" s="14" t="s">
        <v>88</v>
      </c>
      <c r="M10" s="14"/>
      <c r="N10" s="14">
        <v>0.398077989427434</v>
      </c>
      <c r="O10" s="14">
        <v>0.35722903049330801</v>
      </c>
      <c r="P10" s="14">
        <v>0.472475038270534</v>
      </c>
      <c r="Q10" s="14">
        <v>0.44855824089711799</v>
      </c>
      <c r="R10" s="14"/>
      <c r="S10" s="14">
        <v>0.422688379319406</v>
      </c>
      <c r="T10" s="14">
        <v>0.16938697426263699</v>
      </c>
      <c r="U10" s="14">
        <v>0.71174289512047495</v>
      </c>
      <c r="V10" s="14">
        <v>0.20291951375699699</v>
      </c>
      <c r="W10" s="14">
        <v>0.41798058384452902</v>
      </c>
      <c r="X10" s="14">
        <v>0.56064931521236705</v>
      </c>
      <c r="Y10" s="14">
        <v>0.44422690050546698</v>
      </c>
      <c r="Z10" s="14">
        <v>0.35264359914621801</v>
      </c>
      <c r="AA10" s="14">
        <v>0.40287219198985302</v>
      </c>
      <c r="AB10" s="14"/>
      <c r="AC10" s="14">
        <v>0.31300049511213801</v>
      </c>
      <c r="AD10" s="14">
        <v>0.359158165067746</v>
      </c>
      <c r="AE10" s="14">
        <v>0.47124511525031298</v>
      </c>
      <c r="AF10" s="14">
        <v>0.54618510231792405</v>
      </c>
      <c r="AG10" s="14">
        <v>9.6649271762117905E-2</v>
      </c>
      <c r="AH10" s="14"/>
      <c r="AI10" s="14">
        <v>0.45756720488855801</v>
      </c>
      <c r="AJ10" s="14">
        <v>0.55987215968809201</v>
      </c>
      <c r="AK10" s="14">
        <v>0.29075442542357199</v>
      </c>
      <c r="AL10" s="14">
        <v>0.25301313446870699</v>
      </c>
      <c r="AM10" s="14">
        <v>0.45217304339326397</v>
      </c>
      <c r="AN10" s="14">
        <v>4.3012693447232998E-2</v>
      </c>
      <c r="AO10" s="14"/>
      <c r="AP10" s="14">
        <v>0.42739727965695701</v>
      </c>
      <c r="AQ10" s="14">
        <v>0.39168902853065302</v>
      </c>
      <c r="AR10" s="14"/>
      <c r="AS10" s="14" t="s">
        <v>88</v>
      </c>
      <c r="AT10" s="14">
        <v>0.41282674234572098</v>
      </c>
      <c r="AU10" s="14" t="s">
        <v>88</v>
      </c>
      <c r="AV10" s="14"/>
      <c r="AW10" s="14">
        <v>0.38993933646658502</v>
      </c>
      <c r="AX10" s="14">
        <v>0.48906133800075302</v>
      </c>
      <c r="AY10" s="14"/>
      <c r="AZ10" s="14">
        <v>0.41614922068812099</v>
      </c>
      <c r="BA10" s="14">
        <v>0.40086025245114398</v>
      </c>
    </row>
    <row r="11" spans="2:53" x14ac:dyDescent="0.35">
      <c r="B11" s="15" t="s">
        <v>228</v>
      </c>
      <c r="C11" s="14">
        <v>0.23603012887276301</v>
      </c>
      <c r="D11" s="14">
        <v>0.23771883768643301</v>
      </c>
      <c r="E11" s="14">
        <v>0.23460292111910999</v>
      </c>
      <c r="F11" s="14"/>
      <c r="G11" s="14" t="s">
        <v>88</v>
      </c>
      <c r="H11" s="14">
        <v>0.28232243875755503</v>
      </c>
      <c r="I11" s="14">
        <v>0.20057414123312201</v>
      </c>
      <c r="J11" s="14">
        <v>0.31822084033217901</v>
      </c>
      <c r="K11" s="14">
        <v>8.7584647370340302E-2</v>
      </c>
      <c r="L11" s="14" t="s">
        <v>88</v>
      </c>
      <c r="M11" s="14"/>
      <c r="N11" s="14">
        <v>0.27775949088318003</v>
      </c>
      <c r="O11" s="14">
        <v>0.29942446356671798</v>
      </c>
      <c r="P11" s="14">
        <v>0.34329989236570702</v>
      </c>
      <c r="Q11" s="14">
        <v>6.8772282643432894E-2</v>
      </c>
      <c r="R11" s="14"/>
      <c r="S11" s="14">
        <v>0.214351380114156</v>
      </c>
      <c r="T11" s="14">
        <v>0.34947456164622698</v>
      </c>
      <c r="U11" s="14">
        <v>0.115930457590517</v>
      </c>
      <c r="V11" s="14">
        <v>0.21037201426750701</v>
      </c>
      <c r="W11" s="14">
        <v>0.22075081482301701</v>
      </c>
      <c r="X11" s="14">
        <v>0.29396593112581199</v>
      </c>
      <c r="Y11" s="14">
        <v>0.24742066307181701</v>
      </c>
      <c r="Z11" s="14">
        <v>0.10637113513662499</v>
      </c>
      <c r="AA11" s="14">
        <v>0.201041001990658</v>
      </c>
      <c r="AB11" s="14"/>
      <c r="AC11" s="14">
        <v>0.21654936080978801</v>
      </c>
      <c r="AD11" s="14">
        <v>0.355863696485264</v>
      </c>
      <c r="AE11" s="14">
        <v>0.155127018067102</v>
      </c>
      <c r="AF11" s="14">
        <v>0.17767786460305099</v>
      </c>
      <c r="AG11" s="14">
        <v>0.23197914262908501</v>
      </c>
      <c r="AH11" s="14"/>
      <c r="AI11" s="14">
        <v>0.22298206031415099</v>
      </c>
      <c r="AJ11" s="14">
        <v>0.105848170945993</v>
      </c>
      <c r="AK11" s="14">
        <v>0.25147639004835198</v>
      </c>
      <c r="AL11" s="14">
        <v>0.43879046256600601</v>
      </c>
      <c r="AM11" s="14">
        <v>0.29030735632464999</v>
      </c>
      <c r="AN11" s="14">
        <v>0.52862517275371601</v>
      </c>
      <c r="AO11" s="14"/>
      <c r="AP11" s="14">
        <v>0.24660829891836999</v>
      </c>
      <c r="AQ11" s="14">
        <v>0.22068420673310801</v>
      </c>
      <c r="AR11" s="14"/>
      <c r="AS11" s="14" t="s">
        <v>88</v>
      </c>
      <c r="AT11" s="14">
        <v>0.23603012887276301</v>
      </c>
      <c r="AU11" s="14" t="s">
        <v>88</v>
      </c>
      <c r="AV11" s="14"/>
      <c r="AW11" s="14">
        <v>0.254118286960827</v>
      </c>
      <c r="AX11" s="14">
        <v>0.231999028646871</v>
      </c>
      <c r="AY11" s="14"/>
      <c r="AZ11" s="14">
        <v>0.24783228948720801</v>
      </c>
      <c r="BA11" s="14">
        <v>0.193522572412689</v>
      </c>
    </row>
    <row r="12" spans="2:53" x14ac:dyDescent="0.35">
      <c r="B12" s="15" t="s">
        <v>229</v>
      </c>
      <c r="C12" s="14">
        <v>3.9972895128328002E-2</v>
      </c>
      <c r="D12" s="14">
        <v>2.53822429798722E-2</v>
      </c>
      <c r="E12" s="14">
        <v>5.23041459091418E-2</v>
      </c>
      <c r="F12" s="14"/>
      <c r="G12" s="14" t="s">
        <v>88</v>
      </c>
      <c r="H12" s="14">
        <v>7.3059863007042397E-2</v>
      </c>
      <c r="I12" s="14">
        <v>4.3051494335296599E-2</v>
      </c>
      <c r="J12" s="14">
        <v>0</v>
      </c>
      <c r="K12" s="14">
        <v>0</v>
      </c>
      <c r="L12" s="14" t="s">
        <v>88</v>
      </c>
      <c r="M12" s="14"/>
      <c r="N12" s="14">
        <v>2.9656270770486499E-2</v>
      </c>
      <c r="O12" s="14">
        <v>3.6465725467203697E-2</v>
      </c>
      <c r="P12" s="14">
        <v>4.2279597805056399E-2</v>
      </c>
      <c r="Q12" s="14">
        <v>5.1589403680106102E-2</v>
      </c>
      <c r="R12" s="14"/>
      <c r="S12" s="14">
        <v>4.1414168100972502E-2</v>
      </c>
      <c r="T12" s="14">
        <v>5.3862924815658499E-2</v>
      </c>
      <c r="U12" s="14">
        <v>6.69408104008654E-2</v>
      </c>
      <c r="V12" s="14">
        <v>0</v>
      </c>
      <c r="W12" s="14">
        <v>0</v>
      </c>
      <c r="X12" s="14">
        <v>2.9536996852031702E-2</v>
      </c>
      <c r="Y12" s="14">
        <v>7.9416516318027403E-2</v>
      </c>
      <c r="Z12" s="14">
        <v>0</v>
      </c>
      <c r="AA12" s="14">
        <v>3.7260213893796301E-2</v>
      </c>
      <c r="AB12" s="14"/>
      <c r="AC12" s="14">
        <v>3.4015221210393097E-2</v>
      </c>
      <c r="AD12" s="14">
        <v>4.9325032051858397E-2</v>
      </c>
      <c r="AE12" s="14">
        <v>5.7022801677399801E-2</v>
      </c>
      <c r="AF12" s="14">
        <v>1.2430215637295201E-2</v>
      </c>
      <c r="AG12" s="14">
        <v>0</v>
      </c>
      <c r="AH12" s="14"/>
      <c r="AI12" s="14">
        <v>1.7935770005481601E-2</v>
      </c>
      <c r="AJ12" s="14">
        <v>2.6569025074224598E-2</v>
      </c>
      <c r="AK12" s="14">
        <v>0</v>
      </c>
      <c r="AL12" s="14">
        <v>4.5317522632981097E-2</v>
      </c>
      <c r="AM12" s="14">
        <v>0</v>
      </c>
      <c r="AN12" s="14">
        <v>0.12664483300314</v>
      </c>
      <c r="AO12" s="14"/>
      <c r="AP12" s="14">
        <v>3.8959015711428603E-2</v>
      </c>
      <c r="AQ12" s="14">
        <v>4.1443746374210402E-2</v>
      </c>
      <c r="AR12" s="14"/>
      <c r="AS12" s="14" t="s">
        <v>88</v>
      </c>
      <c r="AT12" s="14">
        <v>3.9972895128328002E-2</v>
      </c>
      <c r="AU12" s="14" t="s">
        <v>88</v>
      </c>
      <c r="AV12" s="14"/>
      <c r="AW12" s="14">
        <v>5.16315226089634E-2</v>
      </c>
      <c r="AX12" s="14">
        <v>0</v>
      </c>
      <c r="AY12" s="14"/>
      <c r="AZ12" s="14">
        <v>2.9698036902083301E-2</v>
      </c>
      <c r="BA12" s="14">
        <v>7.69796035132993E-2</v>
      </c>
    </row>
    <row r="13" spans="2:53" x14ac:dyDescent="0.35">
      <c r="B13" s="15" t="s">
        <v>116</v>
      </c>
      <c r="C13" s="23">
        <v>5.2715883081898902E-2</v>
      </c>
      <c r="D13" s="23">
        <v>1.35869528334374E-2</v>
      </c>
      <c r="E13" s="23">
        <v>8.5785594207169802E-2</v>
      </c>
      <c r="F13" s="23"/>
      <c r="G13" s="23" t="s">
        <v>88</v>
      </c>
      <c r="H13" s="23">
        <v>6.2206190397561797E-2</v>
      </c>
      <c r="I13" s="23">
        <v>3.2403571386018598E-2</v>
      </c>
      <c r="J13" s="23">
        <v>0.11283977394995801</v>
      </c>
      <c r="K13" s="23">
        <v>0</v>
      </c>
      <c r="L13" s="23" t="s">
        <v>88</v>
      </c>
      <c r="M13" s="23"/>
      <c r="N13" s="23">
        <v>1.11140830906653E-2</v>
      </c>
      <c r="O13" s="23">
        <v>8.9962354917220405E-2</v>
      </c>
      <c r="P13" s="23">
        <v>0</v>
      </c>
      <c r="Q13" s="23">
        <v>8.2959575623288803E-2</v>
      </c>
      <c r="R13" s="23"/>
      <c r="S13" s="23">
        <v>0</v>
      </c>
      <c r="T13" s="23">
        <v>3.7647102551855202E-2</v>
      </c>
      <c r="U13" s="23">
        <v>4.7282146923914199E-2</v>
      </c>
      <c r="V13" s="23">
        <v>0.251506831515386</v>
      </c>
      <c r="W13" s="23">
        <v>0</v>
      </c>
      <c r="X13" s="23">
        <v>0</v>
      </c>
      <c r="Y13" s="23">
        <v>8.8784122549244004E-2</v>
      </c>
      <c r="Z13" s="23">
        <v>8.6974525048232304E-2</v>
      </c>
      <c r="AA13" s="23">
        <v>9.0627085785515898E-2</v>
      </c>
      <c r="AB13" s="23"/>
      <c r="AC13" s="23">
        <v>9.4182217263671902E-2</v>
      </c>
      <c r="AD13" s="23">
        <v>5.9827777524144102E-2</v>
      </c>
      <c r="AE13" s="23">
        <v>4.4442430704656401E-2</v>
      </c>
      <c r="AF13" s="23">
        <v>2.4313600157227999E-2</v>
      </c>
      <c r="AG13" s="23">
        <v>0.35913083653769701</v>
      </c>
      <c r="AH13" s="23"/>
      <c r="AI13" s="23">
        <v>6.2236550686819103E-2</v>
      </c>
      <c r="AJ13" s="23">
        <v>3.08686608640159E-2</v>
      </c>
      <c r="AK13" s="23">
        <v>6.6249336074649404E-2</v>
      </c>
      <c r="AL13" s="23">
        <v>0.15277180407982199</v>
      </c>
      <c r="AM13" s="23">
        <v>0</v>
      </c>
      <c r="AN13" s="23">
        <v>0</v>
      </c>
      <c r="AO13" s="23"/>
      <c r="AP13" s="23">
        <v>3.9730627471655899E-2</v>
      </c>
      <c r="AQ13" s="23">
        <v>7.1553803128482293E-2</v>
      </c>
      <c r="AR13" s="23"/>
      <c r="AS13" s="23" t="s">
        <v>88</v>
      </c>
      <c r="AT13" s="23">
        <v>5.2715883081898902E-2</v>
      </c>
      <c r="AU13" s="23" t="s">
        <v>88</v>
      </c>
      <c r="AV13" s="23"/>
      <c r="AW13" s="23">
        <v>6.1940026400089401E-2</v>
      </c>
      <c r="AX13" s="23">
        <v>0</v>
      </c>
      <c r="AY13" s="23"/>
      <c r="AZ13" s="23">
        <v>4.0409965489852297E-2</v>
      </c>
      <c r="BA13" s="23">
        <v>9.7037808865277395E-2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B2:BA17"/>
  <sheetViews>
    <sheetView showGridLines="0" workbookViewId="0">
      <pane xSplit="2" topLeftCell="C1" activePane="topRight" state="frozen"/>
      <selection pane="topRight" activeCell="C9" sqref="C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323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219</v>
      </c>
      <c r="D7" s="10">
        <v>82</v>
      </c>
      <c r="E7" s="10">
        <v>137</v>
      </c>
      <c r="F7" s="10"/>
      <c r="G7" s="10" t="s">
        <v>87</v>
      </c>
      <c r="H7" s="10">
        <v>52</v>
      </c>
      <c r="I7" s="10">
        <v>119</v>
      </c>
      <c r="J7" s="10">
        <v>41</v>
      </c>
      <c r="K7" s="10">
        <v>7</v>
      </c>
      <c r="L7" s="10" t="s">
        <v>87</v>
      </c>
      <c r="M7" s="10"/>
      <c r="N7" s="10">
        <v>90</v>
      </c>
      <c r="O7" s="10">
        <v>61</v>
      </c>
      <c r="P7" s="10">
        <v>25</v>
      </c>
      <c r="Q7" s="10">
        <v>43</v>
      </c>
      <c r="R7" s="10"/>
      <c r="S7" s="10">
        <v>45</v>
      </c>
      <c r="T7" s="10">
        <v>35</v>
      </c>
      <c r="U7" s="10">
        <v>18</v>
      </c>
      <c r="V7" s="10">
        <v>12</v>
      </c>
      <c r="W7" s="10">
        <v>16</v>
      </c>
      <c r="X7" s="10">
        <v>32</v>
      </c>
      <c r="Y7" s="10">
        <v>21</v>
      </c>
      <c r="Z7" s="10">
        <v>8</v>
      </c>
      <c r="AA7" s="10">
        <v>32</v>
      </c>
      <c r="AB7" s="10"/>
      <c r="AC7" s="10">
        <v>22</v>
      </c>
      <c r="AD7" s="10">
        <v>46</v>
      </c>
      <c r="AE7" s="10">
        <v>66</v>
      </c>
      <c r="AF7" s="10">
        <v>56</v>
      </c>
      <c r="AG7" s="10">
        <v>6</v>
      </c>
      <c r="AH7" s="10"/>
      <c r="AI7" s="10">
        <v>82</v>
      </c>
      <c r="AJ7" s="10">
        <v>45</v>
      </c>
      <c r="AK7" s="10">
        <v>19</v>
      </c>
      <c r="AL7" s="10">
        <v>25</v>
      </c>
      <c r="AM7" s="10">
        <v>14</v>
      </c>
      <c r="AN7" s="10">
        <v>15</v>
      </c>
      <c r="AO7" s="10"/>
      <c r="AP7" s="10">
        <v>124</v>
      </c>
      <c r="AQ7" s="10">
        <v>95</v>
      </c>
      <c r="AR7" s="10"/>
      <c r="AS7" s="10" t="s">
        <v>87</v>
      </c>
      <c r="AT7" s="10">
        <v>219</v>
      </c>
      <c r="AU7" s="10" t="s">
        <v>87</v>
      </c>
      <c r="AV7" s="10"/>
      <c r="AW7" s="10">
        <v>164</v>
      </c>
      <c r="AX7" s="10">
        <v>45</v>
      </c>
      <c r="AY7" s="10"/>
      <c r="AZ7" s="10">
        <v>171</v>
      </c>
      <c r="BA7" s="10">
        <v>48</v>
      </c>
    </row>
    <row r="8" spans="2:53" ht="30" customHeight="1" x14ac:dyDescent="0.35">
      <c r="B8" s="11" t="s">
        <v>19</v>
      </c>
      <c r="C8" s="11">
        <v>215</v>
      </c>
      <c r="D8" s="11">
        <v>98</v>
      </c>
      <c r="E8" s="11">
        <v>116</v>
      </c>
      <c r="F8" s="11"/>
      <c r="G8" s="11" t="s">
        <v>87</v>
      </c>
      <c r="H8" s="11">
        <v>50</v>
      </c>
      <c r="I8" s="11">
        <v>115</v>
      </c>
      <c r="J8" s="11">
        <v>40</v>
      </c>
      <c r="K8" s="11">
        <v>10</v>
      </c>
      <c r="L8" s="11" t="s">
        <v>87</v>
      </c>
      <c r="M8" s="11"/>
      <c r="N8" s="11">
        <v>55</v>
      </c>
      <c r="O8" s="11">
        <v>63</v>
      </c>
      <c r="P8" s="11">
        <v>36</v>
      </c>
      <c r="Q8" s="11">
        <v>61</v>
      </c>
      <c r="R8" s="11"/>
      <c r="S8" s="11">
        <v>34</v>
      </c>
      <c r="T8" s="11">
        <v>36</v>
      </c>
      <c r="U8" s="11">
        <v>23</v>
      </c>
      <c r="V8" s="11">
        <v>14</v>
      </c>
      <c r="W8" s="11">
        <v>15</v>
      </c>
      <c r="X8" s="11">
        <v>33</v>
      </c>
      <c r="Y8" s="11">
        <v>20</v>
      </c>
      <c r="Z8" s="11">
        <v>9</v>
      </c>
      <c r="AA8" s="11">
        <v>30</v>
      </c>
      <c r="AB8" s="11"/>
      <c r="AC8" s="11">
        <v>29</v>
      </c>
      <c r="AD8" s="11">
        <v>52</v>
      </c>
      <c r="AE8" s="11">
        <v>64</v>
      </c>
      <c r="AF8" s="11">
        <v>44</v>
      </c>
      <c r="AG8" s="11">
        <v>3</v>
      </c>
      <c r="AH8" s="11"/>
      <c r="AI8" s="11">
        <v>85</v>
      </c>
      <c r="AJ8" s="11">
        <v>43</v>
      </c>
      <c r="AK8" s="11">
        <v>16</v>
      </c>
      <c r="AL8" s="11">
        <v>24</v>
      </c>
      <c r="AM8" s="11">
        <v>13</v>
      </c>
      <c r="AN8" s="11">
        <v>15</v>
      </c>
      <c r="AO8" s="11"/>
      <c r="AP8" s="11">
        <v>127</v>
      </c>
      <c r="AQ8" s="11">
        <v>88</v>
      </c>
      <c r="AR8" s="11"/>
      <c r="AS8" s="11" t="s">
        <v>87</v>
      </c>
      <c r="AT8" s="11">
        <v>215</v>
      </c>
      <c r="AU8" s="11" t="s">
        <v>87</v>
      </c>
      <c r="AV8" s="11"/>
      <c r="AW8" s="11">
        <v>166</v>
      </c>
      <c r="AX8" s="11">
        <v>36</v>
      </c>
      <c r="AY8" s="11"/>
      <c r="AZ8" s="11">
        <v>168</v>
      </c>
      <c r="BA8" s="11">
        <v>47</v>
      </c>
    </row>
    <row r="9" spans="2:53" ht="29" x14ac:dyDescent="0.35">
      <c r="B9" s="15" t="s">
        <v>231</v>
      </c>
      <c r="C9" s="14">
        <v>0.13144773672473001</v>
      </c>
      <c r="D9" s="14">
        <v>0.12908891216846999</v>
      </c>
      <c r="E9" s="14">
        <v>0.133441291012449</v>
      </c>
      <c r="F9" s="14"/>
      <c r="G9" s="14" t="s">
        <v>88</v>
      </c>
      <c r="H9" s="14">
        <v>0.17293459040624201</v>
      </c>
      <c r="I9" s="14">
        <v>0.133404406444183</v>
      </c>
      <c r="J9" s="14">
        <v>5.52637786426739E-2</v>
      </c>
      <c r="K9" s="14">
        <v>0.20656703463974199</v>
      </c>
      <c r="L9" s="14" t="s">
        <v>88</v>
      </c>
      <c r="M9" s="14"/>
      <c r="N9" s="14">
        <v>0.11541146310427899</v>
      </c>
      <c r="O9" s="14">
        <v>0.11920165583459701</v>
      </c>
      <c r="P9" s="14">
        <v>0.174504764335491</v>
      </c>
      <c r="Q9" s="14">
        <v>0.13315245944722401</v>
      </c>
      <c r="R9" s="14"/>
      <c r="S9" s="14">
        <v>0.13770058857165199</v>
      </c>
      <c r="T9" s="14">
        <v>0.147845492063154</v>
      </c>
      <c r="U9" s="14">
        <v>0.19965264699430901</v>
      </c>
      <c r="V9" s="14">
        <v>0</v>
      </c>
      <c r="W9" s="14">
        <v>5.8745779081448499E-2</v>
      </c>
      <c r="X9" s="14">
        <v>0.124312423868151</v>
      </c>
      <c r="Y9" s="14">
        <v>6.0735281237417199E-2</v>
      </c>
      <c r="Z9" s="14">
        <v>0.25612196867887299</v>
      </c>
      <c r="AA9" s="14">
        <v>0.16938071723619699</v>
      </c>
      <c r="AB9" s="14"/>
      <c r="AC9" s="14">
        <v>0.19711406298641099</v>
      </c>
      <c r="AD9" s="14">
        <v>0.19067264028070399</v>
      </c>
      <c r="AE9" s="14">
        <v>8.0946150691247803E-2</v>
      </c>
      <c r="AF9" s="14">
        <v>0.139086019101924</v>
      </c>
      <c r="AG9" s="14">
        <v>0</v>
      </c>
      <c r="AH9" s="14"/>
      <c r="AI9" s="14">
        <v>0.15859379048585201</v>
      </c>
      <c r="AJ9" s="14">
        <v>0.17485894496628299</v>
      </c>
      <c r="AK9" s="14">
        <v>0.155492307007256</v>
      </c>
      <c r="AL9" s="14">
        <v>0.118239796782398</v>
      </c>
      <c r="AM9" s="14">
        <v>6.9568230178971902E-2</v>
      </c>
      <c r="AN9" s="14">
        <v>0</v>
      </c>
      <c r="AO9" s="14"/>
      <c r="AP9" s="14">
        <v>0.14041387265000699</v>
      </c>
      <c r="AQ9" s="14">
        <v>0.118440418520386</v>
      </c>
      <c r="AR9" s="14"/>
      <c r="AS9" s="14" t="s">
        <v>88</v>
      </c>
      <c r="AT9" s="14">
        <v>0.13144773672473001</v>
      </c>
      <c r="AU9" s="14" t="s">
        <v>88</v>
      </c>
      <c r="AV9" s="14"/>
      <c r="AW9" s="14">
        <v>0.12290909370415801</v>
      </c>
      <c r="AX9" s="14">
        <v>0.169760116560942</v>
      </c>
      <c r="AY9" s="14"/>
      <c r="AZ9" s="14">
        <v>0.11487103816576399</v>
      </c>
      <c r="BA9" s="14">
        <v>0.19115163103154401</v>
      </c>
    </row>
    <row r="10" spans="2:53" ht="29" x14ac:dyDescent="0.35">
      <c r="B10" s="15" t="s">
        <v>232</v>
      </c>
      <c r="C10" s="14">
        <v>0.69445111475063104</v>
      </c>
      <c r="D10" s="14">
        <v>0.71517744793584304</v>
      </c>
      <c r="E10" s="14">
        <v>0.67693430949250499</v>
      </c>
      <c r="F10" s="14"/>
      <c r="G10" s="14" t="s">
        <v>88</v>
      </c>
      <c r="H10" s="14">
        <v>0.60995810672424899</v>
      </c>
      <c r="I10" s="14">
        <v>0.69622791826322294</v>
      </c>
      <c r="J10" s="14">
        <v>0.80644087867862002</v>
      </c>
      <c r="K10" s="14">
        <v>0.64675617236238303</v>
      </c>
      <c r="L10" s="14" t="s">
        <v>88</v>
      </c>
      <c r="M10" s="14"/>
      <c r="N10" s="14">
        <v>0.79016874121378999</v>
      </c>
      <c r="O10" s="14">
        <v>0.65643390956904701</v>
      </c>
      <c r="P10" s="14">
        <v>0.59280260489163095</v>
      </c>
      <c r="Q10" s="14">
        <v>0.70755940572204801</v>
      </c>
      <c r="R10" s="14"/>
      <c r="S10" s="14">
        <v>0.70543097125341403</v>
      </c>
      <c r="T10" s="14">
        <v>0.80937971780926898</v>
      </c>
      <c r="U10" s="14">
        <v>0.62844584449048801</v>
      </c>
      <c r="V10" s="14">
        <v>0.35892141974826403</v>
      </c>
      <c r="W10" s="14">
        <v>0.85953686994957801</v>
      </c>
      <c r="X10" s="14">
        <v>0.63141577402288196</v>
      </c>
      <c r="Y10" s="14">
        <v>0.76198076765088196</v>
      </c>
      <c r="Z10" s="14">
        <v>0.53376725643131795</v>
      </c>
      <c r="AA10" s="14">
        <v>0.73951899778585395</v>
      </c>
      <c r="AB10" s="14"/>
      <c r="AC10" s="14">
        <v>0.62151148600169004</v>
      </c>
      <c r="AD10" s="14">
        <v>0.66536866388668203</v>
      </c>
      <c r="AE10" s="14">
        <v>0.65237142448750796</v>
      </c>
      <c r="AF10" s="14">
        <v>0.740690766533877</v>
      </c>
      <c r="AG10" s="14">
        <v>1</v>
      </c>
      <c r="AH10" s="14"/>
      <c r="AI10" s="14">
        <v>0.67659027625728296</v>
      </c>
      <c r="AJ10" s="14">
        <v>0.67733668180881601</v>
      </c>
      <c r="AK10" s="14">
        <v>0.66428044500431505</v>
      </c>
      <c r="AL10" s="14">
        <v>0.72412796520050804</v>
      </c>
      <c r="AM10" s="14">
        <v>0.76841452216791195</v>
      </c>
      <c r="AN10" s="14">
        <v>0.80707943666439597</v>
      </c>
      <c r="AO10" s="14"/>
      <c r="AP10" s="14">
        <v>0.679358160223545</v>
      </c>
      <c r="AQ10" s="14">
        <v>0.71634670765861197</v>
      </c>
      <c r="AR10" s="14"/>
      <c r="AS10" s="14" t="s">
        <v>88</v>
      </c>
      <c r="AT10" s="14">
        <v>0.69445111475063104</v>
      </c>
      <c r="AU10" s="14" t="s">
        <v>88</v>
      </c>
      <c r="AV10" s="14"/>
      <c r="AW10" s="14">
        <v>0.69920097296494299</v>
      </c>
      <c r="AX10" s="14">
        <v>0.64923095771720296</v>
      </c>
      <c r="AY10" s="14"/>
      <c r="AZ10" s="14">
        <v>0.73534896691952301</v>
      </c>
      <c r="BA10" s="14">
        <v>0.54715030967285505</v>
      </c>
    </row>
    <row r="11" spans="2:53" ht="29" x14ac:dyDescent="0.35">
      <c r="B11" s="15" t="s">
        <v>233</v>
      </c>
      <c r="C11" s="14">
        <v>9.7449064482619696E-2</v>
      </c>
      <c r="D11" s="14">
        <v>0.110870060639504</v>
      </c>
      <c r="E11" s="14">
        <v>8.6106345346080596E-2</v>
      </c>
      <c r="F11" s="14"/>
      <c r="G11" s="14" t="s">
        <v>88</v>
      </c>
      <c r="H11" s="14">
        <v>0.14846254968022099</v>
      </c>
      <c r="I11" s="14">
        <v>9.33231654504314E-2</v>
      </c>
      <c r="J11" s="14">
        <v>3.3500656673666203E-2</v>
      </c>
      <c r="K11" s="14">
        <v>0.14667679299787501</v>
      </c>
      <c r="L11" s="14" t="s">
        <v>88</v>
      </c>
      <c r="M11" s="14"/>
      <c r="N11" s="14">
        <v>6.93507631370818E-2</v>
      </c>
      <c r="O11" s="14">
        <v>0.12687861427153199</v>
      </c>
      <c r="P11" s="14">
        <v>0.119627163446446</v>
      </c>
      <c r="Q11" s="14">
        <v>7.9166984616742098E-2</v>
      </c>
      <c r="R11" s="14"/>
      <c r="S11" s="14">
        <v>9.82353483605415E-2</v>
      </c>
      <c r="T11" s="14">
        <v>4.2774790127576602E-2</v>
      </c>
      <c r="U11" s="14">
        <v>7.7337214667374393E-2</v>
      </c>
      <c r="V11" s="14">
        <v>0.28080099943506298</v>
      </c>
      <c r="W11" s="14">
        <v>8.1717350968973701E-2</v>
      </c>
      <c r="X11" s="14">
        <v>0.13937084999573601</v>
      </c>
      <c r="Y11" s="14">
        <v>0.14015183983907101</v>
      </c>
      <c r="Z11" s="14">
        <v>0</v>
      </c>
      <c r="AA11" s="14">
        <v>5.3840071084152501E-2</v>
      </c>
      <c r="AB11" s="14"/>
      <c r="AC11" s="14">
        <v>9.7201553069067095E-2</v>
      </c>
      <c r="AD11" s="14">
        <v>3.24583585646828E-2</v>
      </c>
      <c r="AE11" s="14">
        <v>0.178371751161188</v>
      </c>
      <c r="AF11" s="14">
        <v>8.4086901471380399E-2</v>
      </c>
      <c r="AG11" s="14">
        <v>0</v>
      </c>
      <c r="AH11" s="14"/>
      <c r="AI11" s="14">
        <v>0.110076381506845</v>
      </c>
      <c r="AJ11" s="14">
        <v>5.0075188829492398E-2</v>
      </c>
      <c r="AK11" s="14">
        <v>0.11397791191378</v>
      </c>
      <c r="AL11" s="14">
        <v>6.2433380112830901E-2</v>
      </c>
      <c r="AM11" s="14">
        <v>0</v>
      </c>
      <c r="AN11" s="14">
        <v>0.19292056333560401</v>
      </c>
      <c r="AO11" s="14"/>
      <c r="AP11" s="14">
        <v>0.119843193201874</v>
      </c>
      <c r="AQ11" s="14">
        <v>6.4961540248330396E-2</v>
      </c>
      <c r="AR11" s="14"/>
      <c r="AS11" s="14" t="s">
        <v>88</v>
      </c>
      <c r="AT11" s="14">
        <v>9.7449064482619696E-2</v>
      </c>
      <c r="AU11" s="14" t="s">
        <v>88</v>
      </c>
      <c r="AV11" s="14"/>
      <c r="AW11" s="14">
        <v>9.6084601262959202E-2</v>
      </c>
      <c r="AX11" s="14">
        <v>0.102370270837633</v>
      </c>
      <c r="AY11" s="14"/>
      <c r="AZ11" s="14">
        <v>0.102232948490838</v>
      </c>
      <c r="BA11" s="14">
        <v>8.0219065144287297E-2</v>
      </c>
    </row>
    <row r="12" spans="2:53" x14ac:dyDescent="0.35">
      <c r="B12" s="15" t="s">
        <v>116</v>
      </c>
      <c r="C12" s="23">
        <v>7.6652084042019702E-2</v>
      </c>
      <c r="D12" s="23">
        <v>4.4863579256183499E-2</v>
      </c>
      <c r="E12" s="23">
        <v>0.10351805414896501</v>
      </c>
      <c r="F12" s="23"/>
      <c r="G12" s="23" t="s">
        <v>88</v>
      </c>
      <c r="H12" s="23">
        <v>6.8644753189287894E-2</v>
      </c>
      <c r="I12" s="23">
        <v>7.7044509842162601E-2</v>
      </c>
      <c r="J12" s="23">
        <v>0.10479468600503999</v>
      </c>
      <c r="K12" s="23">
        <v>0</v>
      </c>
      <c r="L12" s="23" t="s">
        <v>88</v>
      </c>
      <c r="M12" s="23"/>
      <c r="N12" s="23">
        <v>2.50690325448488E-2</v>
      </c>
      <c r="O12" s="23">
        <v>9.7485820324824002E-2</v>
      </c>
      <c r="P12" s="23">
        <v>0.113065467326432</v>
      </c>
      <c r="Q12" s="23">
        <v>8.0121150213986497E-2</v>
      </c>
      <c r="R12" s="23"/>
      <c r="S12" s="23">
        <v>5.8633091814392899E-2</v>
      </c>
      <c r="T12" s="23">
        <v>0</v>
      </c>
      <c r="U12" s="23">
        <v>9.4564293847828496E-2</v>
      </c>
      <c r="V12" s="23">
        <v>0.36027758081667299</v>
      </c>
      <c r="W12" s="23">
        <v>0</v>
      </c>
      <c r="X12" s="23">
        <v>0.104900952113231</v>
      </c>
      <c r="Y12" s="23">
        <v>3.7132111272629803E-2</v>
      </c>
      <c r="Z12" s="23">
        <v>0.210110774889809</v>
      </c>
      <c r="AA12" s="23">
        <v>3.7260213893796301E-2</v>
      </c>
      <c r="AB12" s="23"/>
      <c r="AC12" s="23">
        <v>8.4172897942831698E-2</v>
      </c>
      <c r="AD12" s="23">
        <v>0.111500337267931</v>
      </c>
      <c r="AE12" s="23">
        <v>8.8310673660056099E-2</v>
      </c>
      <c r="AF12" s="23">
        <v>3.6136312892818101E-2</v>
      </c>
      <c r="AG12" s="23">
        <v>0</v>
      </c>
      <c r="AH12" s="23"/>
      <c r="AI12" s="23">
        <v>5.4739551750019898E-2</v>
      </c>
      <c r="AJ12" s="23">
        <v>9.7729184395409202E-2</v>
      </c>
      <c r="AK12" s="23">
        <v>6.6249336074649404E-2</v>
      </c>
      <c r="AL12" s="23">
        <v>9.5198857904262996E-2</v>
      </c>
      <c r="AM12" s="23">
        <v>0.16201724765311601</v>
      </c>
      <c r="AN12" s="23">
        <v>0</v>
      </c>
      <c r="AO12" s="23"/>
      <c r="AP12" s="23">
        <v>6.0384773924574101E-2</v>
      </c>
      <c r="AQ12" s="23">
        <v>0.10025133357267101</v>
      </c>
      <c r="AR12" s="23"/>
      <c r="AS12" s="23" t="s">
        <v>88</v>
      </c>
      <c r="AT12" s="23">
        <v>7.6652084042019702E-2</v>
      </c>
      <c r="AU12" s="23" t="s">
        <v>88</v>
      </c>
      <c r="AV12" s="23"/>
      <c r="AW12" s="23">
        <v>8.1805332067939607E-2</v>
      </c>
      <c r="AX12" s="23">
        <v>7.8638654884221906E-2</v>
      </c>
      <c r="AY12" s="23"/>
      <c r="AZ12" s="23">
        <v>4.7547046423875201E-2</v>
      </c>
      <c r="BA12" s="23">
        <v>0.18147899415131299</v>
      </c>
    </row>
    <row r="13" spans="2:53" x14ac:dyDescent="0.35">
      <c r="B13" s="16" t="s">
        <v>328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B2:BA18"/>
  <sheetViews>
    <sheetView showGridLines="0" workbookViewId="0">
      <pane xSplit="2" topLeftCell="C1" activePane="topRight" state="frozen"/>
      <selection pane="topRight" activeCell="D16" sqref="D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324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219</v>
      </c>
      <c r="D7" s="10">
        <v>82</v>
      </c>
      <c r="E7" s="10">
        <v>137</v>
      </c>
      <c r="F7" s="10"/>
      <c r="G7" s="10" t="s">
        <v>87</v>
      </c>
      <c r="H7" s="10">
        <v>52</v>
      </c>
      <c r="I7" s="10">
        <v>119</v>
      </c>
      <c r="J7" s="10">
        <v>41</v>
      </c>
      <c r="K7" s="10">
        <v>7</v>
      </c>
      <c r="L7" s="10" t="s">
        <v>87</v>
      </c>
      <c r="M7" s="10"/>
      <c r="N7" s="10">
        <v>90</v>
      </c>
      <c r="O7" s="10">
        <v>61</v>
      </c>
      <c r="P7" s="10">
        <v>25</v>
      </c>
      <c r="Q7" s="10">
        <v>43</v>
      </c>
      <c r="R7" s="10"/>
      <c r="S7" s="10">
        <v>45</v>
      </c>
      <c r="T7" s="10">
        <v>35</v>
      </c>
      <c r="U7" s="10">
        <v>18</v>
      </c>
      <c r="V7" s="10">
        <v>12</v>
      </c>
      <c r="W7" s="10">
        <v>16</v>
      </c>
      <c r="X7" s="10">
        <v>32</v>
      </c>
      <c r="Y7" s="10">
        <v>21</v>
      </c>
      <c r="Z7" s="10">
        <v>8</v>
      </c>
      <c r="AA7" s="10">
        <v>32</v>
      </c>
      <c r="AB7" s="10"/>
      <c r="AC7" s="10">
        <v>22</v>
      </c>
      <c r="AD7" s="10">
        <v>46</v>
      </c>
      <c r="AE7" s="10">
        <v>66</v>
      </c>
      <c r="AF7" s="10">
        <v>56</v>
      </c>
      <c r="AG7" s="10">
        <v>6</v>
      </c>
      <c r="AH7" s="10"/>
      <c r="AI7" s="10">
        <v>82</v>
      </c>
      <c r="AJ7" s="10">
        <v>45</v>
      </c>
      <c r="AK7" s="10">
        <v>19</v>
      </c>
      <c r="AL7" s="10">
        <v>25</v>
      </c>
      <c r="AM7" s="10">
        <v>14</v>
      </c>
      <c r="AN7" s="10">
        <v>15</v>
      </c>
      <c r="AO7" s="10"/>
      <c r="AP7" s="10">
        <v>124</v>
      </c>
      <c r="AQ7" s="10">
        <v>95</v>
      </c>
      <c r="AR7" s="10"/>
      <c r="AS7" s="10" t="s">
        <v>87</v>
      </c>
      <c r="AT7" s="10">
        <v>219</v>
      </c>
      <c r="AU7" s="10" t="s">
        <v>87</v>
      </c>
      <c r="AV7" s="10"/>
      <c r="AW7" s="10">
        <v>164</v>
      </c>
      <c r="AX7" s="10">
        <v>45</v>
      </c>
      <c r="AY7" s="10"/>
      <c r="AZ7" s="10">
        <v>171</v>
      </c>
      <c r="BA7" s="10">
        <v>48</v>
      </c>
    </row>
    <row r="8" spans="2:53" ht="30" customHeight="1" x14ac:dyDescent="0.35">
      <c r="B8" s="11" t="s">
        <v>19</v>
      </c>
      <c r="C8" s="11">
        <v>215</v>
      </c>
      <c r="D8" s="11">
        <v>98</v>
      </c>
      <c r="E8" s="11">
        <v>116</v>
      </c>
      <c r="F8" s="11"/>
      <c r="G8" s="11" t="s">
        <v>87</v>
      </c>
      <c r="H8" s="11">
        <v>50</v>
      </c>
      <c r="I8" s="11">
        <v>115</v>
      </c>
      <c r="J8" s="11">
        <v>40</v>
      </c>
      <c r="K8" s="11">
        <v>10</v>
      </c>
      <c r="L8" s="11" t="s">
        <v>87</v>
      </c>
      <c r="M8" s="11"/>
      <c r="N8" s="11">
        <v>55</v>
      </c>
      <c r="O8" s="11">
        <v>63</v>
      </c>
      <c r="P8" s="11">
        <v>36</v>
      </c>
      <c r="Q8" s="11">
        <v>61</v>
      </c>
      <c r="R8" s="11"/>
      <c r="S8" s="11">
        <v>34</v>
      </c>
      <c r="T8" s="11">
        <v>36</v>
      </c>
      <c r="U8" s="11">
        <v>23</v>
      </c>
      <c r="V8" s="11">
        <v>14</v>
      </c>
      <c r="W8" s="11">
        <v>15</v>
      </c>
      <c r="X8" s="11">
        <v>33</v>
      </c>
      <c r="Y8" s="11">
        <v>20</v>
      </c>
      <c r="Z8" s="11">
        <v>9</v>
      </c>
      <c r="AA8" s="11">
        <v>30</v>
      </c>
      <c r="AB8" s="11"/>
      <c r="AC8" s="11">
        <v>29</v>
      </c>
      <c r="AD8" s="11">
        <v>52</v>
      </c>
      <c r="AE8" s="11">
        <v>64</v>
      </c>
      <c r="AF8" s="11">
        <v>44</v>
      </c>
      <c r="AG8" s="11">
        <v>3</v>
      </c>
      <c r="AH8" s="11"/>
      <c r="AI8" s="11">
        <v>85</v>
      </c>
      <c r="AJ8" s="11">
        <v>43</v>
      </c>
      <c r="AK8" s="11">
        <v>16</v>
      </c>
      <c r="AL8" s="11">
        <v>24</v>
      </c>
      <c r="AM8" s="11">
        <v>13</v>
      </c>
      <c r="AN8" s="11">
        <v>15</v>
      </c>
      <c r="AO8" s="11"/>
      <c r="AP8" s="11">
        <v>127</v>
      </c>
      <c r="AQ8" s="11">
        <v>88</v>
      </c>
      <c r="AR8" s="11"/>
      <c r="AS8" s="11" t="s">
        <v>87</v>
      </c>
      <c r="AT8" s="11">
        <v>215</v>
      </c>
      <c r="AU8" s="11" t="s">
        <v>87</v>
      </c>
      <c r="AV8" s="11"/>
      <c r="AW8" s="11">
        <v>166</v>
      </c>
      <c r="AX8" s="11">
        <v>36</v>
      </c>
      <c r="AY8" s="11"/>
      <c r="AZ8" s="11">
        <v>168</v>
      </c>
      <c r="BA8" s="11">
        <v>47</v>
      </c>
    </row>
    <row r="9" spans="2:53" x14ac:dyDescent="0.35">
      <c r="B9" s="15" t="s">
        <v>235</v>
      </c>
      <c r="C9" s="14">
        <v>0.186365116812196</v>
      </c>
      <c r="D9" s="14">
        <v>0.23051127857273901</v>
      </c>
      <c r="E9" s="14">
        <v>0.14905510584484999</v>
      </c>
      <c r="F9" s="14"/>
      <c r="G9" s="14" t="s">
        <v>88</v>
      </c>
      <c r="H9" s="14">
        <v>0.15596668761185101</v>
      </c>
      <c r="I9" s="14">
        <v>0.20417541722013799</v>
      </c>
      <c r="J9" s="14">
        <v>0.15010213569795</v>
      </c>
      <c r="K9" s="14">
        <v>0.27626782027564101</v>
      </c>
      <c r="L9" s="14" t="s">
        <v>88</v>
      </c>
      <c r="M9" s="14"/>
      <c r="N9" s="14">
        <v>0.22891026915599999</v>
      </c>
      <c r="O9" s="14">
        <v>0.26294266180868903</v>
      </c>
      <c r="P9" s="14">
        <v>4.4972784448193297E-2</v>
      </c>
      <c r="Q9" s="14">
        <v>0.15215282559992299</v>
      </c>
      <c r="R9" s="14"/>
      <c r="S9" s="14">
        <v>0.186802901156287</v>
      </c>
      <c r="T9" s="14">
        <v>0.29244437840492599</v>
      </c>
      <c r="U9" s="14">
        <v>0.20655896111099201</v>
      </c>
      <c r="V9" s="14">
        <v>0.141117817192983</v>
      </c>
      <c r="W9" s="14">
        <v>0.225755334111264</v>
      </c>
      <c r="X9" s="14">
        <v>0.104639627392904</v>
      </c>
      <c r="Y9" s="14">
        <v>0.16276400882409001</v>
      </c>
      <c r="Z9" s="14">
        <v>0.13513748534030101</v>
      </c>
      <c r="AA9" s="14">
        <v>0.16391693880997099</v>
      </c>
      <c r="AB9" s="14"/>
      <c r="AC9" s="14">
        <v>8.4451306883466498E-2</v>
      </c>
      <c r="AD9" s="14">
        <v>0.149192807955358</v>
      </c>
      <c r="AE9" s="14">
        <v>0.22012708065324099</v>
      </c>
      <c r="AF9" s="14">
        <v>0.193884245354669</v>
      </c>
      <c r="AG9" s="14">
        <v>0.3122407490711</v>
      </c>
      <c r="AH9" s="14"/>
      <c r="AI9" s="14">
        <v>0.21292707679883899</v>
      </c>
      <c r="AJ9" s="14">
        <v>0.15567602756823601</v>
      </c>
      <c r="AK9" s="14">
        <v>0.34283711911058801</v>
      </c>
      <c r="AL9" s="14">
        <v>0.11120054034783999</v>
      </c>
      <c r="AM9" s="14">
        <v>0.144529933831653</v>
      </c>
      <c r="AN9" s="14">
        <v>0.22903310493444901</v>
      </c>
      <c r="AO9" s="14"/>
      <c r="AP9" s="14">
        <v>0.203934549978111</v>
      </c>
      <c r="AQ9" s="14">
        <v>0.16087685634374499</v>
      </c>
      <c r="AR9" s="14"/>
      <c r="AS9" s="14" t="s">
        <v>88</v>
      </c>
      <c r="AT9" s="14">
        <v>0.186365116812196</v>
      </c>
      <c r="AU9" s="14" t="s">
        <v>88</v>
      </c>
      <c r="AV9" s="14"/>
      <c r="AW9" s="14">
        <v>0.16129314228490599</v>
      </c>
      <c r="AX9" s="14">
        <v>0.26843651428369097</v>
      </c>
      <c r="AY9" s="14"/>
      <c r="AZ9" s="14">
        <v>0.21165546436360699</v>
      </c>
      <c r="BA9" s="14">
        <v>9.5277483661301302E-2</v>
      </c>
    </row>
    <row r="10" spans="2:53" x14ac:dyDescent="0.35">
      <c r="B10" s="15" t="s">
        <v>236</v>
      </c>
      <c r="C10" s="14">
        <v>0.60440423029595503</v>
      </c>
      <c r="D10" s="14">
        <v>0.66190544319688205</v>
      </c>
      <c r="E10" s="14">
        <v>0.55580723344702798</v>
      </c>
      <c r="F10" s="14"/>
      <c r="G10" s="14" t="s">
        <v>88</v>
      </c>
      <c r="H10" s="14">
        <v>0.57879557983887198</v>
      </c>
      <c r="I10" s="14">
        <v>0.64470220136293899</v>
      </c>
      <c r="J10" s="14">
        <v>0.51851263259528102</v>
      </c>
      <c r="K10" s="14">
        <v>0.60995568492227703</v>
      </c>
      <c r="L10" s="14" t="s">
        <v>88</v>
      </c>
      <c r="M10" s="14"/>
      <c r="N10" s="14">
        <v>0.62658776263724503</v>
      </c>
      <c r="O10" s="14">
        <v>0.55222996000590496</v>
      </c>
      <c r="P10" s="14">
        <v>0.69616036724613495</v>
      </c>
      <c r="Q10" s="14">
        <v>0.58409557261839895</v>
      </c>
      <c r="R10" s="14"/>
      <c r="S10" s="14">
        <v>0.69030653544923004</v>
      </c>
      <c r="T10" s="14">
        <v>0.39561162294640001</v>
      </c>
      <c r="U10" s="14">
        <v>0.55534336717769806</v>
      </c>
      <c r="V10" s="14">
        <v>0.607375351291631</v>
      </c>
      <c r="W10" s="14">
        <v>0.656165156212001</v>
      </c>
      <c r="X10" s="14">
        <v>0.67134369634299895</v>
      </c>
      <c r="Y10" s="14">
        <v>0.551407920507483</v>
      </c>
      <c r="Z10" s="14">
        <v>0.65475173976988998</v>
      </c>
      <c r="AA10" s="14">
        <v>0.71495326934113501</v>
      </c>
      <c r="AB10" s="14"/>
      <c r="AC10" s="14">
        <v>0.57651040862385405</v>
      </c>
      <c r="AD10" s="14">
        <v>0.63087996986378703</v>
      </c>
      <c r="AE10" s="14">
        <v>0.60781793567561304</v>
      </c>
      <c r="AF10" s="14">
        <v>0.74171136252665804</v>
      </c>
      <c r="AG10" s="14">
        <v>9.6649271762117905E-2</v>
      </c>
      <c r="AH10" s="14"/>
      <c r="AI10" s="14">
        <v>0.65052008627511604</v>
      </c>
      <c r="AJ10" s="14">
        <v>0.70677154150148302</v>
      </c>
      <c r="AK10" s="14">
        <v>0.50951165391459696</v>
      </c>
      <c r="AL10" s="14">
        <v>0.52057767678178901</v>
      </c>
      <c r="AM10" s="14">
        <v>0.50630830345501499</v>
      </c>
      <c r="AN10" s="14">
        <v>0.31233595665849101</v>
      </c>
      <c r="AO10" s="14"/>
      <c r="AP10" s="14">
        <v>0.59716245203576601</v>
      </c>
      <c r="AQ10" s="14">
        <v>0.61490999498439902</v>
      </c>
      <c r="AR10" s="14"/>
      <c r="AS10" s="14" t="s">
        <v>88</v>
      </c>
      <c r="AT10" s="14">
        <v>0.60440423029595503</v>
      </c>
      <c r="AU10" s="14" t="s">
        <v>88</v>
      </c>
      <c r="AV10" s="14"/>
      <c r="AW10" s="14">
        <v>0.59860503690797895</v>
      </c>
      <c r="AX10" s="14">
        <v>0.62184466540697803</v>
      </c>
      <c r="AY10" s="14"/>
      <c r="AZ10" s="14">
        <v>0.608326132309564</v>
      </c>
      <c r="BA10" s="14">
        <v>0.59027881066132204</v>
      </c>
    </row>
    <row r="11" spans="2:53" x14ac:dyDescent="0.35">
      <c r="B11" s="15" t="s">
        <v>237</v>
      </c>
      <c r="C11" s="14">
        <v>0.16734242628576701</v>
      </c>
      <c r="D11" s="14">
        <v>9.3996325396941194E-2</v>
      </c>
      <c r="E11" s="14">
        <v>0.229330687992815</v>
      </c>
      <c r="F11" s="14"/>
      <c r="G11" s="14" t="s">
        <v>88</v>
      </c>
      <c r="H11" s="14">
        <v>0.238627135207751</v>
      </c>
      <c r="I11" s="14">
        <v>0.11157399904385799</v>
      </c>
      <c r="J11" s="14">
        <v>0.25318229663333203</v>
      </c>
      <c r="K11" s="14">
        <v>0.113776494802082</v>
      </c>
      <c r="L11" s="14" t="s">
        <v>88</v>
      </c>
      <c r="M11" s="14"/>
      <c r="N11" s="14">
        <v>0.120707694824133</v>
      </c>
      <c r="O11" s="14">
        <v>0.16363509945674701</v>
      </c>
      <c r="P11" s="14">
        <v>0.22412815907679101</v>
      </c>
      <c r="Q11" s="14">
        <v>0.17974101159605399</v>
      </c>
      <c r="R11" s="14"/>
      <c r="S11" s="14">
        <v>0.103958504082321</v>
      </c>
      <c r="T11" s="14">
        <v>0.22187610114144801</v>
      </c>
      <c r="U11" s="14">
        <v>0.23809767171130999</v>
      </c>
      <c r="V11" s="14">
        <v>6.6499850285916207E-2</v>
      </c>
      <c r="W11" s="14">
        <v>0.118079509676735</v>
      </c>
      <c r="X11" s="14">
        <v>0.191024384942558</v>
      </c>
      <c r="Y11" s="14">
        <v>0.28582807066842703</v>
      </c>
      <c r="Z11" s="14">
        <v>0.210110774889809</v>
      </c>
      <c r="AA11" s="14">
        <v>7.7317179060461205E-2</v>
      </c>
      <c r="AB11" s="14"/>
      <c r="AC11" s="14">
        <v>0.206861680285682</v>
      </c>
      <c r="AD11" s="14">
        <v>0.15754485322796599</v>
      </c>
      <c r="AE11" s="14">
        <v>0.14071196548297199</v>
      </c>
      <c r="AF11" s="14">
        <v>6.4404392118673104E-2</v>
      </c>
      <c r="AG11" s="14">
        <v>0.59110997916678198</v>
      </c>
      <c r="AH11" s="14"/>
      <c r="AI11" s="14">
        <v>0.120806858509485</v>
      </c>
      <c r="AJ11" s="14">
        <v>6.2311222127356701E-2</v>
      </c>
      <c r="AK11" s="14">
        <v>0.106950281524733</v>
      </c>
      <c r="AL11" s="14">
        <v>0.25526492709392601</v>
      </c>
      <c r="AM11" s="14">
        <v>0.34916176271333299</v>
      </c>
      <c r="AN11" s="14">
        <v>0.45863093840705998</v>
      </c>
      <c r="AO11" s="14"/>
      <c r="AP11" s="14">
        <v>0.17800204904299599</v>
      </c>
      <c r="AQ11" s="14">
        <v>0.15187833938177001</v>
      </c>
      <c r="AR11" s="14"/>
      <c r="AS11" s="14" t="s">
        <v>88</v>
      </c>
      <c r="AT11" s="14">
        <v>0.16734242628576701</v>
      </c>
      <c r="AU11" s="14" t="s">
        <v>88</v>
      </c>
      <c r="AV11" s="14"/>
      <c r="AW11" s="14">
        <v>0.185996334774191</v>
      </c>
      <c r="AX11" s="14">
        <v>0.109718820309331</v>
      </c>
      <c r="AY11" s="14"/>
      <c r="AZ11" s="14">
        <v>0.16035912401571201</v>
      </c>
      <c r="BA11" s="14">
        <v>0.192494017186746</v>
      </c>
    </row>
    <row r="12" spans="2:53" x14ac:dyDescent="0.35">
      <c r="B12" s="15" t="s">
        <v>238</v>
      </c>
      <c r="C12" s="14">
        <v>6.0907551411022998E-3</v>
      </c>
      <c r="D12" s="14">
        <v>0</v>
      </c>
      <c r="E12" s="14">
        <v>1.1238340617424699E-2</v>
      </c>
      <c r="F12" s="14"/>
      <c r="G12" s="14" t="s">
        <v>88</v>
      </c>
      <c r="H12" s="14">
        <v>0</v>
      </c>
      <c r="I12" s="14">
        <v>5.6207124137236299E-3</v>
      </c>
      <c r="J12" s="14">
        <v>1.65589565587142E-2</v>
      </c>
      <c r="K12" s="14">
        <v>0</v>
      </c>
      <c r="L12" s="14" t="s">
        <v>88</v>
      </c>
      <c r="M12" s="14"/>
      <c r="N12" s="14">
        <v>2.37942733826218E-2</v>
      </c>
      <c r="O12" s="14">
        <v>0</v>
      </c>
      <c r="P12" s="14">
        <v>0</v>
      </c>
      <c r="Q12" s="14">
        <v>0</v>
      </c>
      <c r="R12" s="14"/>
      <c r="S12" s="14">
        <v>1.8932059312162599E-2</v>
      </c>
      <c r="T12" s="14">
        <v>1.8117068057941499E-2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1.25472083976731E-2</v>
      </c>
      <c r="AE12" s="14">
        <v>1.0367791061698699E-2</v>
      </c>
      <c r="AF12" s="14">
        <v>0</v>
      </c>
      <c r="AG12" s="14">
        <v>0</v>
      </c>
      <c r="AH12" s="14"/>
      <c r="AI12" s="14">
        <v>0</v>
      </c>
      <c r="AJ12" s="14">
        <v>1.5133556849309299E-2</v>
      </c>
      <c r="AK12" s="14">
        <v>4.0700945450083098E-2</v>
      </c>
      <c r="AL12" s="14">
        <v>0</v>
      </c>
      <c r="AM12" s="14">
        <v>0</v>
      </c>
      <c r="AN12" s="14">
        <v>0</v>
      </c>
      <c r="AO12" s="14"/>
      <c r="AP12" s="14">
        <v>0</v>
      </c>
      <c r="AQ12" s="14">
        <v>1.49267119998102E-2</v>
      </c>
      <c r="AR12" s="14"/>
      <c r="AS12" s="14" t="s">
        <v>88</v>
      </c>
      <c r="AT12" s="14">
        <v>6.0907551411022998E-3</v>
      </c>
      <c r="AU12" s="14" t="s">
        <v>88</v>
      </c>
      <c r="AV12" s="14"/>
      <c r="AW12" s="14">
        <v>7.8672050339086193E-3</v>
      </c>
      <c r="AX12" s="14">
        <v>0</v>
      </c>
      <c r="AY12" s="14"/>
      <c r="AZ12" s="14">
        <v>3.8516465607006801E-3</v>
      </c>
      <c r="BA12" s="14">
        <v>1.41552983642446E-2</v>
      </c>
    </row>
    <row r="13" spans="2:53" x14ac:dyDescent="0.35">
      <c r="B13" s="15" t="s">
        <v>116</v>
      </c>
      <c r="C13" s="23">
        <v>3.5797471464979302E-2</v>
      </c>
      <c r="D13" s="23">
        <v>1.35869528334374E-2</v>
      </c>
      <c r="E13" s="23">
        <v>5.45686320978825E-2</v>
      </c>
      <c r="F13" s="23"/>
      <c r="G13" s="23" t="s">
        <v>88</v>
      </c>
      <c r="H13" s="23">
        <v>2.6610597341526099E-2</v>
      </c>
      <c r="I13" s="23">
        <v>3.3927669959340899E-2</v>
      </c>
      <c r="J13" s="23">
        <v>6.1643978514723002E-2</v>
      </c>
      <c r="K13" s="23">
        <v>0</v>
      </c>
      <c r="L13" s="23" t="s">
        <v>88</v>
      </c>
      <c r="M13" s="23"/>
      <c r="N13" s="23">
        <v>0</v>
      </c>
      <c r="O13" s="23">
        <v>2.1192278728659801E-2</v>
      </c>
      <c r="P13" s="23">
        <v>3.4738689228880501E-2</v>
      </c>
      <c r="Q13" s="23">
        <v>8.4010590185623998E-2</v>
      </c>
      <c r="R13" s="23"/>
      <c r="S13" s="23">
        <v>0</v>
      </c>
      <c r="T13" s="23">
        <v>7.1950829449284506E-2</v>
      </c>
      <c r="U13" s="23">
        <v>0</v>
      </c>
      <c r="V13" s="23">
        <v>0.18500698122947001</v>
      </c>
      <c r="W13" s="23">
        <v>0</v>
      </c>
      <c r="X13" s="23">
        <v>3.29922913215389E-2</v>
      </c>
      <c r="Y13" s="23">
        <v>0</v>
      </c>
      <c r="Z13" s="23">
        <v>0</v>
      </c>
      <c r="AA13" s="23">
        <v>4.3812612788432098E-2</v>
      </c>
      <c r="AB13" s="23"/>
      <c r="AC13" s="23">
        <v>0.13217660420699701</v>
      </c>
      <c r="AD13" s="23">
        <v>4.9835160555215502E-2</v>
      </c>
      <c r="AE13" s="23">
        <v>2.0975227126475302E-2</v>
      </c>
      <c r="AF13" s="23">
        <v>0</v>
      </c>
      <c r="AG13" s="23">
        <v>0</v>
      </c>
      <c r="AH13" s="23"/>
      <c r="AI13" s="23">
        <v>1.5745978416560499E-2</v>
      </c>
      <c r="AJ13" s="23">
        <v>6.0107651953614998E-2</v>
      </c>
      <c r="AK13" s="23">
        <v>0</v>
      </c>
      <c r="AL13" s="23">
        <v>0.112956855776445</v>
      </c>
      <c r="AM13" s="23">
        <v>0</v>
      </c>
      <c r="AN13" s="23">
        <v>0</v>
      </c>
      <c r="AO13" s="23"/>
      <c r="AP13" s="23">
        <v>2.0900948943126201E-2</v>
      </c>
      <c r="AQ13" s="23">
        <v>5.7408097290276003E-2</v>
      </c>
      <c r="AR13" s="23"/>
      <c r="AS13" s="23" t="s">
        <v>88</v>
      </c>
      <c r="AT13" s="23">
        <v>3.5797471464979302E-2</v>
      </c>
      <c r="AU13" s="23" t="s">
        <v>88</v>
      </c>
      <c r="AV13" s="23"/>
      <c r="AW13" s="23">
        <v>4.6238280999015197E-2</v>
      </c>
      <c r="AX13" s="23">
        <v>0</v>
      </c>
      <c r="AY13" s="23"/>
      <c r="AZ13" s="23">
        <v>1.5807632750416599E-2</v>
      </c>
      <c r="BA13" s="23">
        <v>0.107794390126386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B2:BA19"/>
  <sheetViews>
    <sheetView showGridLines="0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325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219</v>
      </c>
      <c r="D7" s="10">
        <v>82</v>
      </c>
      <c r="E7" s="10">
        <v>137</v>
      </c>
      <c r="F7" s="10"/>
      <c r="G7" s="10" t="s">
        <v>87</v>
      </c>
      <c r="H7" s="10">
        <v>52</v>
      </c>
      <c r="I7" s="10">
        <v>119</v>
      </c>
      <c r="J7" s="10">
        <v>41</v>
      </c>
      <c r="K7" s="10">
        <v>7</v>
      </c>
      <c r="L7" s="10" t="s">
        <v>87</v>
      </c>
      <c r="M7" s="10"/>
      <c r="N7" s="10">
        <v>90</v>
      </c>
      <c r="O7" s="10">
        <v>61</v>
      </c>
      <c r="P7" s="10">
        <v>25</v>
      </c>
      <c r="Q7" s="10">
        <v>43</v>
      </c>
      <c r="R7" s="10"/>
      <c r="S7" s="10">
        <v>45</v>
      </c>
      <c r="T7" s="10">
        <v>35</v>
      </c>
      <c r="U7" s="10">
        <v>18</v>
      </c>
      <c r="V7" s="10">
        <v>12</v>
      </c>
      <c r="W7" s="10">
        <v>16</v>
      </c>
      <c r="X7" s="10">
        <v>32</v>
      </c>
      <c r="Y7" s="10">
        <v>21</v>
      </c>
      <c r="Z7" s="10">
        <v>8</v>
      </c>
      <c r="AA7" s="10">
        <v>32</v>
      </c>
      <c r="AB7" s="10"/>
      <c r="AC7" s="10">
        <v>22</v>
      </c>
      <c r="AD7" s="10">
        <v>46</v>
      </c>
      <c r="AE7" s="10">
        <v>66</v>
      </c>
      <c r="AF7" s="10">
        <v>56</v>
      </c>
      <c r="AG7" s="10">
        <v>6</v>
      </c>
      <c r="AH7" s="10"/>
      <c r="AI7" s="10">
        <v>82</v>
      </c>
      <c r="AJ7" s="10">
        <v>45</v>
      </c>
      <c r="AK7" s="10">
        <v>19</v>
      </c>
      <c r="AL7" s="10">
        <v>25</v>
      </c>
      <c r="AM7" s="10">
        <v>14</v>
      </c>
      <c r="AN7" s="10">
        <v>15</v>
      </c>
      <c r="AO7" s="10"/>
      <c r="AP7" s="10">
        <v>124</v>
      </c>
      <c r="AQ7" s="10">
        <v>95</v>
      </c>
      <c r="AR7" s="10"/>
      <c r="AS7" s="10" t="s">
        <v>87</v>
      </c>
      <c r="AT7" s="10">
        <v>219</v>
      </c>
      <c r="AU7" s="10" t="s">
        <v>87</v>
      </c>
      <c r="AV7" s="10"/>
      <c r="AW7" s="10">
        <v>164</v>
      </c>
      <c r="AX7" s="10">
        <v>45</v>
      </c>
      <c r="AY7" s="10"/>
      <c r="AZ7" s="10">
        <v>171</v>
      </c>
      <c r="BA7" s="10">
        <v>48</v>
      </c>
    </row>
    <row r="8" spans="2:53" ht="30" customHeight="1" x14ac:dyDescent="0.35">
      <c r="B8" s="11" t="s">
        <v>19</v>
      </c>
      <c r="C8" s="11">
        <v>215</v>
      </c>
      <c r="D8" s="11">
        <v>98</v>
      </c>
      <c r="E8" s="11">
        <v>116</v>
      </c>
      <c r="F8" s="11"/>
      <c r="G8" s="11" t="s">
        <v>87</v>
      </c>
      <c r="H8" s="11">
        <v>50</v>
      </c>
      <c r="I8" s="11">
        <v>115</v>
      </c>
      <c r="J8" s="11">
        <v>40</v>
      </c>
      <c r="K8" s="11">
        <v>10</v>
      </c>
      <c r="L8" s="11" t="s">
        <v>87</v>
      </c>
      <c r="M8" s="11"/>
      <c r="N8" s="11">
        <v>55</v>
      </c>
      <c r="O8" s="11">
        <v>63</v>
      </c>
      <c r="P8" s="11">
        <v>36</v>
      </c>
      <c r="Q8" s="11">
        <v>61</v>
      </c>
      <c r="R8" s="11"/>
      <c r="S8" s="11">
        <v>34</v>
      </c>
      <c r="T8" s="11">
        <v>36</v>
      </c>
      <c r="U8" s="11">
        <v>23</v>
      </c>
      <c r="V8" s="11">
        <v>14</v>
      </c>
      <c r="W8" s="11">
        <v>15</v>
      </c>
      <c r="X8" s="11">
        <v>33</v>
      </c>
      <c r="Y8" s="11">
        <v>20</v>
      </c>
      <c r="Z8" s="11">
        <v>9</v>
      </c>
      <c r="AA8" s="11">
        <v>30</v>
      </c>
      <c r="AB8" s="11"/>
      <c r="AC8" s="11">
        <v>29</v>
      </c>
      <c r="AD8" s="11">
        <v>52</v>
      </c>
      <c r="AE8" s="11">
        <v>64</v>
      </c>
      <c r="AF8" s="11">
        <v>44</v>
      </c>
      <c r="AG8" s="11">
        <v>3</v>
      </c>
      <c r="AH8" s="11"/>
      <c r="AI8" s="11">
        <v>85</v>
      </c>
      <c r="AJ8" s="11">
        <v>43</v>
      </c>
      <c r="AK8" s="11">
        <v>16</v>
      </c>
      <c r="AL8" s="11">
        <v>24</v>
      </c>
      <c r="AM8" s="11">
        <v>13</v>
      </c>
      <c r="AN8" s="11">
        <v>15</v>
      </c>
      <c r="AO8" s="11"/>
      <c r="AP8" s="11">
        <v>127</v>
      </c>
      <c r="AQ8" s="11">
        <v>88</v>
      </c>
      <c r="AR8" s="11"/>
      <c r="AS8" s="11" t="s">
        <v>87</v>
      </c>
      <c r="AT8" s="11">
        <v>215</v>
      </c>
      <c r="AU8" s="11" t="s">
        <v>87</v>
      </c>
      <c r="AV8" s="11"/>
      <c r="AW8" s="11">
        <v>166</v>
      </c>
      <c r="AX8" s="11">
        <v>36</v>
      </c>
      <c r="AY8" s="11"/>
      <c r="AZ8" s="11">
        <v>168</v>
      </c>
      <c r="BA8" s="11">
        <v>47</v>
      </c>
    </row>
    <row r="9" spans="2:53" x14ac:dyDescent="0.35">
      <c r="B9" s="15" t="s">
        <v>220</v>
      </c>
      <c r="C9" s="14">
        <v>0.26281317954780897</v>
      </c>
      <c r="D9" s="14">
        <v>0.25547712213341001</v>
      </c>
      <c r="E9" s="14">
        <v>0.269013228921817</v>
      </c>
      <c r="F9" s="14"/>
      <c r="G9" s="14" t="s">
        <v>88</v>
      </c>
      <c r="H9" s="14">
        <v>0.304562202707234</v>
      </c>
      <c r="I9" s="14">
        <v>0.27384778174010599</v>
      </c>
      <c r="J9" s="14">
        <v>0.19319574257164099</v>
      </c>
      <c r="K9" s="14">
        <v>0.20656703463974199</v>
      </c>
      <c r="L9" s="14" t="s">
        <v>88</v>
      </c>
      <c r="M9" s="14"/>
      <c r="N9" s="14">
        <v>0.29301710735130598</v>
      </c>
      <c r="O9" s="14">
        <v>0.27409851814000802</v>
      </c>
      <c r="P9" s="14">
        <v>0.17085359935515099</v>
      </c>
      <c r="Q9" s="14">
        <v>0.27828157743181198</v>
      </c>
      <c r="R9" s="14"/>
      <c r="S9" s="14">
        <v>0.26240057240872899</v>
      </c>
      <c r="T9" s="14">
        <v>0.31234997008504101</v>
      </c>
      <c r="U9" s="14">
        <v>8.8158757707689203E-2</v>
      </c>
      <c r="V9" s="14">
        <v>0.29242156946234699</v>
      </c>
      <c r="W9" s="14">
        <v>0.42324516811060803</v>
      </c>
      <c r="X9" s="14">
        <v>0.17181283493119001</v>
      </c>
      <c r="Y9" s="14">
        <v>0.229854589163522</v>
      </c>
      <c r="Z9" s="14">
        <v>0.13513748534030101</v>
      </c>
      <c r="AA9" s="14">
        <v>0.39720207363610399</v>
      </c>
      <c r="AB9" s="14"/>
      <c r="AC9" s="14">
        <v>0.30623251626648801</v>
      </c>
      <c r="AD9" s="14">
        <v>0.123944685826458</v>
      </c>
      <c r="AE9" s="14">
        <v>0.31790770090687798</v>
      </c>
      <c r="AF9" s="14">
        <v>0.28389501402484502</v>
      </c>
      <c r="AG9" s="14">
        <v>0.67137158560879695</v>
      </c>
      <c r="AH9" s="14"/>
      <c r="AI9" s="14">
        <v>0.271660923533455</v>
      </c>
      <c r="AJ9" s="14">
        <v>0.15557808730457001</v>
      </c>
      <c r="AK9" s="14">
        <v>0.36674854997158302</v>
      </c>
      <c r="AL9" s="14">
        <v>0.16108332775811299</v>
      </c>
      <c r="AM9" s="14">
        <v>0.47317040335848698</v>
      </c>
      <c r="AN9" s="14">
        <v>0.350563497214671</v>
      </c>
      <c r="AO9" s="14"/>
      <c r="AP9" s="14">
        <v>0.27087822355638502</v>
      </c>
      <c r="AQ9" s="14">
        <v>0.25111308994111098</v>
      </c>
      <c r="AR9" s="14"/>
      <c r="AS9" s="14" t="s">
        <v>88</v>
      </c>
      <c r="AT9" s="14">
        <v>0.26281317954780897</v>
      </c>
      <c r="AU9" s="14" t="s">
        <v>88</v>
      </c>
      <c r="AV9" s="14"/>
      <c r="AW9" s="14">
        <v>0.236226785145425</v>
      </c>
      <c r="AX9" s="14">
        <v>0.27602549074974903</v>
      </c>
      <c r="AY9" s="14"/>
      <c r="AZ9" s="14">
        <v>0.29373473548665902</v>
      </c>
      <c r="BA9" s="14">
        <v>0.15144375933374599</v>
      </c>
    </row>
    <row r="10" spans="2:53" x14ac:dyDescent="0.35">
      <c r="B10" s="15" t="s">
        <v>221</v>
      </c>
      <c r="C10" s="14">
        <v>0.52021793238320702</v>
      </c>
      <c r="D10" s="14">
        <v>0.60844209606376498</v>
      </c>
      <c r="E10" s="14">
        <v>0.445655515556097</v>
      </c>
      <c r="F10" s="14"/>
      <c r="G10" s="14" t="s">
        <v>88</v>
      </c>
      <c r="H10" s="14">
        <v>0.48667206887056202</v>
      </c>
      <c r="I10" s="14">
        <v>0.48696368213461699</v>
      </c>
      <c r="J10" s="14">
        <v>0.61778047493473898</v>
      </c>
      <c r="K10" s="14">
        <v>0.67965647055817602</v>
      </c>
      <c r="L10" s="14" t="s">
        <v>88</v>
      </c>
      <c r="M10" s="14"/>
      <c r="N10" s="14">
        <v>0.546712611857195</v>
      </c>
      <c r="O10" s="14">
        <v>0.45141662823441697</v>
      </c>
      <c r="P10" s="14">
        <v>0.52356191732605695</v>
      </c>
      <c r="Q10" s="14">
        <v>0.56571366884157703</v>
      </c>
      <c r="R10" s="14"/>
      <c r="S10" s="14">
        <v>0.57180997824686297</v>
      </c>
      <c r="T10" s="14">
        <v>0.459054870510133</v>
      </c>
      <c r="U10" s="14">
        <v>0.85373755232808202</v>
      </c>
      <c r="V10" s="14">
        <v>0.36027758081667299</v>
      </c>
      <c r="W10" s="14">
        <v>0.437271504277845</v>
      </c>
      <c r="X10" s="14">
        <v>0.55278014342141402</v>
      </c>
      <c r="Y10" s="14">
        <v>0.60194477196920604</v>
      </c>
      <c r="Z10" s="14">
        <v>0.65475173976988998</v>
      </c>
      <c r="AA10" s="14">
        <v>0.27601902037814502</v>
      </c>
      <c r="AB10" s="14"/>
      <c r="AC10" s="14">
        <v>0.43032843701929102</v>
      </c>
      <c r="AD10" s="14">
        <v>0.67541241550666298</v>
      </c>
      <c r="AE10" s="14">
        <v>0.42972889945064102</v>
      </c>
      <c r="AF10" s="14">
        <v>0.54977473796780796</v>
      </c>
      <c r="AG10" s="14">
        <v>0.32862841439120299</v>
      </c>
      <c r="AH10" s="14"/>
      <c r="AI10" s="14">
        <v>0.51570376427827203</v>
      </c>
      <c r="AJ10" s="14">
        <v>0.68066232991234199</v>
      </c>
      <c r="AK10" s="14">
        <v>0.25636731142816999</v>
      </c>
      <c r="AL10" s="14">
        <v>0.70826796454279495</v>
      </c>
      <c r="AM10" s="14">
        <v>0.27187703900724303</v>
      </c>
      <c r="AN10" s="14">
        <v>0.35039283692083301</v>
      </c>
      <c r="AO10" s="14"/>
      <c r="AP10" s="14">
        <v>0.531828207442957</v>
      </c>
      <c r="AQ10" s="14">
        <v>0.50337471882937501</v>
      </c>
      <c r="AR10" s="14"/>
      <c r="AS10" s="14" t="s">
        <v>88</v>
      </c>
      <c r="AT10" s="14">
        <v>0.52021793238320702</v>
      </c>
      <c r="AU10" s="14" t="s">
        <v>88</v>
      </c>
      <c r="AV10" s="14"/>
      <c r="AW10" s="14">
        <v>0.52023685655186802</v>
      </c>
      <c r="AX10" s="14">
        <v>0.55614846475999402</v>
      </c>
      <c r="AY10" s="14"/>
      <c r="AZ10" s="14">
        <v>0.54810074551243804</v>
      </c>
      <c r="BA10" s="14">
        <v>0.419793078657198</v>
      </c>
    </row>
    <row r="11" spans="2:53" x14ac:dyDescent="0.35">
      <c r="B11" s="15" t="s">
        <v>222</v>
      </c>
      <c r="C11" s="14">
        <v>0.12625672088825701</v>
      </c>
      <c r="D11" s="14">
        <v>9.9534564546538695E-2</v>
      </c>
      <c r="E11" s="14">
        <v>0.148840880108906</v>
      </c>
      <c r="F11" s="14"/>
      <c r="G11" s="14" t="s">
        <v>88</v>
      </c>
      <c r="H11" s="14">
        <v>7.9289363037570407E-2</v>
      </c>
      <c r="I11" s="14">
        <v>0.14719227501305401</v>
      </c>
      <c r="J11" s="14">
        <v>0.127379803978897</v>
      </c>
      <c r="K11" s="14">
        <v>0.113776494802082</v>
      </c>
      <c r="L11" s="14" t="s">
        <v>88</v>
      </c>
      <c r="M11" s="14"/>
      <c r="N11" s="14">
        <v>8.7746285554575795E-2</v>
      </c>
      <c r="O11" s="14">
        <v>0.18227084972899099</v>
      </c>
      <c r="P11" s="14">
        <v>0.26825729780242702</v>
      </c>
      <c r="Q11" s="14">
        <v>1.87217474009913E-2</v>
      </c>
      <c r="R11" s="14"/>
      <c r="S11" s="14">
        <v>7.0645052305546199E-2</v>
      </c>
      <c r="T11" s="14">
        <v>0.10484160253316301</v>
      </c>
      <c r="U11" s="14">
        <v>5.8103689964229002E-2</v>
      </c>
      <c r="V11" s="14">
        <v>9.4148764455710104E-2</v>
      </c>
      <c r="W11" s="14">
        <v>0.139483327611547</v>
      </c>
      <c r="X11" s="14">
        <v>0.21644541825315</v>
      </c>
      <c r="Y11" s="14">
        <v>3.7132111272629803E-2</v>
      </c>
      <c r="Z11" s="14">
        <v>0.210110774889809</v>
      </c>
      <c r="AA11" s="14">
        <v>0.20994455371808601</v>
      </c>
      <c r="AB11" s="14"/>
      <c r="AC11" s="14">
        <v>0.10036725575959</v>
      </c>
      <c r="AD11" s="14">
        <v>9.1888076850855205E-2</v>
      </c>
      <c r="AE11" s="14">
        <v>0.18702646133623199</v>
      </c>
      <c r="AF11" s="14">
        <v>0.113322862025602</v>
      </c>
      <c r="AG11" s="14">
        <v>0</v>
      </c>
      <c r="AH11" s="14"/>
      <c r="AI11" s="14">
        <v>0.166000385603153</v>
      </c>
      <c r="AJ11" s="14">
        <v>7.3231991078455197E-2</v>
      </c>
      <c r="AK11" s="14">
        <v>0.272337871828773</v>
      </c>
      <c r="AL11" s="14">
        <v>3.7207436808573899E-2</v>
      </c>
      <c r="AM11" s="14">
        <v>0.180508959103587</v>
      </c>
      <c r="AN11" s="14">
        <v>8.31032807244904E-2</v>
      </c>
      <c r="AO11" s="14"/>
      <c r="AP11" s="14">
        <v>0.11342620137201601</v>
      </c>
      <c r="AQ11" s="14">
        <v>0.144870162784034</v>
      </c>
      <c r="AR11" s="14"/>
      <c r="AS11" s="14" t="s">
        <v>88</v>
      </c>
      <c r="AT11" s="14">
        <v>0.12625672088825701</v>
      </c>
      <c r="AU11" s="14" t="s">
        <v>88</v>
      </c>
      <c r="AV11" s="14"/>
      <c r="AW11" s="14">
        <v>0.13221019394095701</v>
      </c>
      <c r="AX11" s="14">
        <v>0.141115072281982</v>
      </c>
      <c r="AY11" s="14"/>
      <c r="AZ11" s="14">
        <v>9.3140866126708993E-2</v>
      </c>
      <c r="BA11" s="14">
        <v>0.24552929410482699</v>
      </c>
    </row>
    <row r="12" spans="2:53" x14ac:dyDescent="0.35">
      <c r="B12" s="15" t="s">
        <v>223</v>
      </c>
      <c r="C12" s="14">
        <v>2.10698915102309E-2</v>
      </c>
      <c r="D12" s="14">
        <v>1.43974221049217E-2</v>
      </c>
      <c r="E12" s="14">
        <v>2.6709111246744299E-2</v>
      </c>
      <c r="F12" s="14"/>
      <c r="G12" s="14" t="s">
        <v>88</v>
      </c>
      <c r="H12" s="14">
        <v>3.97387473555363E-2</v>
      </c>
      <c r="I12" s="14">
        <v>2.2163321993522601E-2</v>
      </c>
      <c r="J12" s="14">
        <v>0</v>
      </c>
      <c r="K12" s="14">
        <v>0</v>
      </c>
      <c r="L12" s="14" t="s">
        <v>88</v>
      </c>
      <c r="M12" s="14"/>
      <c r="N12" s="14">
        <v>0</v>
      </c>
      <c r="O12" s="14">
        <v>3.7509600654795902E-2</v>
      </c>
      <c r="P12" s="14">
        <v>0</v>
      </c>
      <c r="Q12" s="14">
        <v>3.5567217796224702E-2</v>
      </c>
      <c r="R12" s="14"/>
      <c r="S12" s="14">
        <v>4.1414168100972502E-2</v>
      </c>
      <c r="T12" s="14">
        <v>0</v>
      </c>
      <c r="U12" s="14">
        <v>0</v>
      </c>
      <c r="V12" s="14">
        <v>6.6499850285916207E-2</v>
      </c>
      <c r="W12" s="14">
        <v>0</v>
      </c>
      <c r="X12" s="14">
        <v>0</v>
      </c>
      <c r="Y12" s="14">
        <v>5.1652011276614201E-2</v>
      </c>
      <c r="Z12" s="14">
        <v>0</v>
      </c>
      <c r="AA12" s="14">
        <v>3.7260213893796301E-2</v>
      </c>
      <c r="AB12" s="14"/>
      <c r="AC12" s="14">
        <v>0</v>
      </c>
      <c r="AD12" s="14">
        <v>1.9820692225788299E-2</v>
      </c>
      <c r="AE12" s="14">
        <v>4.0064686372200599E-2</v>
      </c>
      <c r="AF12" s="14">
        <v>0</v>
      </c>
      <c r="AG12" s="14">
        <v>0</v>
      </c>
      <c r="AH12" s="14"/>
      <c r="AI12" s="14">
        <v>0</v>
      </c>
      <c r="AJ12" s="14">
        <v>2.6569025074224598E-2</v>
      </c>
      <c r="AK12" s="14">
        <v>0</v>
      </c>
      <c r="AL12" s="14">
        <v>0</v>
      </c>
      <c r="AM12" s="14">
        <v>7.4443598530682706E-2</v>
      </c>
      <c r="AN12" s="14">
        <v>6.7946696316759397E-2</v>
      </c>
      <c r="AO12" s="14"/>
      <c r="AP12" s="14">
        <v>2.6652799249288501E-2</v>
      </c>
      <c r="AQ12" s="14">
        <v>1.2970677080223101E-2</v>
      </c>
      <c r="AR12" s="14"/>
      <c r="AS12" s="14" t="s">
        <v>88</v>
      </c>
      <c r="AT12" s="14">
        <v>2.10698915102309E-2</v>
      </c>
      <c r="AU12" s="14" t="s">
        <v>88</v>
      </c>
      <c r="AV12" s="14"/>
      <c r="AW12" s="14">
        <v>2.7215206113703198E-2</v>
      </c>
      <c r="AX12" s="14">
        <v>0</v>
      </c>
      <c r="AY12" s="14"/>
      <c r="AZ12" s="14">
        <v>1.40734192962731E-2</v>
      </c>
      <c r="BA12" s="14">
        <v>4.62689162796577E-2</v>
      </c>
    </row>
    <row r="13" spans="2:53" x14ac:dyDescent="0.35">
      <c r="B13" s="15" t="s">
        <v>116</v>
      </c>
      <c r="C13" s="18">
        <v>2.3965180864694499E-2</v>
      </c>
      <c r="D13" s="18">
        <v>0</v>
      </c>
      <c r="E13" s="18">
        <v>4.4219289607968303E-2</v>
      </c>
      <c r="F13" s="18"/>
      <c r="G13" s="18" t="s">
        <v>88</v>
      </c>
      <c r="H13" s="18">
        <v>4.30760934955925E-2</v>
      </c>
      <c r="I13" s="18">
        <v>4.7727179521336698E-3</v>
      </c>
      <c r="J13" s="18">
        <v>6.1643978514723002E-2</v>
      </c>
      <c r="K13" s="18">
        <v>0</v>
      </c>
      <c r="L13" s="18" t="s">
        <v>88</v>
      </c>
      <c r="M13" s="18"/>
      <c r="N13" s="18">
        <v>1.0000247295447001E-2</v>
      </c>
      <c r="O13" s="18">
        <v>1.29564557684158E-2</v>
      </c>
      <c r="P13" s="18">
        <v>0</v>
      </c>
      <c r="Q13" s="18">
        <v>6.2259131257910702E-2</v>
      </c>
      <c r="R13" s="18"/>
      <c r="S13" s="18">
        <v>0</v>
      </c>
      <c r="T13" s="18">
        <v>3.7647102551855202E-2</v>
      </c>
      <c r="U13" s="18">
        <v>0</v>
      </c>
      <c r="V13" s="18">
        <v>9.2503490614734896E-2</v>
      </c>
      <c r="W13" s="18">
        <v>0</v>
      </c>
      <c r="X13" s="18">
        <v>3.29922913215389E-2</v>
      </c>
      <c r="Y13" s="18">
        <v>2.7764505041413201E-2</v>
      </c>
      <c r="Z13" s="18">
        <v>0</v>
      </c>
      <c r="AA13" s="18">
        <v>2.6785990641222002E-2</v>
      </c>
      <c r="AB13" s="18"/>
      <c r="AC13" s="18">
        <v>0.13217660420699701</v>
      </c>
      <c r="AD13" s="18">
        <v>2.64901651819302E-2</v>
      </c>
      <c r="AE13" s="18">
        <v>0</v>
      </c>
      <c r="AF13" s="18">
        <v>0</v>
      </c>
      <c r="AG13" s="18">
        <v>0</v>
      </c>
      <c r="AH13" s="18"/>
      <c r="AI13" s="18">
        <v>9.6267171405543701E-3</v>
      </c>
      <c r="AJ13" s="18">
        <v>4.3719024507951898E-2</v>
      </c>
      <c r="AK13" s="18">
        <v>0</v>
      </c>
      <c r="AL13" s="18">
        <v>5.7572946175558998E-2</v>
      </c>
      <c r="AM13" s="18">
        <v>0</v>
      </c>
      <c r="AN13" s="18">
        <v>0</v>
      </c>
      <c r="AO13" s="18"/>
      <c r="AP13" s="18">
        <v>0</v>
      </c>
      <c r="AQ13" s="18">
        <v>5.8731855821397602E-2</v>
      </c>
      <c r="AR13" s="18"/>
      <c r="AS13" s="18" t="s">
        <v>88</v>
      </c>
      <c r="AT13" s="18">
        <v>2.3965180864694499E-2</v>
      </c>
      <c r="AU13" s="18" t="s">
        <v>88</v>
      </c>
      <c r="AV13" s="18"/>
      <c r="AW13" s="18">
        <v>3.0954945186506599E-2</v>
      </c>
      <c r="AX13" s="18">
        <v>0</v>
      </c>
      <c r="AY13" s="18"/>
      <c r="AZ13" s="18">
        <v>1.2717592127588301E-2</v>
      </c>
      <c r="BA13" s="18">
        <v>6.4475349205995694E-2</v>
      </c>
    </row>
    <row r="14" spans="2:53" x14ac:dyDescent="0.35">
      <c r="B14" s="26" t="s">
        <v>224</v>
      </c>
      <c r="C14" s="27">
        <v>0.78303111193101604</v>
      </c>
      <c r="D14" s="27">
        <v>0.86391921819717499</v>
      </c>
      <c r="E14" s="27">
        <v>0.71466874447791395</v>
      </c>
      <c r="F14" s="27"/>
      <c r="G14" s="27" t="s">
        <v>88</v>
      </c>
      <c r="H14" s="27">
        <v>0.79123427157779602</v>
      </c>
      <c r="I14" s="27">
        <v>0.76081146387472298</v>
      </c>
      <c r="J14" s="27">
        <v>0.81097621750638005</v>
      </c>
      <c r="K14" s="27">
        <v>0.88622350519791804</v>
      </c>
      <c r="L14" s="27" t="s">
        <v>88</v>
      </c>
      <c r="M14" s="27"/>
      <c r="N14" s="27">
        <v>0.83972971920850004</v>
      </c>
      <c r="O14" s="27">
        <v>0.72551514637442405</v>
      </c>
      <c r="P14" s="27">
        <v>0.69441551668120804</v>
      </c>
      <c r="Q14" s="27">
        <v>0.84399524627338895</v>
      </c>
      <c r="R14" s="27"/>
      <c r="S14" s="27">
        <v>0.83421055065559202</v>
      </c>
      <c r="T14" s="27">
        <v>0.771404840595174</v>
      </c>
      <c r="U14" s="27">
        <v>0.94189631003577101</v>
      </c>
      <c r="V14" s="27">
        <v>0.65269915027902103</v>
      </c>
      <c r="W14" s="27">
        <v>0.86051667238845297</v>
      </c>
      <c r="X14" s="27">
        <v>0.72459297835260394</v>
      </c>
      <c r="Y14" s="27">
        <v>0.83179936113272901</v>
      </c>
      <c r="Z14" s="27">
        <v>0.789889225110191</v>
      </c>
      <c r="AA14" s="27">
        <v>0.67322109401424901</v>
      </c>
      <c r="AB14" s="27"/>
      <c r="AC14" s="27">
        <v>0.73656095328577997</v>
      </c>
      <c r="AD14" s="27">
        <v>0.79935710133312099</v>
      </c>
      <c r="AE14" s="27">
        <v>0.747636600357519</v>
      </c>
      <c r="AF14" s="27">
        <v>0.83366975199265303</v>
      </c>
      <c r="AG14" s="27">
        <v>1</v>
      </c>
      <c r="AH14" s="27"/>
      <c r="AI14" s="27">
        <v>0.78736468781172697</v>
      </c>
      <c r="AJ14" s="27">
        <v>0.836240417216912</v>
      </c>
      <c r="AK14" s="27">
        <v>0.62311586139975295</v>
      </c>
      <c r="AL14" s="27">
        <v>0.86935129230090802</v>
      </c>
      <c r="AM14" s="27">
        <v>0.74504744236572995</v>
      </c>
      <c r="AN14" s="27">
        <v>0.70095633413550396</v>
      </c>
      <c r="AO14" s="27"/>
      <c r="AP14" s="27">
        <v>0.80270643099934103</v>
      </c>
      <c r="AQ14" s="27">
        <v>0.75448780877048605</v>
      </c>
      <c r="AR14" s="27"/>
      <c r="AS14" s="27" t="s">
        <v>88</v>
      </c>
      <c r="AT14" s="27">
        <v>0.78303111193101604</v>
      </c>
      <c r="AU14" s="27" t="s">
        <v>88</v>
      </c>
      <c r="AV14" s="27"/>
      <c r="AW14" s="27">
        <v>0.75646364169729197</v>
      </c>
      <c r="AX14" s="27">
        <v>0.83217395550974205</v>
      </c>
      <c r="AY14" s="27"/>
      <c r="AZ14" s="27">
        <v>0.841835480999096</v>
      </c>
      <c r="BA14" s="27">
        <v>0.57123683799094405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B2:BA16"/>
  <sheetViews>
    <sheetView showGridLines="0" workbookViewId="0">
      <pane xSplit="2" topLeftCell="C1" activePane="topRight" state="frozen"/>
      <selection pane="topRight" activeCell="B7" sqref="B7:BA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326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383</v>
      </c>
      <c r="D7" s="10">
        <v>141</v>
      </c>
      <c r="E7" s="10">
        <v>242</v>
      </c>
      <c r="F7" s="10"/>
      <c r="G7" s="10">
        <v>1</v>
      </c>
      <c r="H7" s="10">
        <v>103</v>
      </c>
      <c r="I7" s="10">
        <v>197</v>
      </c>
      <c r="J7" s="10">
        <v>70</v>
      </c>
      <c r="K7" s="10">
        <v>10</v>
      </c>
      <c r="L7" s="10">
        <v>2</v>
      </c>
      <c r="M7" s="10"/>
      <c r="N7" s="10">
        <v>138</v>
      </c>
      <c r="O7" s="10">
        <v>111</v>
      </c>
      <c r="P7" s="10">
        <v>55</v>
      </c>
      <c r="Q7" s="10">
        <v>78</v>
      </c>
      <c r="R7" s="10"/>
      <c r="S7" s="10">
        <v>69</v>
      </c>
      <c r="T7" s="10">
        <v>61</v>
      </c>
      <c r="U7" s="10">
        <v>28</v>
      </c>
      <c r="V7" s="10">
        <v>26</v>
      </c>
      <c r="W7" s="10">
        <v>35</v>
      </c>
      <c r="X7" s="10">
        <v>49</v>
      </c>
      <c r="Y7" s="10">
        <v>42</v>
      </c>
      <c r="Z7" s="10">
        <v>16</v>
      </c>
      <c r="AA7" s="10">
        <v>57</v>
      </c>
      <c r="AB7" s="10"/>
      <c r="AC7" s="10">
        <v>46</v>
      </c>
      <c r="AD7" s="10">
        <v>81</v>
      </c>
      <c r="AE7" s="10">
        <v>122</v>
      </c>
      <c r="AF7" s="10">
        <v>82</v>
      </c>
      <c r="AG7" s="10">
        <v>9</v>
      </c>
      <c r="AH7" s="10"/>
      <c r="AI7" s="10">
        <v>138</v>
      </c>
      <c r="AJ7" s="10">
        <v>73</v>
      </c>
      <c r="AK7" s="10">
        <v>29</v>
      </c>
      <c r="AL7" s="10">
        <v>53</v>
      </c>
      <c r="AM7" s="10">
        <v>20</v>
      </c>
      <c r="AN7" s="10">
        <v>27</v>
      </c>
      <c r="AO7" s="10"/>
      <c r="AP7" s="10">
        <v>209</v>
      </c>
      <c r="AQ7" s="10">
        <v>174</v>
      </c>
      <c r="AR7" s="10"/>
      <c r="AS7" s="10" t="s">
        <v>87</v>
      </c>
      <c r="AT7" s="10">
        <v>383</v>
      </c>
      <c r="AU7" s="10" t="s">
        <v>87</v>
      </c>
      <c r="AV7" s="10"/>
      <c r="AW7" s="10">
        <v>294</v>
      </c>
      <c r="AX7" s="10">
        <v>72</v>
      </c>
      <c r="AY7" s="10"/>
      <c r="AZ7" s="10">
        <v>295</v>
      </c>
      <c r="BA7" s="10">
        <v>85</v>
      </c>
    </row>
    <row r="8" spans="2:53" ht="30" customHeight="1" x14ac:dyDescent="0.35">
      <c r="B8" s="11" t="s">
        <v>19</v>
      </c>
      <c r="C8" s="11">
        <v>390</v>
      </c>
      <c r="D8" s="11">
        <v>177</v>
      </c>
      <c r="E8" s="11">
        <v>213</v>
      </c>
      <c r="F8" s="11"/>
      <c r="G8" s="11">
        <v>2</v>
      </c>
      <c r="H8" s="11">
        <v>104</v>
      </c>
      <c r="I8" s="11">
        <v>198</v>
      </c>
      <c r="J8" s="11">
        <v>69</v>
      </c>
      <c r="K8" s="11">
        <v>14</v>
      </c>
      <c r="L8" s="11">
        <v>3</v>
      </c>
      <c r="M8" s="11"/>
      <c r="N8" s="11">
        <v>88</v>
      </c>
      <c r="O8" s="11">
        <v>116</v>
      </c>
      <c r="P8" s="11">
        <v>75</v>
      </c>
      <c r="Q8" s="11">
        <v>111</v>
      </c>
      <c r="R8" s="11"/>
      <c r="S8" s="11">
        <v>59</v>
      </c>
      <c r="T8" s="11">
        <v>65</v>
      </c>
      <c r="U8" s="11">
        <v>34</v>
      </c>
      <c r="V8" s="11">
        <v>32</v>
      </c>
      <c r="W8" s="11">
        <v>37</v>
      </c>
      <c r="X8" s="11">
        <v>49</v>
      </c>
      <c r="Y8" s="11">
        <v>40</v>
      </c>
      <c r="Z8" s="11">
        <v>15</v>
      </c>
      <c r="AA8" s="11">
        <v>58</v>
      </c>
      <c r="AB8" s="11"/>
      <c r="AC8" s="11">
        <v>63</v>
      </c>
      <c r="AD8" s="11">
        <v>88</v>
      </c>
      <c r="AE8" s="11">
        <v>114</v>
      </c>
      <c r="AF8" s="11">
        <v>72</v>
      </c>
      <c r="AG8" s="11">
        <v>4</v>
      </c>
      <c r="AH8" s="11"/>
      <c r="AI8" s="11">
        <v>144</v>
      </c>
      <c r="AJ8" s="11">
        <v>70</v>
      </c>
      <c r="AK8" s="11">
        <v>27</v>
      </c>
      <c r="AL8" s="11">
        <v>52</v>
      </c>
      <c r="AM8" s="11">
        <v>21</v>
      </c>
      <c r="AN8" s="11">
        <v>27</v>
      </c>
      <c r="AO8" s="11"/>
      <c r="AP8" s="11">
        <v>222</v>
      </c>
      <c r="AQ8" s="11">
        <v>168</v>
      </c>
      <c r="AR8" s="11"/>
      <c r="AS8" s="11" t="s">
        <v>87</v>
      </c>
      <c r="AT8" s="11">
        <v>390</v>
      </c>
      <c r="AU8" s="11" t="s">
        <v>87</v>
      </c>
      <c r="AV8" s="11"/>
      <c r="AW8" s="11">
        <v>311</v>
      </c>
      <c r="AX8" s="11">
        <v>58</v>
      </c>
      <c r="AY8" s="11"/>
      <c r="AZ8" s="11">
        <v>299</v>
      </c>
      <c r="BA8" s="11">
        <v>87</v>
      </c>
    </row>
    <row r="9" spans="2:53" x14ac:dyDescent="0.35">
      <c r="B9" s="15" t="s">
        <v>154</v>
      </c>
      <c r="C9" s="14">
        <v>0.31738542040583001</v>
      </c>
      <c r="D9" s="14">
        <v>0.35203886263710099</v>
      </c>
      <c r="E9" s="14">
        <v>0.28854771854124101</v>
      </c>
      <c r="F9" s="14"/>
      <c r="G9" s="14">
        <v>1</v>
      </c>
      <c r="H9" s="14">
        <v>0.243257454258548</v>
      </c>
      <c r="I9" s="14">
        <v>0.40370555328854202</v>
      </c>
      <c r="J9" s="14">
        <v>0.199293698259708</v>
      </c>
      <c r="K9" s="14">
        <v>0.20484482589524899</v>
      </c>
      <c r="L9" s="14">
        <v>0</v>
      </c>
      <c r="M9" s="14"/>
      <c r="N9" s="14">
        <v>0.41540254332375098</v>
      </c>
      <c r="O9" s="14">
        <v>0.25292606582101801</v>
      </c>
      <c r="P9" s="14">
        <v>0.33130662611197398</v>
      </c>
      <c r="Q9" s="14">
        <v>0.30077865506663898</v>
      </c>
      <c r="R9" s="14"/>
      <c r="S9" s="14">
        <v>0.35914000090113501</v>
      </c>
      <c r="T9" s="14">
        <v>0.40157627346745001</v>
      </c>
      <c r="U9" s="14">
        <v>0.296006711836793</v>
      </c>
      <c r="V9" s="14">
        <v>8.5076307492516795E-2</v>
      </c>
      <c r="W9" s="14">
        <v>0.24253757393947301</v>
      </c>
      <c r="X9" s="14">
        <v>0.35939282379405602</v>
      </c>
      <c r="Y9" s="14">
        <v>0.42206399062656502</v>
      </c>
      <c r="Z9" s="14">
        <v>0.42703609777511498</v>
      </c>
      <c r="AA9" s="14">
        <v>0.233457531118786</v>
      </c>
      <c r="AB9" s="14"/>
      <c r="AC9" s="14">
        <v>0.19857959121932101</v>
      </c>
      <c r="AD9" s="14">
        <v>0.26845031658629298</v>
      </c>
      <c r="AE9" s="14">
        <v>0.31274221401787899</v>
      </c>
      <c r="AF9" s="14">
        <v>0.49423368682109903</v>
      </c>
      <c r="AG9" s="14">
        <v>0.79157942734094699</v>
      </c>
      <c r="AH9" s="14"/>
      <c r="AI9" s="14">
        <v>0.340776314908255</v>
      </c>
      <c r="AJ9" s="14">
        <v>0.35332735867555298</v>
      </c>
      <c r="AK9" s="14">
        <v>0.43506542478504101</v>
      </c>
      <c r="AL9" s="14">
        <v>0.268108847738732</v>
      </c>
      <c r="AM9" s="14">
        <v>0.26947061987731402</v>
      </c>
      <c r="AN9" s="14">
        <v>0.28302741988238</v>
      </c>
      <c r="AO9" s="14"/>
      <c r="AP9" s="14">
        <v>0.32546586627871499</v>
      </c>
      <c r="AQ9" s="14">
        <v>0.306688830730868</v>
      </c>
      <c r="AR9" s="14"/>
      <c r="AS9" s="14" t="s">
        <v>88</v>
      </c>
      <c r="AT9" s="14">
        <v>0.31738542040583001</v>
      </c>
      <c r="AU9" s="14" t="s">
        <v>88</v>
      </c>
      <c r="AV9" s="14"/>
      <c r="AW9" s="14">
        <v>0.29439515459620402</v>
      </c>
      <c r="AX9" s="14">
        <v>0.34717601369199602</v>
      </c>
      <c r="AY9" s="14"/>
      <c r="AZ9" s="14">
        <v>0.35275199418062497</v>
      </c>
      <c r="BA9" s="14">
        <v>0.21298969605818399</v>
      </c>
    </row>
    <row r="10" spans="2:53" x14ac:dyDescent="0.35">
      <c r="B10" s="15" t="s">
        <v>155</v>
      </c>
      <c r="C10" s="14">
        <v>0.36630340149447699</v>
      </c>
      <c r="D10" s="14">
        <v>0.32018422706122701</v>
      </c>
      <c r="E10" s="14">
        <v>0.40468259031130499</v>
      </c>
      <c r="F10" s="14"/>
      <c r="G10" s="14">
        <v>0</v>
      </c>
      <c r="H10" s="14">
        <v>0.44947820325122101</v>
      </c>
      <c r="I10" s="14">
        <v>0.348759475121451</v>
      </c>
      <c r="J10" s="14">
        <v>0.31489312501091099</v>
      </c>
      <c r="K10" s="14">
        <v>0.39400166803589398</v>
      </c>
      <c r="L10" s="14">
        <v>0</v>
      </c>
      <c r="M10" s="14"/>
      <c r="N10" s="14">
        <v>0.35179819078160401</v>
      </c>
      <c r="O10" s="14">
        <v>0.43333376970450199</v>
      </c>
      <c r="P10" s="14">
        <v>0.39724144376780701</v>
      </c>
      <c r="Q10" s="14">
        <v>0.29025625959041501</v>
      </c>
      <c r="R10" s="14"/>
      <c r="S10" s="14">
        <v>0.38289715739547397</v>
      </c>
      <c r="T10" s="14">
        <v>0.37587296332821901</v>
      </c>
      <c r="U10" s="14">
        <v>0.30075517331108398</v>
      </c>
      <c r="V10" s="14">
        <v>0.53808733521655805</v>
      </c>
      <c r="W10" s="14">
        <v>0.44068817464767102</v>
      </c>
      <c r="X10" s="14">
        <v>0.243095440357885</v>
      </c>
      <c r="Y10" s="14">
        <v>0.32885415951959102</v>
      </c>
      <c r="Z10" s="14">
        <v>0.19210010666678501</v>
      </c>
      <c r="AA10" s="14">
        <v>0.40916091216603301</v>
      </c>
      <c r="AB10" s="14"/>
      <c r="AC10" s="14">
        <v>0.32763785940667201</v>
      </c>
      <c r="AD10" s="14">
        <v>0.42958775078710998</v>
      </c>
      <c r="AE10" s="14">
        <v>0.34875347259829997</v>
      </c>
      <c r="AF10" s="14">
        <v>0.34243899743673101</v>
      </c>
      <c r="AG10" s="14">
        <v>9.1110381110093105E-2</v>
      </c>
      <c r="AH10" s="14"/>
      <c r="AI10" s="14">
        <v>0.39298423550890699</v>
      </c>
      <c r="AJ10" s="14">
        <v>0.31903446330630703</v>
      </c>
      <c r="AK10" s="14">
        <v>0.31420239275209799</v>
      </c>
      <c r="AL10" s="14">
        <v>0.335780185018898</v>
      </c>
      <c r="AM10" s="14">
        <v>0.22524960773703501</v>
      </c>
      <c r="AN10" s="14">
        <v>0.412874907690779</v>
      </c>
      <c r="AO10" s="14"/>
      <c r="AP10" s="14">
        <v>0.38672287856350801</v>
      </c>
      <c r="AQ10" s="14">
        <v>0.339272867410009</v>
      </c>
      <c r="AR10" s="14"/>
      <c r="AS10" s="14" t="s">
        <v>88</v>
      </c>
      <c r="AT10" s="14">
        <v>0.36630340149447699</v>
      </c>
      <c r="AU10" s="14" t="s">
        <v>88</v>
      </c>
      <c r="AV10" s="14"/>
      <c r="AW10" s="14">
        <v>0.3509438216304</v>
      </c>
      <c r="AX10" s="14">
        <v>0.487613574919395</v>
      </c>
      <c r="AY10" s="14"/>
      <c r="AZ10" s="14">
        <v>0.35855902330377798</v>
      </c>
      <c r="BA10" s="14">
        <v>0.39939615239133502</v>
      </c>
    </row>
    <row r="11" spans="2:53" x14ac:dyDescent="0.35">
      <c r="B11" s="15" t="s">
        <v>116</v>
      </c>
      <c r="C11" s="23">
        <v>0.316311178099694</v>
      </c>
      <c r="D11" s="23">
        <v>0.327776910301672</v>
      </c>
      <c r="E11" s="23">
        <v>0.306769691147455</v>
      </c>
      <c r="F11" s="23"/>
      <c r="G11" s="23">
        <v>0</v>
      </c>
      <c r="H11" s="23">
        <v>0.30726434249023099</v>
      </c>
      <c r="I11" s="23">
        <v>0.24753497159000701</v>
      </c>
      <c r="J11" s="23">
        <v>0.48581317672938101</v>
      </c>
      <c r="K11" s="23">
        <v>0.40115350606885702</v>
      </c>
      <c r="L11" s="23">
        <v>1</v>
      </c>
      <c r="M11" s="23"/>
      <c r="N11" s="23">
        <v>0.232799265894645</v>
      </c>
      <c r="O11" s="23">
        <v>0.313740164474479</v>
      </c>
      <c r="P11" s="23">
        <v>0.27145193012022001</v>
      </c>
      <c r="Q11" s="23">
        <v>0.40896508534294601</v>
      </c>
      <c r="R11" s="23"/>
      <c r="S11" s="23">
        <v>0.25796284170339001</v>
      </c>
      <c r="T11" s="23">
        <v>0.22255076320433101</v>
      </c>
      <c r="U11" s="23">
        <v>0.40323811485212302</v>
      </c>
      <c r="V11" s="23">
        <v>0.37683635729092502</v>
      </c>
      <c r="W11" s="23">
        <v>0.31677425141285598</v>
      </c>
      <c r="X11" s="23">
        <v>0.39751173584805899</v>
      </c>
      <c r="Y11" s="23">
        <v>0.24908184985384399</v>
      </c>
      <c r="Z11" s="23">
        <v>0.38086379555809902</v>
      </c>
      <c r="AA11" s="23">
        <v>0.35738155671518201</v>
      </c>
      <c r="AB11" s="23"/>
      <c r="AC11" s="23">
        <v>0.47378254937400699</v>
      </c>
      <c r="AD11" s="23">
        <v>0.30196193262659698</v>
      </c>
      <c r="AE11" s="23">
        <v>0.33850431338382098</v>
      </c>
      <c r="AF11" s="23">
        <v>0.16332731574216999</v>
      </c>
      <c r="AG11" s="23">
        <v>0.11731019154896</v>
      </c>
      <c r="AH11" s="23"/>
      <c r="AI11" s="23">
        <v>0.26623944958283702</v>
      </c>
      <c r="AJ11" s="23">
        <v>0.32763817801813999</v>
      </c>
      <c r="AK11" s="23">
        <v>0.250732182462861</v>
      </c>
      <c r="AL11" s="23">
        <v>0.39611096724236999</v>
      </c>
      <c r="AM11" s="23">
        <v>0.50527977238565103</v>
      </c>
      <c r="AN11" s="23">
        <v>0.30409767242684099</v>
      </c>
      <c r="AO11" s="23"/>
      <c r="AP11" s="23">
        <v>0.287811255157777</v>
      </c>
      <c r="AQ11" s="23">
        <v>0.35403830185912399</v>
      </c>
      <c r="AR11" s="23"/>
      <c r="AS11" s="23" t="s">
        <v>88</v>
      </c>
      <c r="AT11" s="23">
        <v>0.316311178099694</v>
      </c>
      <c r="AU11" s="23" t="s">
        <v>88</v>
      </c>
      <c r="AV11" s="23"/>
      <c r="AW11" s="23">
        <v>0.35466102377339498</v>
      </c>
      <c r="AX11" s="23">
        <v>0.16521041138860901</v>
      </c>
      <c r="AY11" s="23"/>
      <c r="AZ11" s="23">
        <v>0.28868898251559699</v>
      </c>
      <c r="BA11" s="23">
        <v>0.38761415155048101</v>
      </c>
    </row>
    <row r="12" spans="2:53" x14ac:dyDescent="0.35">
      <c r="B12" s="16" t="s">
        <v>320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B2:BA18"/>
  <sheetViews>
    <sheetView showGridLines="0" workbookViewId="0">
      <pane xSplit="2" topLeftCell="C1" activePane="topRight" state="frozen"/>
      <selection pane="topRight" activeCell="C15" sqref="C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327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128</v>
      </c>
      <c r="D7" s="10">
        <v>54</v>
      </c>
      <c r="E7" s="10">
        <v>74</v>
      </c>
      <c r="F7" s="10"/>
      <c r="G7" s="10">
        <v>1</v>
      </c>
      <c r="H7" s="10">
        <v>30</v>
      </c>
      <c r="I7" s="10">
        <v>81</v>
      </c>
      <c r="J7" s="10">
        <v>13</v>
      </c>
      <c r="K7" s="10">
        <v>3</v>
      </c>
      <c r="L7" s="10" t="s">
        <v>87</v>
      </c>
      <c r="M7" s="10"/>
      <c r="N7" s="10">
        <v>59</v>
      </c>
      <c r="O7" s="10">
        <v>27</v>
      </c>
      <c r="P7" s="10">
        <v>18</v>
      </c>
      <c r="Q7" s="10">
        <v>24</v>
      </c>
      <c r="R7" s="10"/>
      <c r="S7" s="10">
        <v>29</v>
      </c>
      <c r="T7" s="10">
        <v>21</v>
      </c>
      <c r="U7" s="10">
        <v>8</v>
      </c>
      <c r="V7" s="10">
        <v>4</v>
      </c>
      <c r="W7" s="10">
        <v>10</v>
      </c>
      <c r="X7" s="10">
        <v>19</v>
      </c>
      <c r="Y7" s="10">
        <v>18</v>
      </c>
      <c r="Z7" s="10">
        <v>6</v>
      </c>
      <c r="AA7" s="10">
        <v>13</v>
      </c>
      <c r="AB7" s="10"/>
      <c r="AC7" s="10">
        <v>10</v>
      </c>
      <c r="AD7" s="10">
        <v>22</v>
      </c>
      <c r="AE7" s="10">
        <v>36</v>
      </c>
      <c r="AF7" s="10">
        <v>42</v>
      </c>
      <c r="AG7" s="10">
        <v>6</v>
      </c>
      <c r="AH7" s="10"/>
      <c r="AI7" s="10">
        <v>49</v>
      </c>
      <c r="AJ7" s="10">
        <v>28</v>
      </c>
      <c r="AK7" s="10">
        <v>12</v>
      </c>
      <c r="AL7" s="10">
        <v>14</v>
      </c>
      <c r="AM7" s="10">
        <v>6</v>
      </c>
      <c r="AN7" s="10">
        <v>7</v>
      </c>
      <c r="AO7" s="10"/>
      <c r="AP7" s="10">
        <v>72</v>
      </c>
      <c r="AQ7" s="10">
        <v>56</v>
      </c>
      <c r="AR7" s="10"/>
      <c r="AS7" s="10" t="s">
        <v>87</v>
      </c>
      <c r="AT7" s="10">
        <v>128</v>
      </c>
      <c r="AU7" s="10" t="s">
        <v>87</v>
      </c>
      <c r="AV7" s="10"/>
      <c r="AW7" s="10">
        <v>91</v>
      </c>
      <c r="AX7" s="10">
        <v>28</v>
      </c>
      <c r="AY7" s="10"/>
      <c r="AZ7" s="10">
        <v>110</v>
      </c>
      <c r="BA7" s="10">
        <v>18</v>
      </c>
    </row>
    <row r="8" spans="2:53" ht="30" customHeight="1" x14ac:dyDescent="0.35">
      <c r="B8" s="11" t="s">
        <v>19</v>
      </c>
      <c r="C8" s="11">
        <v>124</v>
      </c>
      <c r="D8" s="11">
        <v>62</v>
      </c>
      <c r="E8" s="11">
        <v>61</v>
      </c>
      <c r="F8" s="11"/>
      <c r="G8" s="11">
        <v>2</v>
      </c>
      <c r="H8" s="11">
        <v>25</v>
      </c>
      <c r="I8" s="11">
        <v>80</v>
      </c>
      <c r="J8" s="11">
        <v>14</v>
      </c>
      <c r="K8" s="11">
        <v>3</v>
      </c>
      <c r="L8" s="11" t="s">
        <v>87</v>
      </c>
      <c r="M8" s="11"/>
      <c r="N8" s="11">
        <v>36</v>
      </c>
      <c r="O8" s="11">
        <v>29</v>
      </c>
      <c r="P8" s="11">
        <v>25</v>
      </c>
      <c r="Q8" s="11">
        <v>33</v>
      </c>
      <c r="R8" s="11"/>
      <c r="S8" s="11">
        <v>21</v>
      </c>
      <c r="T8" s="11">
        <v>26</v>
      </c>
      <c r="U8" s="11">
        <v>10</v>
      </c>
      <c r="V8" s="11">
        <v>3</v>
      </c>
      <c r="W8" s="11">
        <v>9</v>
      </c>
      <c r="X8" s="11">
        <v>18</v>
      </c>
      <c r="Y8" s="11">
        <v>17</v>
      </c>
      <c r="Z8" s="11">
        <v>6</v>
      </c>
      <c r="AA8" s="11">
        <v>14</v>
      </c>
      <c r="AB8" s="11"/>
      <c r="AC8" s="11">
        <v>13</v>
      </c>
      <c r="AD8" s="11">
        <v>24</v>
      </c>
      <c r="AE8" s="11">
        <v>36</v>
      </c>
      <c r="AF8" s="11">
        <v>36</v>
      </c>
      <c r="AG8" s="11">
        <v>4</v>
      </c>
      <c r="AH8" s="11"/>
      <c r="AI8" s="11">
        <v>49</v>
      </c>
      <c r="AJ8" s="11">
        <v>25</v>
      </c>
      <c r="AK8" s="11">
        <v>12</v>
      </c>
      <c r="AL8" s="11">
        <v>14</v>
      </c>
      <c r="AM8" s="11">
        <v>6</v>
      </c>
      <c r="AN8" s="11">
        <v>8</v>
      </c>
      <c r="AO8" s="11"/>
      <c r="AP8" s="11">
        <v>72</v>
      </c>
      <c r="AQ8" s="11">
        <v>51</v>
      </c>
      <c r="AR8" s="11"/>
      <c r="AS8" s="11" t="s">
        <v>87</v>
      </c>
      <c r="AT8" s="11">
        <v>124</v>
      </c>
      <c r="AU8" s="11" t="s">
        <v>87</v>
      </c>
      <c r="AV8" s="11"/>
      <c r="AW8" s="11">
        <v>92</v>
      </c>
      <c r="AX8" s="11">
        <v>20</v>
      </c>
      <c r="AY8" s="11"/>
      <c r="AZ8" s="11">
        <v>105</v>
      </c>
      <c r="BA8" s="11">
        <v>19</v>
      </c>
    </row>
    <row r="9" spans="2:53" x14ac:dyDescent="0.35">
      <c r="B9" s="15" t="s">
        <v>214</v>
      </c>
      <c r="C9" s="14">
        <v>0.246840942022792</v>
      </c>
      <c r="D9" s="14">
        <v>0.21201913931417099</v>
      </c>
      <c r="E9" s="14">
        <v>0.28219493584594402</v>
      </c>
      <c r="F9" s="14"/>
      <c r="G9" s="14">
        <v>0</v>
      </c>
      <c r="H9" s="14">
        <v>0.25604569134119298</v>
      </c>
      <c r="I9" s="14">
        <v>0.30133681670330098</v>
      </c>
      <c r="J9" s="14">
        <v>0</v>
      </c>
      <c r="K9" s="14">
        <v>0</v>
      </c>
      <c r="L9" s="14" t="s">
        <v>88</v>
      </c>
      <c r="M9" s="14"/>
      <c r="N9" s="14">
        <v>0.17700997936451399</v>
      </c>
      <c r="O9" s="14">
        <v>0.297429059935792</v>
      </c>
      <c r="P9" s="14">
        <v>0.17740681786749499</v>
      </c>
      <c r="Q9" s="14">
        <v>0.32992239191685102</v>
      </c>
      <c r="R9" s="14"/>
      <c r="S9" s="14">
        <v>0.29742117093891501</v>
      </c>
      <c r="T9" s="14">
        <v>5.9269832182089803E-2</v>
      </c>
      <c r="U9" s="14">
        <v>0.25465607508626198</v>
      </c>
      <c r="V9" s="14">
        <v>0.66378938688099998</v>
      </c>
      <c r="W9" s="14">
        <v>9.9082458643667895E-2</v>
      </c>
      <c r="X9" s="14">
        <v>0.38290007346847399</v>
      </c>
      <c r="Y9" s="14">
        <v>0.35765820442691498</v>
      </c>
      <c r="Z9" s="14">
        <v>0.53808150824087098</v>
      </c>
      <c r="AA9" s="14">
        <v>8.5434460811255705E-2</v>
      </c>
      <c r="AB9" s="14"/>
      <c r="AC9" s="14">
        <v>0.18859229859464799</v>
      </c>
      <c r="AD9" s="14">
        <v>0.22267624028045299</v>
      </c>
      <c r="AE9" s="14">
        <v>0.27933481208988797</v>
      </c>
      <c r="AF9" s="14">
        <v>0.27818227744521801</v>
      </c>
      <c r="AG9" s="14">
        <v>0.194471390537484</v>
      </c>
      <c r="AH9" s="14"/>
      <c r="AI9" s="14">
        <v>0.26747292526613903</v>
      </c>
      <c r="AJ9" s="14">
        <v>0.24637326702404899</v>
      </c>
      <c r="AK9" s="14">
        <v>0.26315226790750301</v>
      </c>
      <c r="AL9" s="14">
        <v>0.21984420903340501</v>
      </c>
      <c r="AM9" s="14">
        <v>0.41720228594271203</v>
      </c>
      <c r="AN9" s="14">
        <v>0.16273181362884301</v>
      </c>
      <c r="AO9" s="14"/>
      <c r="AP9" s="14">
        <v>0.24839739132611699</v>
      </c>
      <c r="AQ9" s="14">
        <v>0.24465442693432701</v>
      </c>
      <c r="AR9" s="14"/>
      <c r="AS9" s="14" t="s">
        <v>88</v>
      </c>
      <c r="AT9" s="14">
        <v>0.246840942022792</v>
      </c>
      <c r="AU9" s="14" t="s">
        <v>88</v>
      </c>
      <c r="AV9" s="14"/>
      <c r="AW9" s="14">
        <v>0.25016989228363601</v>
      </c>
      <c r="AX9" s="14">
        <v>0.23636910782008499</v>
      </c>
      <c r="AY9" s="14"/>
      <c r="AZ9" s="14">
        <v>0.24098153633476699</v>
      </c>
      <c r="BA9" s="14">
        <v>0.28015745937962799</v>
      </c>
    </row>
    <row r="10" spans="2:53" x14ac:dyDescent="0.35">
      <c r="B10" s="15" t="s">
        <v>215</v>
      </c>
      <c r="C10" s="14">
        <v>0.51766567608657299</v>
      </c>
      <c r="D10" s="14">
        <v>0.58490596431155994</v>
      </c>
      <c r="E10" s="14">
        <v>0.44939773618509998</v>
      </c>
      <c r="F10" s="14"/>
      <c r="G10" s="14">
        <v>1</v>
      </c>
      <c r="H10" s="14">
        <v>0.43955364863475899</v>
      </c>
      <c r="I10" s="14">
        <v>0.48903810570394102</v>
      </c>
      <c r="J10" s="14">
        <v>0.65517948995034703</v>
      </c>
      <c r="K10" s="14">
        <v>1</v>
      </c>
      <c r="L10" s="14" t="s">
        <v>88</v>
      </c>
      <c r="M10" s="14"/>
      <c r="N10" s="14">
        <v>0.65712746057551397</v>
      </c>
      <c r="O10" s="14">
        <v>0.428106070450192</v>
      </c>
      <c r="P10" s="14">
        <v>0.53167763524823097</v>
      </c>
      <c r="Q10" s="14">
        <v>0.43403555339774502</v>
      </c>
      <c r="R10" s="14"/>
      <c r="S10" s="14">
        <v>0.52895728220827198</v>
      </c>
      <c r="T10" s="14">
        <v>0.61037676483296799</v>
      </c>
      <c r="U10" s="14">
        <v>0.74534392491373802</v>
      </c>
      <c r="V10" s="14">
        <v>0.33621061311900002</v>
      </c>
      <c r="W10" s="14">
        <v>0.40552611158035301</v>
      </c>
      <c r="X10" s="14">
        <v>0.36345500810478898</v>
      </c>
      <c r="Y10" s="14">
        <v>0.27254739289893598</v>
      </c>
      <c r="Z10" s="14">
        <v>0.46191849175912902</v>
      </c>
      <c r="AA10" s="14">
        <v>0.79564200858429102</v>
      </c>
      <c r="AB10" s="14"/>
      <c r="AC10" s="14">
        <v>0.556701748138139</v>
      </c>
      <c r="AD10" s="14">
        <v>0.46648696771889803</v>
      </c>
      <c r="AE10" s="14">
        <v>0.43800592464562699</v>
      </c>
      <c r="AF10" s="14">
        <v>0.52917307699891503</v>
      </c>
      <c r="AG10" s="14">
        <v>0.32842174375515398</v>
      </c>
      <c r="AH10" s="14"/>
      <c r="AI10" s="14">
        <v>0.55148963226611503</v>
      </c>
      <c r="AJ10" s="14">
        <v>0.49480418205065002</v>
      </c>
      <c r="AK10" s="14">
        <v>0.54202501953272297</v>
      </c>
      <c r="AL10" s="14">
        <v>0.63458808787912202</v>
      </c>
      <c r="AM10" s="14">
        <v>0.48570550429109699</v>
      </c>
      <c r="AN10" s="14">
        <v>0.58416888655383503</v>
      </c>
      <c r="AO10" s="14"/>
      <c r="AP10" s="14">
        <v>0.47696458525306801</v>
      </c>
      <c r="AQ10" s="14">
        <v>0.57484296354103304</v>
      </c>
      <c r="AR10" s="14"/>
      <c r="AS10" s="14" t="s">
        <v>88</v>
      </c>
      <c r="AT10" s="14">
        <v>0.51766567608657299</v>
      </c>
      <c r="AU10" s="14" t="s">
        <v>88</v>
      </c>
      <c r="AV10" s="14"/>
      <c r="AW10" s="14">
        <v>0.47592938283902098</v>
      </c>
      <c r="AX10" s="14">
        <v>0.61406988649808003</v>
      </c>
      <c r="AY10" s="14"/>
      <c r="AZ10" s="14">
        <v>0.52821514445254503</v>
      </c>
      <c r="BA10" s="14">
        <v>0.45768151307860999</v>
      </c>
    </row>
    <row r="11" spans="2:53" x14ac:dyDescent="0.35">
      <c r="B11" s="15" t="s">
        <v>216</v>
      </c>
      <c r="C11" s="14">
        <v>0.14706035364030801</v>
      </c>
      <c r="D11" s="14">
        <v>0.18706943508836199</v>
      </c>
      <c r="E11" s="14">
        <v>0.10643980248101199</v>
      </c>
      <c r="F11" s="14"/>
      <c r="G11" s="14">
        <v>0</v>
      </c>
      <c r="H11" s="14">
        <v>0.179178422350281</v>
      </c>
      <c r="I11" s="14">
        <v>0.124978263543829</v>
      </c>
      <c r="J11" s="14">
        <v>0.270114482677903</v>
      </c>
      <c r="K11" s="14">
        <v>0</v>
      </c>
      <c r="L11" s="14" t="s">
        <v>88</v>
      </c>
      <c r="M11" s="14"/>
      <c r="N11" s="14">
        <v>0.123298840134938</v>
      </c>
      <c r="O11" s="14">
        <v>0.24433148198502699</v>
      </c>
      <c r="P11" s="14">
        <v>0.18994553977957301</v>
      </c>
      <c r="Q11" s="14">
        <v>5.5869890684087799E-2</v>
      </c>
      <c r="R11" s="14"/>
      <c r="S11" s="14">
        <v>0.173621546852813</v>
      </c>
      <c r="T11" s="14">
        <v>0.102849591521173</v>
      </c>
      <c r="U11" s="14">
        <v>0</v>
      </c>
      <c r="V11" s="14">
        <v>0</v>
      </c>
      <c r="W11" s="14">
        <v>0.34144109833606001</v>
      </c>
      <c r="X11" s="14">
        <v>0.25364491842673698</v>
      </c>
      <c r="Y11" s="14">
        <v>0.215994454969623</v>
      </c>
      <c r="Z11" s="14">
        <v>0</v>
      </c>
      <c r="AA11" s="14">
        <v>4.51210730114485E-2</v>
      </c>
      <c r="AB11" s="14"/>
      <c r="AC11" s="14">
        <v>0.15483031654642701</v>
      </c>
      <c r="AD11" s="14">
        <v>0.22979915350237601</v>
      </c>
      <c r="AE11" s="14">
        <v>0.14676380253667101</v>
      </c>
      <c r="AF11" s="14">
        <v>0.13894624862646501</v>
      </c>
      <c r="AG11" s="14">
        <v>0.18723900043990899</v>
      </c>
      <c r="AH11" s="14"/>
      <c r="AI11" s="14">
        <v>0.13999871454821899</v>
      </c>
      <c r="AJ11" s="14">
        <v>0.15214799867138301</v>
      </c>
      <c r="AK11" s="14">
        <v>7.6480527708070706E-2</v>
      </c>
      <c r="AL11" s="14">
        <v>0.14556770308747399</v>
      </c>
      <c r="AM11" s="14">
        <v>0</v>
      </c>
      <c r="AN11" s="14">
        <v>8.7473223586558096E-2</v>
      </c>
      <c r="AO11" s="14"/>
      <c r="AP11" s="14">
        <v>0.19650420644185301</v>
      </c>
      <c r="AQ11" s="14">
        <v>7.7601149314445006E-2</v>
      </c>
      <c r="AR11" s="14"/>
      <c r="AS11" s="14" t="s">
        <v>88</v>
      </c>
      <c r="AT11" s="14">
        <v>0.14706035364030801</v>
      </c>
      <c r="AU11" s="14" t="s">
        <v>88</v>
      </c>
      <c r="AV11" s="14"/>
      <c r="AW11" s="14">
        <v>0.16560753804568401</v>
      </c>
      <c r="AX11" s="14">
        <v>0.149561005681835</v>
      </c>
      <c r="AY11" s="14"/>
      <c r="AZ11" s="14">
        <v>0.138685337825733</v>
      </c>
      <c r="BA11" s="14">
        <v>0.19468060296360001</v>
      </c>
    </row>
    <row r="12" spans="2:53" x14ac:dyDescent="0.35">
      <c r="B12" s="15" t="s">
        <v>217</v>
      </c>
      <c r="C12" s="14">
        <v>3.7719303262211401E-2</v>
      </c>
      <c r="D12" s="14">
        <v>0</v>
      </c>
      <c r="E12" s="14">
        <v>7.6015080930713699E-2</v>
      </c>
      <c r="F12" s="14"/>
      <c r="G12" s="14">
        <v>0</v>
      </c>
      <c r="H12" s="14">
        <v>4.0565036718374602E-2</v>
      </c>
      <c r="I12" s="14">
        <v>3.2825577060046199E-2</v>
      </c>
      <c r="J12" s="14">
        <v>7.4706027371750403E-2</v>
      </c>
      <c r="K12" s="14">
        <v>0</v>
      </c>
      <c r="L12" s="14" t="s">
        <v>88</v>
      </c>
      <c r="M12" s="14"/>
      <c r="N12" s="14">
        <v>0</v>
      </c>
      <c r="O12" s="14">
        <v>0</v>
      </c>
      <c r="P12" s="14">
        <v>5.0485003552350798E-2</v>
      </c>
      <c r="Q12" s="14">
        <v>0.10237728635174401</v>
      </c>
      <c r="R12" s="14"/>
      <c r="S12" s="14">
        <v>0</v>
      </c>
      <c r="T12" s="14">
        <v>4.7532129988147098E-2</v>
      </c>
      <c r="U12" s="14">
        <v>0</v>
      </c>
      <c r="V12" s="14">
        <v>0</v>
      </c>
      <c r="W12" s="14">
        <v>0.15395033143991901</v>
      </c>
      <c r="X12" s="14">
        <v>0</v>
      </c>
      <c r="Y12" s="14">
        <v>0.121220206807933</v>
      </c>
      <c r="Z12" s="14">
        <v>0</v>
      </c>
      <c r="AA12" s="14">
        <v>0</v>
      </c>
      <c r="AB12" s="14"/>
      <c r="AC12" s="14">
        <v>9.9875636720786198E-2</v>
      </c>
      <c r="AD12" s="14">
        <v>4.34778176670155E-2</v>
      </c>
      <c r="AE12" s="14">
        <v>3.8563031062851701E-2</v>
      </c>
      <c r="AF12" s="14">
        <v>0</v>
      </c>
      <c r="AG12" s="14">
        <v>0.28986786526745301</v>
      </c>
      <c r="AH12" s="14"/>
      <c r="AI12" s="14">
        <v>2.07566068135164E-2</v>
      </c>
      <c r="AJ12" s="14">
        <v>5.5925702406250999E-2</v>
      </c>
      <c r="AK12" s="14">
        <v>0</v>
      </c>
      <c r="AL12" s="14">
        <v>0</v>
      </c>
      <c r="AM12" s="14">
        <v>0</v>
      </c>
      <c r="AN12" s="14">
        <v>0.165626076230764</v>
      </c>
      <c r="AO12" s="14"/>
      <c r="AP12" s="14">
        <v>3.3165927581940299E-2</v>
      </c>
      <c r="AQ12" s="14">
        <v>4.4115929613677302E-2</v>
      </c>
      <c r="AR12" s="14"/>
      <c r="AS12" s="14" t="s">
        <v>88</v>
      </c>
      <c r="AT12" s="14">
        <v>3.7719303262211401E-2</v>
      </c>
      <c r="AU12" s="14" t="s">
        <v>88</v>
      </c>
      <c r="AV12" s="14"/>
      <c r="AW12" s="14">
        <v>3.9798743176107501E-2</v>
      </c>
      <c r="AX12" s="14">
        <v>0</v>
      </c>
      <c r="AY12" s="14"/>
      <c r="AZ12" s="14">
        <v>4.4353030842912297E-2</v>
      </c>
      <c r="BA12" s="14">
        <v>0</v>
      </c>
    </row>
    <row r="13" spans="2:53" x14ac:dyDescent="0.35">
      <c r="B13" s="15" t="s">
        <v>116</v>
      </c>
      <c r="C13" s="23">
        <v>1.70452726822009E-2</v>
      </c>
      <c r="D13" s="23">
        <v>0</v>
      </c>
      <c r="E13" s="23">
        <v>3.4351052918881998E-2</v>
      </c>
      <c r="F13" s="23"/>
      <c r="G13" s="23">
        <v>0</v>
      </c>
      <c r="H13" s="23">
        <v>3.5043513978197098E-2</v>
      </c>
      <c r="I13" s="23">
        <v>1.53433960795894E-2</v>
      </c>
      <c r="J13" s="23">
        <v>0</v>
      </c>
      <c r="K13" s="23">
        <v>0</v>
      </c>
      <c r="L13" s="23" t="s">
        <v>88</v>
      </c>
      <c r="M13" s="23"/>
      <c r="N13" s="23">
        <v>0</v>
      </c>
      <c r="O13" s="23">
        <v>3.01333876289895E-2</v>
      </c>
      <c r="P13" s="23">
        <v>0</v>
      </c>
      <c r="Q13" s="23">
        <v>3.6748003967693101E-2</v>
      </c>
      <c r="R13" s="23"/>
      <c r="S13" s="23">
        <v>0</v>
      </c>
      <c r="T13" s="23">
        <v>8.0274774179360603E-2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/>
      <c r="AC13" s="23">
        <v>0</v>
      </c>
      <c r="AD13" s="23">
        <v>3.7559820831258202E-2</v>
      </c>
      <c r="AE13" s="23">
        <v>3.4381883954947602E-2</v>
      </c>
      <c r="AF13" s="23">
        <v>0</v>
      </c>
      <c r="AG13" s="23">
        <v>0</v>
      </c>
      <c r="AH13" s="23"/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/>
      <c r="AP13" s="23">
        <v>1.22034183554946E-2</v>
      </c>
      <c r="AQ13" s="23">
        <v>2.38471566362006E-2</v>
      </c>
      <c r="AR13" s="23"/>
      <c r="AS13" s="23" t="s">
        <v>88</v>
      </c>
      <c r="AT13" s="23">
        <v>1.70452726822009E-2</v>
      </c>
      <c r="AU13" s="23" t="s">
        <v>88</v>
      </c>
      <c r="AV13" s="23"/>
      <c r="AW13" s="23">
        <v>2.3021508863687701E-2</v>
      </c>
      <c r="AX13" s="23">
        <v>0</v>
      </c>
      <c r="AY13" s="23"/>
      <c r="AZ13" s="23">
        <v>2.00430400249971E-2</v>
      </c>
      <c r="BA13" s="23">
        <v>0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B2:BA19"/>
  <sheetViews>
    <sheetView showGridLines="0" workbookViewId="0">
      <pane xSplit="2" topLeftCell="C1" activePane="topRight" state="frozen"/>
      <selection pane="topRight" activeCell="BB18" sqref="B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329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128</v>
      </c>
      <c r="D7" s="10">
        <v>54</v>
      </c>
      <c r="E7" s="10">
        <v>74</v>
      </c>
      <c r="F7" s="10"/>
      <c r="G7" s="10">
        <v>1</v>
      </c>
      <c r="H7" s="10">
        <v>30</v>
      </c>
      <c r="I7" s="10">
        <v>81</v>
      </c>
      <c r="J7" s="10">
        <v>13</v>
      </c>
      <c r="K7" s="10">
        <v>3</v>
      </c>
      <c r="L7" s="10" t="s">
        <v>87</v>
      </c>
      <c r="M7" s="10"/>
      <c r="N7" s="10">
        <v>59</v>
      </c>
      <c r="O7" s="10">
        <v>27</v>
      </c>
      <c r="P7" s="10">
        <v>18</v>
      </c>
      <c r="Q7" s="10">
        <v>24</v>
      </c>
      <c r="R7" s="10"/>
      <c r="S7" s="10">
        <v>29</v>
      </c>
      <c r="T7" s="10">
        <v>21</v>
      </c>
      <c r="U7" s="10">
        <v>8</v>
      </c>
      <c r="V7" s="10">
        <v>4</v>
      </c>
      <c r="W7" s="10">
        <v>10</v>
      </c>
      <c r="X7" s="10">
        <v>19</v>
      </c>
      <c r="Y7" s="10">
        <v>18</v>
      </c>
      <c r="Z7" s="10">
        <v>6</v>
      </c>
      <c r="AA7" s="10">
        <v>13</v>
      </c>
      <c r="AB7" s="10"/>
      <c r="AC7" s="10">
        <v>10</v>
      </c>
      <c r="AD7" s="10">
        <v>22</v>
      </c>
      <c r="AE7" s="10">
        <v>36</v>
      </c>
      <c r="AF7" s="10">
        <v>42</v>
      </c>
      <c r="AG7" s="10">
        <v>6</v>
      </c>
      <c r="AH7" s="10"/>
      <c r="AI7" s="10">
        <v>49</v>
      </c>
      <c r="AJ7" s="10">
        <v>28</v>
      </c>
      <c r="AK7" s="10">
        <v>12</v>
      </c>
      <c r="AL7" s="10">
        <v>14</v>
      </c>
      <c r="AM7" s="10">
        <v>6</v>
      </c>
      <c r="AN7" s="10">
        <v>7</v>
      </c>
      <c r="AO7" s="10"/>
      <c r="AP7" s="10">
        <v>72</v>
      </c>
      <c r="AQ7" s="10">
        <v>56</v>
      </c>
      <c r="AR7" s="10"/>
      <c r="AS7" s="10" t="s">
        <v>87</v>
      </c>
      <c r="AT7" s="10">
        <v>128</v>
      </c>
      <c r="AU7" s="10" t="s">
        <v>87</v>
      </c>
      <c r="AV7" s="10"/>
      <c r="AW7" s="10">
        <v>91</v>
      </c>
      <c r="AX7" s="10">
        <v>28</v>
      </c>
      <c r="AY7" s="10"/>
      <c r="AZ7" s="10">
        <v>110</v>
      </c>
      <c r="BA7" s="10">
        <v>18</v>
      </c>
    </row>
    <row r="8" spans="2:53" ht="30" customHeight="1" x14ac:dyDescent="0.35">
      <c r="B8" s="11" t="s">
        <v>19</v>
      </c>
      <c r="C8" s="11">
        <v>124</v>
      </c>
      <c r="D8" s="11">
        <v>62</v>
      </c>
      <c r="E8" s="11">
        <v>61</v>
      </c>
      <c r="F8" s="11"/>
      <c r="G8" s="11">
        <v>2</v>
      </c>
      <c r="H8" s="11">
        <v>25</v>
      </c>
      <c r="I8" s="11">
        <v>80</v>
      </c>
      <c r="J8" s="11">
        <v>14</v>
      </c>
      <c r="K8" s="11">
        <v>3</v>
      </c>
      <c r="L8" s="11" t="s">
        <v>87</v>
      </c>
      <c r="M8" s="11"/>
      <c r="N8" s="11">
        <v>36</v>
      </c>
      <c r="O8" s="11">
        <v>29</v>
      </c>
      <c r="P8" s="11">
        <v>25</v>
      </c>
      <c r="Q8" s="11">
        <v>33</v>
      </c>
      <c r="R8" s="11"/>
      <c r="S8" s="11">
        <v>21</v>
      </c>
      <c r="T8" s="11">
        <v>26</v>
      </c>
      <c r="U8" s="11">
        <v>10</v>
      </c>
      <c r="V8" s="11">
        <v>3</v>
      </c>
      <c r="W8" s="11">
        <v>9</v>
      </c>
      <c r="X8" s="11">
        <v>18</v>
      </c>
      <c r="Y8" s="11">
        <v>17</v>
      </c>
      <c r="Z8" s="11">
        <v>6</v>
      </c>
      <c r="AA8" s="11">
        <v>14</v>
      </c>
      <c r="AB8" s="11"/>
      <c r="AC8" s="11">
        <v>13</v>
      </c>
      <c r="AD8" s="11">
        <v>24</v>
      </c>
      <c r="AE8" s="11">
        <v>36</v>
      </c>
      <c r="AF8" s="11">
        <v>36</v>
      </c>
      <c r="AG8" s="11">
        <v>4</v>
      </c>
      <c r="AH8" s="11"/>
      <c r="AI8" s="11">
        <v>49</v>
      </c>
      <c r="AJ8" s="11">
        <v>25</v>
      </c>
      <c r="AK8" s="11">
        <v>12</v>
      </c>
      <c r="AL8" s="11">
        <v>14</v>
      </c>
      <c r="AM8" s="11">
        <v>6</v>
      </c>
      <c r="AN8" s="11">
        <v>8</v>
      </c>
      <c r="AO8" s="11"/>
      <c r="AP8" s="11">
        <v>72</v>
      </c>
      <c r="AQ8" s="11">
        <v>51</v>
      </c>
      <c r="AR8" s="11"/>
      <c r="AS8" s="11" t="s">
        <v>87</v>
      </c>
      <c r="AT8" s="11">
        <v>124</v>
      </c>
      <c r="AU8" s="11" t="s">
        <v>87</v>
      </c>
      <c r="AV8" s="11"/>
      <c r="AW8" s="11">
        <v>92</v>
      </c>
      <c r="AX8" s="11">
        <v>20</v>
      </c>
      <c r="AY8" s="11"/>
      <c r="AZ8" s="11">
        <v>105</v>
      </c>
      <c r="BA8" s="11">
        <v>19</v>
      </c>
    </row>
    <row r="9" spans="2:53" x14ac:dyDescent="0.35">
      <c r="B9" s="15" t="s">
        <v>220</v>
      </c>
      <c r="C9" s="14">
        <v>0.32607139048075501</v>
      </c>
      <c r="D9" s="14">
        <v>0.288769143915036</v>
      </c>
      <c r="E9" s="14">
        <v>0.36394373746144798</v>
      </c>
      <c r="F9" s="14"/>
      <c r="G9" s="14">
        <v>1</v>
      </c>
      <c r="H9" s="14">
        <v>0.39484014280733398</v>
      </c>
      <c r="I9" s="14">
        <v>0.31262233820913399</v>
      </c>
      <c r="J9" s="14">
        <v>0.248795645861045</v>
      </c>
      <c r="K9" s="14">
        <v>0</v>
      </c>
      <c r="L9" s="14" t="s">
        <v>88</v>
      </c>
      <c r="M9" s="14"/>
      <c r="N9" s="14">
        <v>0.28518003813333698</v>
      </c>
      <c r="O9" s="14">
        <v>0.42931591806167801</v>
      </c>
      <c r="P9" s="14">
        <v>0.25123622819159702</v>
      </c>
      <c r="Q9" s="14">
        <v>0.335497787456079</v>
      </c>
      <c r="R9" s="14"/>
      <c r="S9" s="14">
        <v>0.224987869949626</v>
      </c>
      <c r="T9" s="14">
        <v>0.32659119526064401</v>
      </c>
      <c r="U9" s="14">
        <v>0.48317525238112002</v>
      </c>
      <c r="V9" s="14">
        <v>0.66378938688099998</v>
      </c>
      <c r="W9" s="14">
        <v>0.34633723596649502</v>
      </c>
      <c r="X9" s="14">
        <v>0.29240965695251597</v>
      </c>
      <c r="Y9" s="14">
        <v>0.23680519305655301</v>
      </c>
      <c r="Z9" s="14">
        <v>0.53808150824087098</v>
      </c>
      <c r="AA9" s="14">
        <v>0.34106414562973297</v>
      </c>
      <c r="AB9" s="14"/>
      <c r="AC9" s="14">
        <v>0.40039382440077798</v>
      </c>
      <c r="AD9" s="14">
        <v>0.29430407740485098</v>
      </c>
      <c r="AE9" s="14">
        <v>0.28309985500752799</v>
      </c>
      <c r="AF9" s="14">
        <v>0.37031507324264601</v>
      </c>
      <c r="AG9" s="14">
        <v>0.44488390970075797</v>
      </c>
      <c r="AH9" s="14"/>
      <c r="AI9" s="14">
        <v>0.40167831607587301</v>
      </c>
      <c r="AJ9" s="14">
        <v>0.249367333582587</v>
      </c>
      <c r="AK9" s="14">
        <v>0.36054230751398503</v>
      </c>
      <c r="AL9" s="14">
        <v>0.30108304492177701</v>
      </c>
      <c r="AM9" s="14">
        <v>0.51429449570890295</v>
      </c>
      <c r="AN9" s="14">
        <v>0.16273181362884301</v>
      </c>
      <c r="AO9" s="14"/>
      <c r="AP9" s="14">
        <v>0.334571553006064</v>
      </c>
      <c r="AQ9" s="14">
        <v>0.31413027966121099</v>
      </c>
      <c r="AR9" s="14"/>
      <c r="AS9" s="14" t="s">
        <v>88</v>
      </c>
      <c r="AT9" s="14">
        <v>0.32607139048075501</v>
      </c>
      <c r="AU9" s="14" t="s">
        <v>88</v>
      </c>
      <c r="AV9" s="14"/>
      <c r="AW9" s="14">
        <v>0.34442060204706598</v>
      </c>
      <c r="AX9" s="14">
        <v>0.25447505529886</v>
      </c>
      <c r="AY9" s="14"/>
      <c r="AZ9" s="14">
        <v>0.33658025665612701</v>
      </c>
      <c r="BA9" s="14">
        <v>0.26631809108931997</v>
      </c>
    </row>
    <row r="10" spans="2:53" x14ac:dyDescent="0.35">
      <c r="B10" s="15" t="s">
        <v>221</v>
      </c>
      <c r="C10" s="14">
        <v>0.37997271007442701</v>
      </c>
      <c r="D10" s="14">
        <v>0.46600578519104402</v>
      </c>
      <c r="E10" s="14">
        <v>0.29262476799024101</v>
      </c>
      <c r="F10" s="14"/>
      <c r="G10" s="14">
        <v>0</v>
      </c>
      <c r="H10" s="14">
        <v>0.30182806485521801</v>
      </c>
      <c r="I10" s="14">
        <v>0.36141611166329102</v>
      </c>
      <c r="J10" s="14">
        <v>0.55583419641818499</v>
      </c>
      <c r="K10" s="14">
        <v>1</v>
      </c>
      <c r="L10" s="14" t="s">
        <v>88</v>
      </c>
      <c r="M10" s="14"/>
      <c r="N10" s="14">
        <v>0.54853118704680404</v>
      </c>
      <c r="O10" s="14">
        <v>0.25297175641929098</v>
      </c>
      <c r="P10" s="14">
        <v>0.42559026246164899</v>
      </c>
      <c r="Q10" s="14">
        <v>0.274088591703948</v>
      </c>
      <c r="R10" s="14"/>
      <c r="S10" s="14">
        <v>0.51344806843492397</v>
      </c>
      <c r="T10" s="14">
        <v>0.26802646162678301</v>
      </c>
      <c r="U10" s="14">
        <v>0.40997794610862598</v>
      </c>
      <c r="V10" s="14">
        <v>0.33621061311900002</v>
      </c>
      <c r="W10" s="14">
        <v>0.27945066246241501</v>
      </c>
      <c r="X10" s="14">
        <v>0.39777035453807003</v>
      </c>
      <c r="Y10" s="14">
        <v>0.32570002031779299</v>
      </c>
      <c r="Z10" s="14">
        <v>0.31563107953993902</v>
      </c>
      <c r="AA10" s="14">
        <v>0.51511174333424703</v>
      </c>
      <c r="AB10" s="14"/>
      <c r="AC10" s="14">
        <v>0.328681876676366</v>
      </c>
      <c r="AD10" s="14">
        <v>0.32314293096614999</v>
      </c>
      <c r="AE10" s="14">
        <v>0.44761051096746601</v>
      </c>
      <c r="AF10" s="14">
        <v>0.33025389622109302</v>
      </c>
      <c r="AG10" s="14">
        <v>0.26524822503178902</v>
      </c>
      <c r="AH10" s="14"/>
      <c r="AI10" s="14">
        <v>0.38757911719472499</v>
      </c>
      <c r="AJ10" s="14">
        <v>0.41919636420817702</v>
      </c>
      <c r="AK10" s="14">
        <v>0.14612820688504</v>
      </c>
      <c r="AL10" s="14">
        <v>0.69891695507822305</v>
      </c>
      <c r="AM10" s="14">
        <v>0.48570550429109699</v>
      </c>
      <c r="AN10" s="14">
        <v>0.40546918370905399</v>
      </c>
      <c r="AO10" s="14"/>
      <c r="AP10" s="14">
        <v>0.35593767440348301</v>
      </c>
      <c r="AQ10" s="14">
        <v>0.41373736147301998</v>
      </c>
      <c r="AR10" s="14"/>
      <c r="AS10" s="14" t="s">
        <v>88</v>
      </c>
      <c r="AT10" s="14">
        <v>0.37997271007442701</v>
      </c>
      <c r="AU10" s="14" t="s">
        <v>88</v>
      </c>
      <c r="AV10" s="14"/>
      <c r="AW10" s="14">
        <v>0.34005909916177002</v>
      </c>
      <c r="AX10" s="14">
        <v>0.52604462544143105</v>
      </c>
      <c r="AY10" s="14"/>
      <c r="AZ10" s="14">
        <v>0.38425105989652297</v>
      </c>
      <c r="BA10" s="14">
        <v>0.35564605926788401</v>
      </c>
    </row>
    <row r="11" spans="2:53" x14ac:dyDescent="0.35">
      <c r="B11" s="15" t="s">
        <v>222</v>
      </c>
      <c r="C11" s="14">
        <v>0.182951140418562</v>
      </c>
      <c r="D11" s="14">
        <v>0.16441135691762701</v>
      </c>
      <c r="E11" s="14">
        <v>0.20177427249070901</v>
      </c>
      <c r="F11" s="14"/>
      <c r="G11" s="14">
        <v>0</v>
      </c>
      <c r="H11" s="14">
        <v>0.23297886632640599</v>
      </c>
      <c r="I11" s="14">
        <v>0.20211491659894601</v>
      </c>
      <c r="J11" s="14">
        <v>4.4629420795594302E-2</v>
      </c>
      <c r="K11" s="14">
        <v>0</v>
      </c>
      <c r="L11" s="14" t="s">
        <v>88</v>
      </c>
      <c r="M11" s="14"/>
      <c r="N11" s="14">
        <v>0.11902784914103</v>
      </c>
      <c r="O11" s="14">
        <v>0.23273503765883</v>
      </c>
      <c r="P11" s="14">
        <v>0.165318971037477</v>
      </c>
      <c r="Q11" s="14">
        <v>0.221931527342239</v>
      </c>
      <c r="R11" s="14"/>
      <c r="S11" s="14">
        <v>0.164683786931732</v>
      </c>
      <c r="T11" s="14">
        <v>0.18259637671274601</v>
      </c>
      <c r="U11" s="14">
        <v>0</v>
      </c>
      <c r="V11" s="14">
        <v>0</v>
      </c>
      <c r="W11" s="14">
        <v>0.37421210157108997</v>
      </c>
      <c r="X11" s="14">
        <v>0.18929139856819599</v>
      </c>
      <c r="Y11" s="14">
        <v>0.28261688686587499</v>
      </c>
      <c r="Z11" s="14">
        <v>0.14628741221919001</v>
      </c>
      <c r="AA11" s="14">
        <v>0.14382411103602</v>
      </c>
      <c r="AB11" s="14"/>
      <c r="AC11" s="14">
        <v>0.229174837638873</v>
      </c>
      <c r="AD11" s="14">
        <v>0.19622378546587799</v>
      </c>
      <c r="AE11" s="14">
        <v>0.16029427647429101</v>
      </c>
      <c r="AF11" s="14">
        <v>0.24573263360685901</v>
      </c>
      <c r="AG11" s="14">
        <v>0</v>
      </c>
      <c r="AH11" s="14"/>
      <c r="AI11" s="14">
        <v>0.14703642257881799</v>
      </c>
      <c r="AJ11" s="14">
        <v>0.16750749976378099</v>
      </c>
      <c r="AK11" s="14">
        <v>0.20169281754537299</v>
      </c>
      <c r="AL11" s="14">
        <v>0</v>
      </c>
      <c r="AM11" s="14">
        <v>0</v>
      </c>
      <c r="AN11" s="14">
        <v>0.43179900266210303</v>
      </c>
      <c r="AO11" s="14"/>
      <c r="AP11" s="14">
        <v>0.18473803153031801</v>
      </c>
      <c r="AQ11" s="14">
        <v>0.180440898440904</v>
      </c>
      <c r="AR11" s="14"/>
      <c r="AS11" s="14" t="s">
        <v>88</v>
      </c>
      <c r="AT11" s="14">
        <v>0.182951140418562</v>
      </c>
      <c r="AU11" s="14" t="s">
        <v>88</v>
      </c>
      <c r="AV11" s="14"/>
      <c r="AW11" s="14">
        <v>0.22199366573022</v>
      </c>
      <c r="AX11" s="14">
        <v>0.11371879887017899</v>
      </c>
      <c r="AY11" s="14"/>
      <c r="AZ11" s="14">
        <v>0.18580327357328</v>
      </c>
      <c r="BA11" s="14">
        <v>0.16673394215434201</v>
      </c>
    </row>
    <row r="12" spans="2:53" x14ac:dyDescent="0.35">
      <c r="B12" s="15" t="s">
        <v>223</v>
      </c>
      <c r="C12" s="14">
        <v>6.7301247769795097E-2</v>
      </c>
      <c r="D12" s="14">
        <v>8.0813713976293805E-2</v>
      </c>
      <c r="E12" s="14">
        <v>5.3582266854374803E-2</v>
      </c>
      <c r="F12" s="14"/>
      <c r="G12" s="14">
        <v>0</v>
      </c>
      <c r="H12" s="14">
        <v>0</v>
      </c>
      <c r="I12" s="14">
        <v>9.1364934065714803E-2</v>
      </c>
      <c r="J12" s="14">
        <v>7.4706027371750403E-2</v>
      </c>
      <c r="K12" s="14">
        <v>0</v>
      </c>
      <c r="L12" s="14" t="s">
        <v>88</v>
      </c>
      <c r="M12" s="14"/>
      <c r="N12" s="14">
        <v>3.2894042771730699E-2</v>
      </c>
      <c r="O12" s="14">
        <v>8.4977287860201506E-2</v>
      </c>
      <c r="P12" s="14">
        <v>6.5357973993508997E-2</v>
      </c>
      <c r="Q12" s="14">
        <v>9.0687215848163402E-2</v>
      </c>
      <c r="R12" s="14"/>
      <c r="S12" s="14">
        <v>9.6880274683718598E-2</v>
      </c>
      <c r="T12" s="14">
        <v>7.6387537853758999E-2</v>
      </c>
      <c r="U12" s="14">
        <v>0.106846801510254</v>
      </c>
      <c r="V12" s="14">
        <v>0</v>
      </c>
      <c r="W12" s="14">
        <v>0</v>
      </c>
      <c r="X12" s="14">
        <v>9.1110034885494906E-2</v>
      </c>
      <c r="Y12" s="14">
        <v>9.3189830709826296E-2</v>
      </c>
      <c r="Z12" s="14">
        <v>0</v>
      </c>
      <c r="AA12" s="14">
        <v>0</v>
      </c>
      <c r="AB12" s="14"/>
      <c r="AC12" s="14">
        <v>0</v>
      </c>
      <c r="AD12" s="14">
        <v>0.142078134702252</v>
      </c>
      <c r="AE12" s="14">
        <v>3.9620091503514802E-2</v>
      </c>
      <c r="AF12" s="14">
        <v>1.5355089824669099E-2</v>
      </c>
      <c r="AG12" s="14">
        <v>0.28986786526745301</v>
      </c>
      <c r="AH12" s="14"/>
      <c r="AI12" s="14">
        <v>4.2580371225638999E-2</v>
      </c>
      <c r="AJ12" s="14">
        <v>9.1966199059024395E-2</v>
      </c>
      <c r="AK12" s="14">
        <v>0.17329448320389801</v>
      </c>
      <c r="AL12" s="14">
        <v>0</v>
      </c>
      <c r="AM12" s="14">
        <v>0</v>
      </c>
      <c r="AN12" s="14">
        <v>0</v>
      </c>
      <c r="AO12" s="14"/>
      <c r="AP12" s="14">
        <v>9.1414110698862294E-2</v>
      </c>
      <c r="AQ12" s="14">
        <v>3.3427263883586598E-2</v>
      </c>
      <c r="AR12" s="14"/>
      <c r="AS12" s="14" t="s">
        <v>88</v>
      </c>
      <c r="AT12" s="14">
        <v>6.7301247769795097E-2</v>
      </c>
      <c r="AU12" s="14" t="s">
        <v>88</v>
      </c>
      <c r="AV12" s="14"/>
      <c r="AW12" s="14">
        <v>4.0198393546089603E-2</v>
      </c>
      <c r="AX12" s="14">
        <v>7.99473039295691E-2</v>
      </c>
      <c r="AY12" s="14"/>
      <c r="AZ12" s="14">
        <v>6.3719500151357494E-2</v>
      </c>
      <c r="BA12" s="14">
        <v>8.7667025981971E-2</v>
      </c>
    </row>
    <row r="13" spans="2:53" x14ac:dyDescent="0.35">
      <c r="B13" s="15" t="s">
        <v>116</v>
      </c>
      <c r="C13" s="18">
        <v>9.9164422760994603E-3</v>
      </c>
      <c r="D13" s="18">
        <v>0</v>
      </c>
      <c r="E13" s="18">
        <v>1.99844402459479E-2</v>
      </c>
      <c r="F13" s="18"/>
      <c r="G13" s="18">
        <v>0</v>
      </c>
      <c r="H13" s="18">
        <v>0</v>
      </c>
      <c r="I13" s="18">
        <v>1.53433960795894E-2</v>
      </c>
      <c r="J13" s="18">
        <v>0</v>
      </c>
      <c r="K13" s="18">
        <v>0</v>
      </c>
      <c r="L13" s="18" t="s">
        <v>88</v>
      </c>
      <c r="M13" s="18"/>
      <c r="N13" s="18">
        <v>0</v>
      </c>
      <c r="O13" s="18">
        <v>0</v>
      </c>
      <c r="P13" s="18">
        <v>0</v>
      </c>
      <c r="Q13" s="18">
        <v>3.6748003967693101E-2</v>
      </c>
      <c r="R13" s="18"/>
      <c r="S13" s="18">
        <v>0</v>
      </c>
      <c r="T13" s="18">
        <v>4.6701521249806303E-2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/>
      <c r="AC13" s="18">
        <v>0</v>
      </c>
      <c r="AD13" s="18">
        <v>0</v>
      </c>
      <c r="AE13" s="18">
        <v>3.4381883954947602E-2</v>
      </c>
      <c r="AF13" s="18">
        <v>0</v>
      </c>
      <c r="AG13" s="18">
        <v>0</v>
      </c>
      <c r="AH13" s="18"/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/>
      <c r="AP13" s="18">
        <v>0</v>
      </c>
      <c r="AQ13" s="18">
        <v>2.38471566362006E-2</v>
      </c>
      <c r="AR13" s="18"/>
      <c r="AS13" s="18" t="s">
        <v>88</v>
      </c>
      <c r="AT13" s="18">
        <v>9.9164422760994603E-3</v>
      </c>
      <c r="AU13" s="18" t="s">
        <v>88</v>
      </c>
      <c r="AV13" s="18"/>
      <c r="AW13" s="18">
        <v>1.33932421036514E-2</v>
      </c>
      <c r="AX13" s="18">
        <v>0</v>
      </c>
      <c r="AY13" s="18"/>
      <c r="AZ13" s="18">
        <v>1.16604558431606E-2</v>
      </c>
      <c r="BA13" s="18">
        <v>0</v>
      </c>
    </row>
    <row r="14" spans="2:53" x14ac:dyDescent="0.35">
      <c r="B14" s="26" t="s">
        <v>224</v>
      </c>
      <c r="C14" s="27">
        <v>0.70604410055518196</v>
      </c>
      <c r="D14" s="27">
        <v>0.75477492910608002</v>
      </c>
      <c r="E14" s="27">
        <v>0.65656850545168899</v>
      </c>
      <c r="F14" s="27"/>
      <c r="G14" s="27">
        <v>1</v>
      </c>
      <c r="H14" s="27">
        <v>0.696668207662551</v>
      </c>
      <c r="I14" s="27">
        <v>0.67403844987242401</v>
      </c>
      <c r="J14" s="27">
        <v>0.80462984227923096</v>
      </c>
      <c r="K14" s="27">
        <v>1</v>
      </c>
      <c r="L14" s="27" t="s">
        <v>88</v>
      </c>
      <c r="M14" s="27"/>
      <c r="N14" s="27">
        <v>0.83371122518014096</v>
      </c>
      <c r="O14" s="27">
        <v>0.68228767448096905</v>
      </c>
      <c r="P14" s="27">
        <v>0.67682649065324596</v>
      </c>
      <c r="Q14" s="27">
        <v>0.609586379160026</v>
      </c>
      <c r="R14" s="27"/>
      <c r="S14" s="27">
        <v>0.73843593838455002</v>
      </c>
      <c r="T14" s="27">
        <v>0.59461765688742796</v>
      </c>
      <c r="U14" s="27">
        <v>0.89315319848974595</v>
      </c>
      <c r="V14" s="27">
        <v>1</v>
      </c>
      <c r="W14" s="27">
        <v>0.62578789842891003</v>
      </c>
      <c r="X14" s="27">
        <v>0.69018001149058705</v>
      </c>
      <c r="Y14" s="27">
        <v>0.562505213374346</v>
      </c>
      <c r="Z14" s="27">
        <v>0.85371258778081005</v>
      </c>
      <c r="AA14" s="27">
        <v>0.85617588896398</v>
      </c>
      <c r="AB14" s="27"/>
      <c r="AC14" s="27">
        <v>0.72907570107714403</v>
      </c>
      <c r="AD14" s="27">
        <v>0.61744700837100097</v>
      </c>
      <c r="AE14" s="27">
        <v>0.73071036597499395</v>
      </c>
      <c r="AF14" s="27">
        <v>0.70056896946373903</v>
      </c>
      <c r="AG14" s="27">
        <v>0.71013213473254699</v>
      </c>
      <c r="AH14" s="27"/>
      <c r="AI14" s="27">
        <v>0.78925743327059805</v>
      </c>
      <c r="AJ14" s="27">
        <v>0.66856369779076397</v>
      </c>
      <c r="AK14" s="27">
        <v>0.506670514399026</v>
      </c>
      <c r="AL14" s="27">
        <v>1</v>
      </c>
      <c r="AM14" s="27">
        <v>1</v>
      </c>
      <c r="AN14" s="27">
        <v>0.56820099733789697</v>
      </c>
      <c r="AO14" s="27"/>
      <c r="AP14" s="27">
        <v>0.69050922740954701</v>
      </c>
      <c r="AQ14" s="27">
        <v>0.72786764113423197</v>
      </c>
      <c r="AR14" s="27"/>
      <c r="AS14" s="27" t="s">
        <v>88</v>
      </c>
      <c r="AT14" s="27">
        <v>0.70604410055518196</v>
      </c>
      <c r="AU14" s="27" t="s">
        <v>88</v>
      </c>
      <c r="AV14" s="27"/>
      <c r="AW14" s="27">
        <v>0.68447970120883606</v>
      </c>
      <c r="AX14" s="27">
        <v>0.78051968074029199</v>
      </c>
      <c r="AY14" s="27"/>
      <c r="AZ14" s="27">
        <v>0.72083131655264998</v>
      </c>
      <c r="BA14" s="27">
        <v>0.62196415035720298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B2:BA18"/>
  <sheetViews>
    <sheetView showGridLines="0" workbookViewId="0">
      <pane xSplit="2" topLeftCell="C1" activePane="topRight" state="frozen"/>
      <selection pane="topRight" activeCell="D9" sqref="D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128</v>
      </c>
      <c r="D7" s="10">
        <v>54</v>
      </c>
      <c r="E7" s="10">
        <v>74</v>
      </c>
      <c r="F7" s="10"/>
      <c r="G7" s="10">
        <v>1</v>
      </c>
      <c r="H7" s="10">
        <v>30</v>
      </c>
      <c r="I7" s="10">
        <v>81</v>
      </c>
      <c r="J7" s="10">
        <v>13</v>
      </c>
      <c r="K7" s="10">
        <v>3</v>
      </c>
      <c r="L7" s="10" t="s">
        <v>87</v>
      </c>
      <c r="M7" s="10"/>
      <c r="N7" s="10">
        <v>59</v>
      </c>
      <c r="O7" s="10">
        <v>27</v>
      </c>
      <c r="P7" s="10">
        <v>18</v>
      </c>
      <c r="Q7" s="10">
        <v>24</v>
      </c>
      <c r="R7" s="10"/>
      <c r="S7" s="10">
        <v>29</v>
      </c>
      <c r="T7" s="10">
        <v>21</v>
      </c>
      <c r="U7" s="10">
        <v>8</v>
      </c>
      <c r="V7" s="10">
        <v>4</v>
      </c>
      <c r="W7" s="10">
        <v>10</v>
      </c>
      <c r="X7" s="10">
        <v>19</v>
      </c>
      <c r="Y7" s="10">
        <v>18</v>
      </c>
      <c r="Z7" s="10">
        <v>6</v>
      </c>
      <c r="AA7" s="10">
        <v>13</v>
      </c>
      <c r="AB7" s="10"/>
      <c r="AC7" s="10">
        <v>10</v>
      </c>
      <c r="AD7" s="10">
        <v>22</v>
      </c>
      <c r="AE7" s="10">
        <v>36</v>
      </c>
      <c r="AF7" s="10">
        <v>42</v>
      </c>
      <c r="AG7" s="10">
        <v>6</v>
      </c>
      <c r="AH7" s="10"/>
      <c r="AI7" s="10">
        <v>49</v>
      </c>
      <c r="AJ7" s="10">
        <v>28</v>
      </c>
      <c r="AK7" s="10">
        <v>12</v>
      </c>
      <c r="AL7" s="10">
        <v>14</v>
      </c>
      <c r="AM7" s="10">
        <v>6</v>
      </c>
      <c r="AN7" s="10">
        <v>7</v>
      </c>
      <c r="AO7" s="10"/>
      <c r="AP7" s="10">
        <v>72</v>
      </c>
      <c r="AQ7" s="10">
        <v>56</v>
      </c>
      <c r="AR7" s="10"/>
      <c r="AS7" s="10" t="s">
        <v>87</v>
      </c>
      <c r="AT7" s="10">
        <v>128</v>
      </c>
      <c r="AU7" s="10" t="s">
        <v>87</v>
      </c>
      <c r="AV7" s="10"/>
      <c r="AW7" s="10">
        <v>91</v>
      </c>
      <c r="AX7" s="10">
        <v>28</v>
      </c>
      <c r="AY7" s="10"/>
      <c r="AZ7" s="10">
        <v>110</v>
      </c>
      <c r="BA7" s="10">
        <v>18</v>
      </c>
    </row>
    <row r="8" spans="2:53" ht="30" customHeight="1" x14ac:dyDescent="0.35">
      <c r="B8" s="11" t="s">
        <v>19</v>
      </c>
      <c r="C8" s="11">
        <v>124</v>
      </c>
      <c r="D8" s="11">
        <v>62</v>
      </c>
      <c r="E8" s="11">
        <v>61</v>
      </c>
      <c r="F8" s="11"/>
      <c r="G8" s="11">
        <v>2</v>
      </c>
      <c r="H8" s="11">
        <v>25</v>
      </c>
      <c r="I8" s="11">
        <v>80</v>
      </c>
      <c r="J8" s="11">
        <v>14</v>
      </c>
      <c r="K8" s="11">
        <v>3</v>
      </c>
      <c r="L8" s="11" t="s">
        <v>87</v>
      </c>
      <c r="M8" s="11"/>
      <c r="N8" s="11">
        <v>36</v>
      </c>
      <c r="O8" s="11">
        <v>29</v>
      </c>
      <c r="P8" s="11">
        <v>25</v>
      </c>
      <c r="Q8" s="11">
        <v>33</v>
      </c>
      <c r="R8" s="11"/>
      <c r="S8" s="11">
        <v>21</v>
      </c>
      <c r="T8" s="11">
        <v>26</v>
      </c>
      <c r="U8" s="11">
        <v>10</v>
      </c>
      <c r="V8" s="11">
        <v>3</v>
      </c>
      <c r="W8" s="11">
        <v>9</v>
      </c>
      <c r="X8" s="11">
        <v>18</v>
      </c>
      <c r="Y8" s="11">
        <v>17</v>
      </c>
      <c r="Z8" s="11">
        <v>6</v>
      </c>
      <c r="AA8" s="11">
        <v>14</v>
      </c>
      <c r="AB8" s="11"/>
      <c r="AC8" s="11">
        <v>13</v>
      </c>
      <c r="AD8" s="11">
        <v>24</v>
      </c>
      <c r="AE8" s="11">
        <v>36</v>
      </c>
      <c r="AF8" s="11">
        <v>36</v>
      </c>
      <c r="AG8" s="11">
        <v>4</v>
      </c>
      <c r="AH8" s="11"/>
      <c r="AI8" s="11">
        <v>49</v>
      </c>
      <c r="AJ8" s="11">
        <v>25</v>
      </c>
      <c r="AK8" s="11">
        <v>12</v>
      </c>
      <c r="AL8" s="11">
        <v>14</v>
      </c>
      <c r="AM8" s="11">
        <v>6</v>
      </c>
      <c r="AN8" s="11">
        <v>8</v>
      </c>
      <c r="AO8" s="11"/>
      <c r="AP8" s="11">
        <v>72</v>
      </c>
      <c r="AQ8" s="11">
        <v>51</v>
      </c>
      <c r="AR8" s="11"/>
      <c r="AS8" s="11" t="s">
        <v>87</v>
      </c>
      <c r="AT8" s="11">
        <v>124</v>
      </c>
      <c r="AU8" s="11" t="s">
        <v>87</v>
      </c>
      <c r="AV8" s="11"/>
      <c r="AW8" s="11">
        <v>92</v>
      </c>
      <c r="AX8" s="11">
        <v>20</v>
      </c>
      <c r="AY8" s="11"/>
      <c r="AZ8" s="11">
        <v>105</v>
      </c>
      <c r="BA8" s="11">
        <v>19</v>
      </c>
    </row>
    <row r="9" spans="2:53" x14ac:dyDescent="0.35">
      <c r="B9" s="15" t="s">
        <v>226</v>
      </c>
      <c r="C9" s="14">
        <v>0.29634074715778902</v>
      </c>
      <c r="D9" s="14">
        <v>0.28446035844888101</v>
      </c>
      <c r="E9" s="14">
        <v>0.30840270708978801</v>
      </c>
      <c r="F9" s="14"/>
      <c r="G9" s="14">
        <v>0</v>
      </c>
      <c r="H9" s="14">
        <v>0.30240783113453701</v>
      </c>
      <c r="I9" s="14">
        <v>0.32081132185573602</v>
      </c>
      <c r="J9" s="14">
        <v>0.248795645861045</v>
      </c>
      <c r="K9" s="14">
        <v>0</v>
      </c>
      <c r="L9" s="14" t="s">
        <v>88</v>
      </c>
      <c r="M9" s="14"/>
      <c r="N9" s="14">
        <v>0.29976035089719999</v>
      </c>
      <c r="O9" s="14">
        <v>0.38008608571227198</v>
      </c>
      <c r="P9" s="14">
        <v>0.158739686940011</v>
      </c>
      <c r="Q9" s="14">
        <v>0.32114150395764102</v>
      </c>
      <c r="R9" s="14"/>
      <c r="S9" s="14">
        <v>0.28057489299247601</v>
      </c>
      <c r="T9" s="14">
        <v>0.21035551209379</v>
      </c>
      <c r="U9" s="14">
        <v>0.308410894954248</v>
      </c>
      <c r="V9" s="14">
        <v>0.12887863951139</v>
      </c>
      <c r="W9" s="14">
        <v>0.24725478083557301</v>
      </c>
      <c r="X9" s="14">
        <v>0.29240965695251597</v>
      </c>
      <c r="Y9" s="14">
        <v>0.32454049899910398</v>
      </c>
      <c r="Z9" s="14">
        <v>0.53808150824087098</v>
      </c>
      <c r="AA9" s="14">
        <v>0.402415342886427</v>
      </c>
      <c r="AB9" s="14"/>
      <c r="AC9" s="14">
        <v>0.40039382440077798</v>
      </c>
      <c r="AD9" s="14">
        <v>0.23566597483475701</v>
      </c>
      <c r="AE9" s="14">
        <v>0.26010969641439102</v>
      </c>
      <c r="AF9" s="14">
        <v>0.388595645236128</v>
      </c>
      <c r="AG9" s="14">
        <v>0.44488390970075797</v>
      </c>
      <c r="AH9" s="14"/>
      <c r="AI9" s="14">
        <v>0.35481362205623201</v>
      </c>
      <c r="AJ9" s="14">
        <v>0.20755450388424701</v>
      </c>
      <c r="AK9" s="14">
        <v>0.387731905295229</v>
      </c>
      <c r="AL9" s="14">
        <v>0.27931935601163899</v>
      </c>
      <c r="AM9" s="14">
        <v>0.15668697653653399</v>
      </c>
      <c r="AN9" s="14">
        <v>0.16273181362884301</v>
      </c>
      <c r="AO9" s="14"/>
      <c r="AP9" s="14">
        <v>0.28702166830437498</v>
      </c>
      <c r="AQ9" s="14">
        <v>0.30943227958359198</v>
      </c>
      <c r="AR9" s="14"/>
      <c r="AS9" s="14" t="s">
        <v>88</v>
      </c>
      <c r="AT9" s="14">
        <v>0.29634074715778902</v>
      </c>
      <c r="AU9" s="14" t="s">
        <v>88</v>
      </c>
      <c r="AV9" s="14"/>
      <c r="AW9" s="14">
        <v>0.29469601731607398</v>
      </c>
      <c r="AX9" s="14">
        <v>0.29783031597194298</v>
      </c>
      <c r="AY9" s="14"/>
      <c r="AZ9" s="14">
        <v>0.27248312053596901</v>
      </c>
      <c r="BA9" s="14">
        <v>0.43199495404488197</v>
      </c>
    </row>
    <row r="10" spans="2:53" x14ac:dyDescent="0.35">
      <c r="B10" s="15" t="s">
        <v>227</v>
      </c>
      <c r="C10" s="14">
        <v>0.43346798795415498</v>
      </c>
      <c r="D10" s="14">
        <v>0.52415386042768797</v>
      </c>
      <c r="E10" s="14">
        <v>0.341396138541182</v>
      </c>
      <c r="F10" s="14"/>
      <c r="G10" s="14">
        <v>1</v>
      </c>
      <c r="H10" s="14">
        <v>0.28341958354088898</v>
      </c>
      <c r="I10" s="14">
        <v>0.46016732932007698</v>
      </c>
      <c r="J10" s="14">
        <v>0.349400613935749</v>
      </c>
      <c r="K10" s="14">
        <v>1</v>
      </c>
      <c r="L10" s="14" t="s">
        <v>88</v>
      </c>
      <c r="M10" s="14"/>
      <c r="N10" s="14">
        <v>0.48095871892241598</v>
      </c>
      <c r="O10" s="14">
        <v>0.30861797428177601</v>
      </c>
      <c r="P10" s="14">
        <v>0.55739808596287399</v>
      </c>
      <c r="Q10" s="14">
        <v>0.39942962867489201</v>
      </c>
      <c r="R10" s="14"/>
      <c r="S10" s="14">
        <v>0.393936269720709</v>
      </c>
      <c r="T10" s="14">
        <v>0.53192668127545795</v>
      </c>
      <c r="U10" s="14">
        <v>0.56091386180917402</v>
      </c>
      <c r="V10" s="14">
        <v>0.87112136048861</v>
      </c>
      <c r="W10" s="14">
        <v>0.24235865640977799</v>
      </c>
      <c r="X10" s="14">
        <v>0.434151265724118</v>
      </c>
      <c r="Y10" s="14">
        <v>0.28353963581409403</v>
      </c>
      <c r="Z10" s="14">
        <v>0.29257482443837901</v>
      </c>
      <c r="AA10" s="14">
        <v>0.49888161908900103</v>
      </c>
      <c r="AB10" s="14"/>
      <c r="AC10" s="14">
        <v>0.34860680115678999</v>
      </c>
      <c r="AD10" s="14">
        <v>0.40260360865781097</v>
      </c>
      <c r="AE10" s="14">
        <v>0.392512333521287</v>
      </c>
      <c r="AF10" s="14">
        <v>0.42890267197451998</v>
      </c>
      <c r="AG10" s="14">
        <v>0.26524822503178902</v>
      </c>
      <c r="AH10" s="14"/>
      <c r="AI10" s="14">
        <v>0.41859757702137801</v>
      </c>
      <c r="AJ10" s="14">
        <v>0.43870538276975601</v>
      </c>
      <c r="AK10" s="14">
        <v>0.29588932349409902</v>
      </c>
      <c r="AL10" s="14">
        <v>0.57511294090088705</v>
      </c>
      <c r="AM10" s="14">
        <v>0.746220813697275</v>
      </c>
      <c r="AN10" s="14">
        <v>0.67778881545457204</v>
      </c>
      <c r="AO10" s="14"/>
      <c r="AP10" s="14">
        <v>0.4513499711474</v>
      </c>
      <c r="AQ10" s="14">
        <v>0.40834720439878303</v>
      </c>
      <c r="AR10" s="14"/>
      <c r="AS10" s="14" t="s">
        <v>88</v>
      </c>
      <c r="AT10" s="14">
        <v>0.43346798795415498</v>
      </c>
      <c r="AU10" s="14" t="s">
        <v>88</v>
      </c>
      <c r="AV10" s="14"/>
      <c r="AW10" s="14">
        <v>0.42567113912538801</v>
      </c>
      <c r="AX10" s="14">
        <v>0.41939925868183098</v>
      </c>
      <c r="AY10" s="14"/>
      <c r="AZ10" s="14">
        <v>0.47836619171398698</v>
      </c>
      <c r="BA10" s="14">
        <v>0.17817728707090799</v>
      </c>
    </row>
    <row r="11" spans="2:53" x14ac:dyDescent="0.35">
      <c r="B11" s="15" t="s">
        <v>228</v>
      </c>
      <c r="C11" s="14">
        <v>0.17159163361246901</v>
      </c>
      <c r="D11" s="14">
        <v>0.16351192197357201</v>
      </c>
      <c r="E11" s="14">
        <v>0.179794829689498</v>
      </c>
      <c r="F11" s="14"/>
      <c r="G11" s="14">
        <v>0</v>
      </c>
      <c r="H11" s="14">
        <v>0.26073096204171498</v>
      </c>
      <c r="I11" s="14">
        <v>0.14052157533227599</v>
      </c>
      <c r="J11" s="14">
        <v>0.25106300327803099</v>
      </c>
      <c r="K11" s="14">
        <v>0</v>
      </c>
      <c r="L11" s="14" t="s">
        <v>88</v>
      </c>
      <c r="M11" s="14"/>
      <c r="N11" s="14">
        <v>0.13364179401632401</v>
      </c>
      <c r="O11" s="14">
        <v>0.20260165002984001</v>
      </c>
      <c r="P11" s="14">
        <v>0.19136566278134801</v>
      </c>
      <c r="Q11" s="14">
        <v>0.171053799701227</v>
      </c>
      <c r="R11" s="14"/>
      <c r="S11" s="14">
        <v>0.213391660114719</v>
      </c>
      <c r="T11" s="14">
        <v>7.7746125155131199E-2</v>
      </c>
      <c r="U11" s="14">
        <v>0.130675243236578</v>
      </c>
      <c r="V11" s="14">
        <v>0</v>
      </c>
      <c r="W11" s="14">
        <v>0.41130410762372699</v>
      </c>
      <c r="X11" s="14">
        <v>0.21460196486734001</v>
      </c>
      <c r="Y11" s="14">
        <v>0.20446222453043</v>
      </c>
      <c r="Z11" s="14">
        <v>0.16934366732075001</v>
      </c>
      <c r="AA11" s="14">
        <v>9.8703038024571199E-2</v>
      </c>
      <c r="AB11" s="14"/>
      <c r="AC11" s="14">
        <v>0.20924991315844901</v>
      </c>
      <c r="AD11" s="14">
        <v>0.252396520069882</v>
      </c>
      <c r="AE11" s="14">
        <v>0.229314695156219</v>
      </c>
      <c r="AF11" s="14">
        <v>9.8843556717394504E-2</v>
      </c>
      <c r="AG11" s="14">
        <v>0</v>
      </c>
      <c r="AH11" s="14"/>
      <c r="AI11" s="14">
        <v>0.17812790697782499</v>
      </c>
      <c r="AJ11" s="14">
        <v>0.23429710554049499</v>
      </c>
      <c r="AK11" s="14">
        <v>0.121556058650899</v>
      </c>
      <c r="AL11" s="14">
        <v>0.14556770308747399</v>
      </c>
      <c r="AM11" s="14">
        <v>0</v>
      </c>
      <c r="AN11" s="14">
        <v>0.15947937091658501</v>
      </c>
      <c r="AO11" s="14"/>
      <c r="AP11" s="14">
        <v>0.17032812063702699</v>
      </c>
      <c r="AQ11" s="14">
        <v>0.17336662890423701</v>
      </c>
      <c r="AR11" s="14"/>
      <c r="AS11" s="14" t="s">
        <v>88</v>
      </c>
      <c r="AT11" s="14">
        <v>0.17159163361246901</v>
      </c>
      <c r="AU11" s="14" t="s">
        <v>88</v>
      </c>
      <c r="AV11" s="14"/>
      <c r="AW11" s="14">
        <v>0.166839036289086</v>
      </c>
      <c r="AX11" s="14">
        <v>0.24095365614931699</v>
      </c>
      <c r="AY11" s="14"/>
      <c r="AZ11" s="14">
        <v>0.160169873014571</v>
      </c>
      <c r="BA11" s="14">
        <v>0.23653564081497699</v>
      </c>
    </row>
    <row r="12" spans="2:53" x14ac:dyDescent="0.35">
      <c r="B12" s="15" t="s">
        <v>229</v>
      </c>
      <c r="C12" s="14">
        <v>6.0695910725176001E-2</v>
      </c>
      <c r="D12" s="14">
        <v>2.2682481290795899E-2</v>
      </c>
      <c r="E12" s="14">
        <v>9.9290309776410499E-2</v>
      </c>
      <c r="F12" s="14"/>
      <c r="G12" s="14">
        <v>0</v>
      </c>
      <c r="H12" s="14">
        <v>8.4657200955392503E-2</v>
      </c>
      <c r="I12" s="14">
        <v>5.4498207449093103E-2</v>
      </c>
      <c r="J12" s="14">
        <v>7.4706027371750403E-2</v>
      </c>
      <c r="K12" s="14">
        <v>0</v>
      </c>
      <c r="L12" s="14" t="s">
        <v>88</v>
      </c>
      <c r="M12" s="14"/>
      <c r="N12" s="14">
        <v>4.72609268238302E-2</v>
      </c>
      <c r="O12" s="14">
        <v>7.8436083190030897E-2</v>
      </c>
      <c r="P12" s="14">
        <v>5.0485003552350798E-2</v>
      </c>
      <c r="Q12" s="14">
        <v>6.7328193984361004E-2</v>
      </c>
      <c r="R12" s="14"/>
      <c r="S12" s="14">
        <v>9.6880274683718598E-2</v>
      </c>
      <c r="T12" s="14">
        <v>0.12780690416750801</v>
      </c>
      <c r="U12" s="14">
        <v>0</v>
      </c>
      <c r="V12" s="14">
        <v>0</v>
      </c>
      <c r="W12" s="14">
        <v>0</v>
      </c>
      <c r="X12" s="14">
        <v>2.9418557400302501E-2</v>
      </c>
      <c r="Y12" s="14">
        <v>9.3189830709826296E-2</v>
      </c>
      <c r="Z12" s="14">
        <v>0</v>
      </c>
      <c r="AA12" s="14">
        <v>0</v>
      </c>
      <c r="AB12" s="14"/>
      <c r="AC12" s="14">
        <v>0</v>
      </c>
      <c r="AD12" s="14">
        <v>6.5082824976681997E-2</v>
      </c>
      <c r="AE12" s="14">
        <v>0.108995357550716</v>
      </c>
      <c r="AF12" s="14">
        <v>2.9959729142555298E-2</v>
      </c>
      <c r="AG12" s="14">
        <v>0.28986786526745301</v>
      </c>
      <c r="AH12" s="14"/>
      <c r="AI12" s="14">
        <v>2.07566068135164E-2</v>
      </c>
      <c r="AJ12" s="14">
        <v>9.82292542667378E-2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5.3484507555074098E-2</v>
      </c>
      <c r="AQ12" s="14">
        <v>7.0826559893612598E-2</v>
      </c>
      <c r="AR12" s="14"/>
      <c r="AS12" s="14" t="s">
        <v>88</v>
      </c>
      <c r="AT12" s="14">
        <v>6.0695910725176001E-2</v>
      </c>
      <c r="AU12" s="14" t="s">
        <v>88</v>
      </c>
      <c r="AV12" s="14"/>
      <c r="AW12" s="14">
        <v>7.0831169716192299E-2</v>
      </c>
      <c r="AX12" s="14">
        <v>0</v>
      </c>
      <c r="AY12" s="14"/>
      <c r="AZ12" s="14">
        <v>5.42868675055449E-2</v>
      </c>
      <c r="BA12" s="14">
        <v>9.7137661140911297E-2</v>
      </c>
    </row>
    <row r="13" spans="2:53" x14ac:dyDescent="0.35">
      <c r="B13" s="15" t="s">
        <v>116</v>
      </c>
      <c r="C13" s="23">
        <v>7.1583595985471897E-3</v>
      </c>
      <c r="D13" s="23">
        <v>0</v>
      </c>
      <c r="E13" s="23">
        <v>1.4426122360533099E-2</v>
      </c>
      <c r="F13" s="23"/>
      <c r="G13" s="23">
        <v>0</v>
      </c>
      <c r="H13" s="23">
        <v>3.5188671964751499E-2</v>
      </c>
      <c r="I13" s="23">
        <v>0</v>
      </c>
      <c r="J13" s="23">
        <v>0</v>
      </c>
      <c r="K13" s="23">
        <v>0</v>
      </c>
      <c r="L13" s="23" t="s">
        <v>88</v>
      </c>
      <c r="M13" s="23"/>
      <c r="N13" s="23">
        <v>0</v>
      </c>
      <c r="O13" s="23">
        <v>3.0258206786081199E-2</v>
      </c>
      <c r="P13" s="23">
        <v>0</v>
      </c>
      <c r="Q13" s="23">
        <v>0</v>
      </c>
      <c r="R13" s="23"/>
      <c r="S13" s="23">
        <v>0</v>
      </c>
      <c r="T13" s="23">
        <v>0</v>
      </c>
      <c r="U13" s="23">
        <v>0</v>
      </c>
      <c r="V13" s="23">
        <v>0</v>
      </c>
      <c r="W13" s="23">
        <v>9.9082455130922606E-2</v>
      </c>
      <c r="X13" s="23">
        <v>0</v>
      </c>
      <c r="Y13" s="23">
        <v>0</v>
      </c>
      <c r="Z13" s="23">
        <v>0</v>
      </c>
      <c r="AA13" s="23">
        <v>0</v>
      </c>
      <c r="AB13" s="23"/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/>
      <c r="AI13" s="23">
        <v>0</v>
      </c>
      <c r="AJ13" s="23">
        <v>0</v>
      </c>
      <c r="AK13" s="23">
        <v>7.6480527708070706E-2</v>
      </c>
      <c r="AL13" s="23">
        <v>0</v>
      </c>
      <c r="AM13" s="23">
        <v>0</v>
      </c>
      <c r="AN13" s="23">
        <v>0</v>
      </c>
      <c r="AO13" s="23"/>
      <c r="AP13" s="23">
        <v>0</v>
      </c>
      <c r="AQ13" s="23">
        <v>1.7214492642814098E-2</v>
      </c>
      <c r="AR13" s="23"/>
      <c r="AS13" s="23" t="s">
        <v>88</v>
      </c>
      <c r="AT13" s="23">
        <v>7.1583595985471897E-3</v>
      </c>
      <c r="AU13" s="23" t="s">
        <v>88</v>
      </c>
      <c r="AV13" s="23"/>
      <c r="AW13" s="23">
        <v>9.6681491707376905E-3</v>
      </c>
      <c r="AX13" s="23">
        <v>0</v>
      </c>
      <c r="AY13" s="23"/>
      <c r="AZ13" s="23">
        <v>8.4173066997528401E-3</v>
      </c>
      <c r="BA13" s="23">
        <v>0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B2:BA17"/>
  <sheetViews>
    <sheetView showGridLines="0" workbookViewId="0">
      <pane xSplit="2" topLeftCell="C1" activePane="topRight" state="frozen"/>
      <selection pane="topRight" activeCell="B7" sqref="B7:BA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128</v>
      </c>
      <c r="D7" s="10">
        <v>54</v>
      </c>
      <c r="E7" s="10">
        <v>74</v>
      </c>
      <c r="F7" s="10"/>
      <c r="G7" s="10">
        <v>1</v>
      </c>
      <c r="H7" s="10">
        <v>30</v>
      </c>
      <c r="I7" s="10">
        <v>81</v>
      </c>
      <c r="J7" s="10">
        <v>13</v>
      </c>
      <c r="K7" s="10">
        <v>3</v>
      </c>
      <c r="L7" s="10" t="s">
        <v>87</v>
      </c>
      <c r="M7" s="10"/>
      <c r="N7" s="10">
        <v>59</v>
      </c>
      <c r="O7" s="10">
        <v>27</v>
      </c>
      <c r="P7" s="10">
        <v>18</v>
      </c>
      <c r="Q7" s="10">
        <v>24</v>
      </c>
      <c r="R7" s="10"/>
      <c r="S7" s="10">
        <v>29</v>
      </c>
      <c r="T7" s="10">
        <v>21</v>
      </c>
      <c r="U7" s="10">
        <v>8</v>
      </c>
      <c r="V7" s="10">
        <v>4</v>
      </c>
      <c r="W7" s="10">
        <v>10</v>
      </c>
      <c r="X7" s="10">
        <v>19</v>
      </c>
      <c r="Y7" s="10">
        <v>18</v>
      </c>
      <c r="Z7" s="10">
        <v>6</v>
      </c>
      <c r="AA7" s="10">
        <v>13</v>
      </c>
      <c r="AB7" s="10"/>
      <c r="AC7" s="10">
        <v>10</v>
      </c>
      <c r="AD7" s="10">
        <v>22</v>
      </c>
      <c r="AE7" s="10">
        <v>36</v>
      </c>
      <c r="AF7" s="10">
        <v>42</v>
      </c>
      <c r="AG7" s="10">
        <v>6</v>
      </c>
      <c r="AH7" s="10"/>
      <c r="AI7" s="10">
        <v>49</v>
      </c>
      <c r="AJ7" s="10">
        <v>28</v>
      </c>
      <c r="AK7" s="10">
        <v>12</v>
      </c>
      <c r="AL7" s="10">
        <v>14</v>
      </c>
      <c r="AM7" s="10">
        <v>6</v>
      </c>
      <c r="AN7" s="10">
        <v>7</v>
      </c>
      <c r="AO7" s="10"/>
      <c r="AP7" s="10">
        <v>72</v>
      </c>
      <c r="AQ7" s="10">
        <v>56</v>
      </c>
      <c r="AR7" s="10"/>
      <c r="AS7" s="10" t="s">
        <v>87</v>
      </c>
      <c r="AT7" s="10">
        <v>128</v>
      </c>
      <c r="AU7" s="10" t="s">
        <v>87</v>
      </c>
      <c r="AV7" s="10"/>
      <c r="AW7" s="10">
        <v>91</v>
      </c>
      <c r="AX7" s="10">
        <v>28</v>
      </c>
      <c r="AY7" s="10"/>
      <c r="AZ7" s="10">
        <v>110</v>
      </c>
      <c r="BA7" s="10">
        <v>18</v>
      </c>
    </row>
    <row r="8" spans="2:53" ht="30" customHeight="1" x14ac:dyDescent="0.35">
      <c r="B8" s="11" t="s">
        <v>19</v>
      </c>
      <c r="C8" s="11">
        <v>124</v>
      </c>
      <c r="D8" s="11">
        <v>62</v>
      </c>
      <c r="E8" s="11">
        <v>61</v>
      </c>
      <c r="F8" s="11"/>
      <c r="G8" s="11">
        <v>2</v>
      </c>
      <c r="H8" s="11">
        <v>25</v>
      </c>
      <c r="I8" s="11">
        <v>80</v>
      </c>
      <c r="J8" s="11">
        <v>14</v>
      </c>
      <c r="K8" s="11">
        <v>3</v>
      </c>
      <c r="L8" s="11" t="s">
        <v>87</v>
      </c>
      <c r="M8" s="11"/>
      <c r="N8" s="11">
        <v>36</v>
      </c>
      <c r="O8" s="11">
        <v>29</v>
      </c>
      <c r="P8" s="11">
        <v>25</v>
      </c>
      <c r="Q8" s="11">
        <v>33</v>
      </c>
      <c r="R8" s="11"/>
      <c r="S8" s="11">
        <v>21</v>
      </c>
      <c r="T8" s="11">
        <v>26</v>
      </c>
      <c r="U8" s="11">
        <v>10</v>
      </c>
      <c r="V8" s="11">
        <v>3</v>
      </c>
      <c r="W8" s="11">
        <v>9</v>
      </c>
      <c r="X8" s="11">
        <v>18</v>
      </c>
      <c r="Y8" s="11">
        <v>17</v>
      </c>
      <c r="Z8" s="11">
        <v>6</v>
      </c>
      <c r="AA8" s="11">
        <v>14</v>
      </c>
      <c r="AB8" s="11"/>
      <c r="AC8" s="11">
        <v>13</v>
      </c>
      <c r="AD8" s="11">
        <v>24</v>
      </c>
      <c r="AE8" s="11">
        <v>36</v>
      </c>
      <c r="AF8" s="11">
        <v>36</v>
      </c>
      <c r="AG8" s="11">
        <v>4</v>
      </c>
      <c r="AH8" s="11"/>
      <c r="AI8" s="11">
        <v>49</v>
      </c>
      <c r="AJ8" s="11">
        <v>25</v>
      </c>
      <c r="AK8" s="11">
        <v>12</v>
      </c>
      <c r="AL8" s="11">
        <v>14</v>
      </c>
      <c r="AM8" s="11">
        <v>6</v>
      </c>
      <c r="AN8" s="11">
        <v>8</v>
      </c>
      <c r="AO8" s="11"/>
      <c r="AP8" s="11">
        <v>72</v>
      </c>
      <c r="AQ8" s="11">
        <v>51</v>
      </c>
      <c r="AR8" s="11"/>
      <c r="AS8" s="11" t="s">
        <v>87</v>
      </c>
      <c r="AT8" s="11">
        <v>124</v>
      </c>
      <c r="AU8" s="11" t="s">
        <v>87</v>
      </c>
      <c r="AV8" s="11"/>
      <c r="AW8" s="11">
        <v>92</v>
      </c>
      <c r="AX8" s="11">
        <v>20</v>
      </c>
      <c r="AY8" s="11"/>
      <c r="AZ8" s="11">
        <v>105</v>
      </c>
      <c r="BA8" s="11">
        <v>19</v>
      </c>
    </row>
    <row r="9" spans="2:53" ht="29" x14ac:dyDescent="0.35">
      <c r="B9" s="15" t="s">
        <v>231</v>
      </c>
      <c r="C9" s="14">
        <v>0.14959284747930901</v>
      </c>
      <c r="D9" s="14">
        <v>0.114174375381346</v>
      </c>
      <c r="E9" s="14">
        <v>0.185552629752925</v>
      </c>
      <c r="F9" s="14"/>
      <c r="G9" s="14">
        <v>0</v>
      </c>
      <c r="H9" s="14">
        <v>0.15152859989166101</v>
      </c>
      <c r="I9" s="14">
        <v>0.14355943942260299</v>
      </c>
      <c r="J9" s="14">
        <v>0.23524425516677999</v>
      </c>
      <c r="K9" s="14">
        <v>0</v>
      </c>
      <c r="L9" s="14" t="s">
        <v>88</v>
      </c>
      <c r="M9" s="14"/>
      <c r="N9" s="14">
        <v>2.9638930368515701E-2</v>
      </c>
      <c r="O9" s="14">
        <v>0.19833715955807801</v>
      </c>
      <c r="P9" s="14">
        <v>0.20075123418377999</v>
      </c>
      <c r="Q9" s="14">
        <v>0.199495400238589</v>
      </c>
      <c r="R9" s="14"/>
      <c r="S9" s="14">
        <v>0.150261604452089</v>
      </c>
      <c r="T9" s="14">
        <v>0.16979058035337199</v>
      </c>
      <c r="U9" s="14">
        <v>0.17476435742687199</v>
      </c>
      <c r="V9" s="14">
        <v>0</v>
      </c>
      <c r="W9" s="14">
        <v>0.198164913774591</v>
      </c>
      <c r="X9" s="14">
        <v>0.100114815019631</v>
      </c>
      <c r="Y9" s="14">
        <v>0.122298158863185</v>
      </c>
      <c r="Z9" s="14">
        <v>0.185848546146474</v>
      </c>
      <c r="AA9" s="14">
        <v>0.17086889729581101</v>
      </c>
      <c r="AB9" s="14"/>
      <c r="AC9" s="14">
        <v>0.18666573017117299</v>
      </c>
      <c r="AD9" s="14">
        <v>0.13704394477418799</v>
      </c>
      <c r="AE9" s="14">
        <v>0.14350024337345399</v>
      </c>
      <c r="AF9" s="14">
        <v>0.100187774245664</v>
      </c>
      <c r="AG9" s="14">
        <v>0.28986786526745301</v>
      </c>
      <c r="AH9" s="14"/>
      <c r="AI9" s="14">
        <v>0.16839142331270299</v>
      </c>
      <c r="AJ9" s="14">
        <v>0.10732179157093499</v>
      </c>
      <c r="AK9" s="14">
        <v>0.24977501091196899</v>
      </c>
      <c r="AL9" s="14">
        <v>8.2308156933420903E-2</v>
      </c>
      <c r="AM9" s="14">
        <v>0.15668697653653399</v>
      </c>
      <c r="AN9" s="14">
        <v>0.16273181362884301</v>
      </c>
      <c r="AO9" s="14"/>
      <c r="AP9" s="14">
        <v>0.18871559394526</v>
      </c>
      <c r="AQ9" s="14">
        <v>9.4632833512062295E-2</v>
      </c>
      <c r="AR9" s="14"/>
      <c r="AS9" s="14" t="s">
        <v>88</v>
      </c>
      <c r="AT9" s="14">
        <v>0.14959284747930901</v>
      </c>
      <c r="AU9" s="14" t="s">
        <v>88</v>
      </c>
      <c r="AV9" s="14"/>
      <c r="AW9" s="14">
        <v>0.123058272193353</v>
      </c>
      <c r="AX9" s="14">
        <v>0.147406456610192</v>
      </c>
      <c r="AY9" s="14"/>
      <c r="AZ9" s="14">
        <v>0.16602594074684501</v>
      </c>
      <c r="BA9" s="14">
        <v>5.6154456928321897E-2</v>
      </c>
    </row>
    <row r="10" spans="2:53" ht="29" x14ac:dyDescent="0.35">
      <c r="B10" s="15" t="s">
        <v>232</v>
      </c>
      <c r="C10" s="14">
        <v>0.64766220756831905</v>
      </c>
      <c r="D10" s="14">
        <v>0.68287890258711903</v>
      </c>
      <c r="E10" s="14">
        <v>0.61190728618803603</v>
      </c>
      <c r="F10" s="14"/>
      <c r="G10" s="14">
        <v>0</v>
      </c>
      <c r="H10" s="14">
        <v>0.52359600248141402</v>
      </c>
      <c r="I10" s="14">
        <v>0.70326378391872701</v>
      </c>
      <c r="J10" s="14">
        <v>0.57067597170874196</v>
      </c>
      <c r="K10" s="14">
        <v>1</v>
      </c>
      <c r="L10" s="14" t="s">
        <v>88</v>
      </c>
      <c r="M10" s="14"/>
      <c r="N10" s="14">
        <v>0.83635662045919401</v>
      </c>
      <c r="O10" s="14">
        <v>0.55785815808169703</v>
      </c>
      <c r="P10" s="14">
        <v>0.65131477328041698</v>
      </c>
      <c r="Q10" s="14">
        <v>0.51834491148334005</v>
      </c>
      <c r="R10" s="14"/>
      <c r="S10" s="14">
        <v>0.64660139935166805</v>
      </c>
      <c r="T10" s="14">
        <v>0.57535599857109199</v>
      </c>
      <c r="U10" s="14">
        <v>0.82523564257312798</v>
      </c>
      <c r="V10" s="14">
        <v>0.921206667758387</v>
      </c>
      <c r="W10" s="14">
        <v>0.65366276403350498</v>
      </c>
      <c r="X10" s="14">
        <v>0.68068766751836995</v>
      </c>
      <c r="Y10" s="14">
        <v>0.55184662430153597</v>
      </c>
      <c r="Z10" s="14">
        <v>0.46191849175912902</v>
      </c>
      <c r="AA10" s="14">
        <v>0.76141969882958105</v>
      </c>
      <c r="AB10" s="14"/>
      <c r="AC10" s="14">
        <v>0.62286908122113505</v>
      </c>
      <c r="AD10" s="14">
        <v>0.693470851799173</v>
      </c>
      <c r="AE10" s="14">
        <v>0.63769912242877003</v>
      </c>
      <c r="AF10" s="14">
        <v>0.65073038886262302</v>
      </c>
      <c r="AG10" s="14">
        <v>0.45971961556927299</v>
      </c>
      <c r="AH10" s="14"/>
      <c r="AI10" s="14">
        <v>0.65023518566953697</v>
      </c>
      <c r="AJ10" s="14">
        <v>0.80336796154587098</v>
      </c>
      <c r="AK10" s="14">
        <v>0.57201188214177201</v>
      </c>
      <c r="AL10" s="14">
        <v>0.613251719861442</v>
      </c>
      <c r="AM10" s="14">
        <v>0.84331302346346604</v>
      </c>
      <c r="AN10" s="14">
        <v>0.67778881545457204</v>
      </c>
      <c r="AO10" s="14"/>
      <c r="AP10" s="14">
        <v>0.59670931312168296</v>
      </c>
      <c r="AQ10" s="14">
        <v>0.71924132824421405</v>
      </c>
      <c r="AR10" s="14"/>
      <c r="AS10" s="14" t="s">
        <v>88</v>
      </c>
      <c r="AT10" s="14">
        <v>0.64766220756831905</v>
      </c>
      <c r="AU10" s="14" t="s">
        <v>88</v>
      </c>
      <c r="AV10" s="14"/>
      <c r="AW10" s="14">
        <v>0.640776909315663</v>
      </c>
      <c r="AX10" s="14">
        <v>0.76191011662272501</v>
      </c>
      <c r="AY10" s="14"/>
      <c r="AZ10" s="14">
        <v>0.664650871926728</v>
      </c>
      <c r="BA10" s="14">
        <v>0.551064845804626</v>
      </c>
    </row>
    <row r="11" spans="2:53" ht="29" x14ac:dyDescent="0.35">
      <c r="B11" s="15" t="s">
        <v>233</v>
      </c>
      <c r="C11" s="14">
        <v>0.19561611454627101</v>
      </c>
      <c r="D11" s="14">
        <v>0.20294672203153499</v>
      </c>
      <c r="E11" s="14">
        <v>0.18817347138610499</v>
      </c>
      <c r="F11" s="14"/>
      <c r="G11" s="14">
        <v>1</v>
      </c>
      <c r="H11" s="14">
        <v>0.28983188364872697</v>
      </c>
      <c r="I11" s="14">
        <v>0.15317677665866999</v>
      </c>
      <c r="J11" s="14">
        <v>0.19407977312447799</v>
      </c>
      <c r="K11" s="14">
        <v>0</v>
      </c>
      <c r="L11" s="14" t="s">
        <v>88</v>
      </c>
      <c r="M11" s="14"/>
      <c r="N11" s="14">
        <v>0.13400444917229001</v>
      </c>
      <c r="O11" s="14">
        <v>0.213671294731235</v>
      </c>
      <c r="P11" s="14">
        <v>0.147933992535803</v>
      </c>
      <c r="Q11" s="14">
        <v>0.28215968827807097</v>
      </c>
      <c r="R11" s="14"/>
      <c r="S11" s="14">
        <v>0.20313699619624401</v>
      </c>
      <c r="T11" s="14">
        <v>0.221280168145982</v>
      </c>
      <c r="U11" s="14">
        <v>0</v>
      </c>
      <c r="V11" s="14">
        <v>7.8793332241612696E-2</v>
      </c>
      <c r="W11" s="14">
        <v>0.14817232219190499</v>
      </c>
      <c r="X11" s="14">
        <v>0.219197517461999</v>
      </c>
      <c r="Y11" s="14">
        <v>0.32585521683527902</v>
      </c>
      <c r="Z11" s="14">
        <v>0.35223296209439697</v>
      </c>
      <c r="AA11" s="14">
        <v>6.7711403874607501E-2</v>
      </c>
      <c r="AB11" s="14"/>
      <c r="AC11" s="14">
        <v>0.19046518860769199</v>
      </c>
      <c r="AD11" s="14">
        <v>0.131925382595381</v>
      </c>
      <c r="AE11" s="14">
        <v>0.21880063419777601</v>
      </c>
      <c r="AF11" s="14">
        <v>0.24908183689171301</v>
      </c>
      <c r="AG11" s="14">
        <v>0.25041251916327401</v>
      </c>
      <c r="AH11" s="14"/>
      <c r="AI11" s="14">
        <v>0.18137339101776001</v>
      </c>
      <c r="AJ11" s="14">
        <v>8.9310246883194097E-2</v>
      </c>
      <c r="AK11" s="14">
        <v>0.178213106946259</v>
      </c>
      <c r="AL11" s="14">
        <v>0.30444012320513703</v>
      </c>
      <c r="AM11" s="14">
        <v>0</v>
      </c>
      <c r="AN11" s="14">
        <v>0.15947937091658501</v>
      </c>
      <c r="AO11" s="14"/>
      <c r="AP11" s="14">
        <v>0.202371674577563</v>
      </c>
      <c r="AQ11" s="14">
        <v>0.186125838243724</v>
      </c>
      <c r="AR11" s="14"/>
      <c r="AS11" s="14" t="s">
        <v>88</v>
      </c>
      <c r="AT11" s="14">
        <v>0.19561611454627101</v>
      </c>
      <c r="AU11" s="14" t="s">
        <v>88</v>
      </c>
      <c r="AV11" s="14"/>
      <c r="AW11" s="14">
        <v>0.226536551730948</v>
      </c>
      <c r="AX11" s="14">
        <v>9.0683426767082895E-2</v>
      </c>
      <c r="AY11" s="14"/>
      <c r="AZ11" s="14">
        <v>0.16094060314459099</v>
      </c>
      <c r="BA11" s="14">
        <v>0.392780697267052</v>
      </c>
    </row>
    <row r="12" spans="2:53" x14ac:dyDescent="0.35">
      <c r="B12" s="15" t="s">
        <v>116</v>
      </c>
      <c r="C12" s="23">
        <v>7.1288304061014303E-3</v>
      </c>
      <c r="D12" s="23">
        <v>0</v>
      </c>
      <c r="E12" s="23">
        <v>1.43666126729341E-2</v>
      </c>
      <c r="F12" s="23"/>
      <c r="G12" s="23">
        <v>0</v>
      </c>
      <c r="H12" s="23">
        <v>3.5043513978197098E-2</v>
      </c>
      <c r="I12" s="23">
        <v>0</v>
      </c>
      <c r="J12" s="23">
        <v>0</v>
      </c>
      <c r="K12" s="23">
        <v>0</v>
      </c>
      <c r="L12" s="23" t="s">
        <v>88</v>
      </c>
      <c r="M12" s="23"/>
      <c r="N12" s="23">
        <v>0</v>
      </c>
      <c r="O12" s="23">
        <v>3.01333876289895E-2</v>
      </c>
      <c r="P12" s="23">
        <v>0</v>
      </c>
      <c r="Q12" s="23">
        <v>0</v>
      </c>
      <c r="R12" s="23"/>
      <c r="S12" s="23">
        <v>0</v>
      </c>
      <c r="T12" s="23">
        <v>3.3573252929554202E-2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/>
      <c r="AC12" s="23">
        <v>0</v>
      </c>
      <c r="AD12" s="23">
        <v>3.7559820831258202E-2</v>
      </c>
      <c r="AE12" s="23">
        <v>0</v>
      </c>
      <c r="AF12" s="23">
        <v>0</v>
      </c>
      <c r="AG12" s="23">
        <v>0</v>
      </c>
      <c r="AH12" s="23"/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/>
      <c r="AP12" s="23">
        <v>1.22034183554946E-2</v>
      </c>
      <c r="AQ12" s="23">
        <v>0</v>
      </c>
      <c r="AR12" s="23"/>
      <c r="AS12" s="23" t="s">
        <v>88</v>
      </c>
      <c r="AT12" s="23">
        <v>7.1288304061014303E-3</v>
      </c>
      <c r="AU12" s="23" t="s">
        <v>88</v>
      </c>
      <c r="AV12" s="23"/>
      <c r="AW12" s="23">
        <v>9.6282667600363601E-3</v>
      </c>
      <c r="AX12" s="23">
        <v>0</v>
      </c>
      <c r="AY12" s="23"/>
      <c r="AZ12" s="23">
        <v>8.3825841818365304E-3</v>
      </c>
      <c r="BA12" s="23">
        <v>0</v>
      </c>
    </row>
    <row r="13" spans="2:53" x14ac:dyDescent="0.35">
      <c r="B13" s="16" t="s">
        <v>328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B2:BA18"/>
  <sheetViews>
    <sheetView showGridLines="0" workbookViewId="0">
      <pane xSplit="2" topLeftCell="C1" activePane="topRight" state="frozen"/>
      <selection pane="topRight" activeCell="D16" sqref="D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128</v>
      </c>
      <c r="D7" s="10">
        <v>54</v>
      </c>
      <c r="E7" s="10">
        <v>74</v>
      </c>
      <c r="F7" s="10"/>
      <c r="G7" s="10">
        <v>1</v>
      </c>
      <c r="H7" s="10">
        <v>30</v>
      </c>
      <c r="I7" s="10">
        <v>81</v>
      </c>
      <c r="J7" s="10">
        <v>13</v>
      </c>
      <c r="K7" s="10">
        <v>3</v>
      </c>
      <c r="L7" s="10" t="s">
        <v>87</v>
      </c>
      <c r="M7" s="10"/>
      <c r="N7" s="10">
        <v>59</v>
      </c>
      <c r="O7" s="10">
        <v>27</v>
      </c>
      <c r="P7" s="10">
        <v>18</v>
      </c>
      <c r="Q7" s="10">
        <v>24</v>
      </c>
      <c r="R7" s="10"/>
      <c r="S7" s="10">
        <v>29</v>
      </c>
      <c r="T7" s="10">
        <v>21</v>
      </c>
      <c r="U7" s="10">
        <v>8</v>
      </c>
      <c r="V7" s="10">
        <v>4</v>
      </c>
      <c r="W7" s="10">
        <v>10</v>
      </c>
      <c r="X7" s="10">
        <v>19</v>
      </c>
      <c r="Y7" s="10">
        <v>18</v>
      </c>
      <c r="Z7" s="10">
        <v>6</v>
      </c>
      <c r="AA7" s="10">
        <v>13</v>
      </c>
      <c r="AB7" s="10"/>
      <c r="AC7" s="10">
        <v>10</v>
      </c>
      <c r="AD7" s="10">
        <v>22</v>
      </c>
      <c r="AE7" s="10">
        <v>36</v>
      </c>
      <c r="AF7" s="10">
        <v>42</v>
      </c>
      <c r="AG7" s="10">
        <v>6</v>
      </c>
      <c r="AH7" s="10"/>
      <c r="AI7" s="10">
        <v>49</v>
      </c>
      <c r="AJ7" s="10">
        <v>28</v>
      </c>
      <c r="AK7" s="10">
        <v>12</v>
      </c>
      <c r="AL7" s="10">
        <v>14</v>
      </c>
      <c r="AM7" s="10">
        <v>6</v>
      </c>
      <c r="AN7" s="10">
        <v>7</v>
      </c>
      <c r="AO7" s="10"/>
      <c r="AP7" s="10">
        <v>72</v>
      </c>
      <c r="AQ7" s="10">
        <v>56</v>
      </c>
      <c r="AR7" s="10"/>
      <c r="AS7" s="10" t="s">
        <v>87</v>
      </c>
      <c r="AT7" s="10">
        <v>128</v>
      </c>
      <c r="AU7" s="10" t="s">
        <v>87</v>
      </c>
      <c r="AV7" s="10"/>
      <c r="AW7" s="10">
        <v>91</v>
      </c>
      <c r="AX7" s="10">
        <v>28</v>
      </c>
      <c r="AY7" s="10"/>
      <c r="AZ7" s="10">
        <v>110</v>
      </c>
      <c r="BA7" s="10">
        <v>18</v>
      </c>
    </row>
    <row r="8" spans="2:53" ht="30" customHeight="1" x14ac:dyDescent="0.35">
      <c r="B8" s="11" t="s">
        <v>19</v>
      </c>
      <c r="C8" s="11">
        <v>124</v>
      </c>
      <c r="D8" s="11">
        <v>62</v>
      </c>
      <c r="E8" s="11">
        <v>61</v>
      </c>
      <c r="F8" s="11"/>
      <c r="G8" s="11">
        <v>2</v>
      </c>
      <c r="H8" s="11">
        <v>25</v>
      </c>
      <c r="I8" s="11">
        <v>80</v>
      </c>
      <c r="J8" s="11">
        <v>14</v>
      </c>
      <c r="K8" s="11">
        <v>3</v>
      </c>
      <c r="L8" s="11" t="s">
        <v>87</v>
      </c>
      <c r="M8" s="11"/>
      <c r="N8" s="11">
        <v>36</v>
      </c>
      <c r="O8" s="11">
        <v>29</v>
      </c>
      <c r="P8" s="11">
        <v>25</v>
      </c>
      <c r="Q8" s="11">
        <v>33</v>
      </c>
      <c r="R8" s="11"/>
      <c r="S8" s="11">
        <v>21</v>
      </c>
      <c r="T8" s="11">
        <v>26</v>
      </c>
      <c r="U8" s="11">
        <v>10</v>
      </c>
      <c r="V8" s="11">
        <v>3</v>
      </c>
      <c r="W8" s="11">
        <v>9</v>
      </c>
      <c r="X8" s="11">
        <v>18</v>
      </c>
      <c r="Y8" s="11">
        <v>17</v>
      </c>
      <c r="Z8" s="11">
        <v>6</v>
      </c>
      <c r="AA8" s="11">
        <v>14</v>
      </c>
      <c r="AB8" s="11"/>
      <c r="AC8" s="11">
        <v>13</v>
      </c>
      <c r="AD8" s="11">
        <v>24</v>
      </c>
      <c r="AE8" s="11">
        <v>36</v>
      </c>
      <c r="AF8" s="11">
        <v>36</v>
      </c>
      <c r="AG8" s="11">
        <v>4</v>
      </c>
      <c r="AH8" s="11"/>
      <c r="AI8" s="11">
        <v>49</v>
      </c>
      <c r="AJ8" s="11">
        <v>25</v>
      </c>
      <c r="AK8" s="11">
        <v>12</v>
      </c>
      <c r="AL8" s="11">
        <v>14</v>
      </c>
      <c r="AM8" s="11">
        <v>6</v>
      </c>
      <c r="AN8" s="11">
        <v>8</v>
      </c>
      <c r="AO8" s="11"/>
      <c r="AP8" s="11">
        <v>72</v>
      </c>
      <c r="AQ8" s="11">
        <v>51</v>
      </c>
      <c r="AR8" s="11"/>
      <c r="AS8" s="11" t="s">
        <v>87</v>
      </c>
      <c r="AT8" s="11">
        <v>124</v>
      </c>
      <c r="AU8" s="11" t="s">
        <v>87</v>
      </c>
      <c r="AV8" s="11"/>
      <c r="AW8" s="11">
        <v>92</v>
      </c>
      <c r="AX8" s="11">
        <v>20</v>
      </c>
      <c r="AY8" s="11"/>
      <c r="AZ8" s="11">
        <v>105</v>
      </c>
      <c r="BA8" s="11">
        <v>19</v>
      </c>
    </row>
    <row r="9" spans="2:53" x14ac:dyDescent="0.35">
      <c r="B9" s="15" t="s">
        <v>235</v>
      </c>
      <c r="C9" s="14">
        <v>0.33697379927559601</v>
      </c>
      <c r="D9" s="14">
        <v>0.27064197916214999</v>
      </c>
      <c r="E9" s="14">
        <v>0.40431938669943701</v>
      </c>
      <c r="F9" s="14"/>
      <c r="G9" s="14">
        <v>1</v>
      </c>
      <c r="H9" s="14">
        <v>0.39108276699146999</v>
      </c>
      <c r="I9" s="14">
        <v>0.32634732515261</v>
      </c>
      <c r="J9" s="14">
        <v>0.233953870570488</v>
      </c>
      <c r="K9" s="14">
        <v>0.188023065896891</v>
      </c>
      <c r="L9" s="14" t="s">
        <v>88</v>
      </c>
      <c r="M9" s="14"/>
      <c r="N9" s="14">
        <v>0.29902482570518202</v>
      </c>
      <c r="O9" s="14">
        <v>0.38675298420431498</v>
      </c>
      <c r="P9" s="14">
        <v>0.24131569196265701</v>
      </c>
      <c r="Q9" s="14">
        <v>0.40549757152075699</v>
      </c>
      <c r="R9" s="14"/>
      <c r="S9" s="14">
        <v>0.338476340202221</v>
      </c>
      <c r="T9" s="14">
        <v>0.29342120128382598</v>
      </c>
      <c r="U9" s="14">
        <v>0.33536597880511199</v>
      </c>
      <c r="V9" s="14">
        <v>0.74258271912261298</v>
      </c>
      <c r="W9" s="14">
        <v>0.44541969109741802</v>
      </c>
      <c r="X9" s="14">
        <v>0.257474670958518</v>
      </c>
      <c r="Y9" s="14">
        <v>0.29484083639928199</v>
      </c>
      <c r="Z9" s="14">
        <v>0.53808150824087098</v>
      </c>
      <c r="AA9" s="14">
        <v>0.32861288529342297</v>
      </c>
      <c r="AB9" s="14"/>
      <c r="AC9" s="14">
        <v>0.55522414094720596</v>
      </c>
      <c r="AD9" s="14">
        <v>0.36687852539460702</v>
      </c>
      <c r="AE9" s="14">
        <v>0.23850285190724299</v>
      </c>
      <c r="AF9" s="14">
        <v>0.39190067737280898</v>
      </c>
      <c r="AG9" s="14">
        <v>0.194471390537484</v>
      </c>
      <c r="AH9" s="14"/>
      <c r="AI9" s="14">
        <v>0.42042907270787799</v>
      </c>
      <c r="AJ9" s="14">
        <v>0.17460394560756501</v>
      </c>
      <c r="AK9" s="14">
        <v>0.331174129726933</v>
      </c>
      <c r="AL9" s="14">
        <v>0.44772006905429901</v>
      </c>
      <c r="AM9" s="14">
        <v>0.41720228594271203</v>
      </c>
      <c r="AN9" s="14">
        <v>0.23552346415995001</v>
      </c>
      <c r="AO9" s="14"/>
      <c r="AP9" s="14">
        <v>0.38420445418250498</v>
      </c>
      <c r="AQ9" s="14">
        <v>0.270623716833785</v>
      </c>
      <c r="AR9" s="14"/>
      <c r="AS9" s="14" t="s">
        <v>88</v>
      </c>
      <c r="AT9" s="14">
        <v>0.33697379927559601</v>
      </c>
      <c r="AU9" s="14" t="s">
        <v>88</v>
      </c>
      <c r="AV9" s="14"/>
      <c r="AW9" s="14">
        <v>0.35054696494634502</v>
      </c>
      <c r="AX9" s="14">
        <v>0.33312347467743197</v>
      </c>
      <c r="AY9" s="14"/>
      <c r="AZ9" s="14">
        <v>0.33192051157653202</v>
      </c>
      <c r="BA9" s="14">
        <v>0.36570673846753698</v>
      </c>
    </row>
    <row r="10" spans="2:53" x14ac:dyDescent="0.35">
      <c r="B10" s="15" t="s">
        <v>236</v>
      </c>
      <c r="C10" s="14">
        <v>0.56275458789146504</v>
      </c>
      <c r="D10" s="14">
        <v>0.63200311517769603</v>
      </c>
      <c r="E10" s="14">
        <v>0.492447716463076</v>
      </c>
      <c r="F10" s="14"/>
      <c r="G10" s="14">
        <v>0</v>
      </c>
      <c r="H10" s="14">
        <v>0.47319684432299602</v>
      </c>
      <c r="I10" s="14">
        <v>0.57399276794570697</v>
      </c>
      <c r="J10" s="14">
        <v>0.69134010205776097</v>
      </c>
      <c r="K10" s="14">
        <v>0.811976934103109</v>
      </c>
      <c r="L10" s="14" t="s">
        <v>88</v>
      </c>
      <c r="M10" s="14"/>
      <c r="N10" s="14">
        <v>0.64732279249615399</v>
      </c>
      <c r="O10" s="14">
        <v>0.57423627134080202</v>
      </c>
      <c r="P10" s="14">
        <v>0.593365350519514</v>
      </c>
      <c r="Q10" s="14">
        <v>0.437981568666099</v>
      </c>
      <c r="R10" s="14"/>
      <c r="S10" s="14">
        <v>0.57358114503514201</v>
      </c>
      <c r="T10" s="14">
        <v>0.53595760962446204</v>
      </c>
      <c r="U10" s="14">
        <v>0.66463402119488801</v>
      </c>
      <c r="V10" s="14">
        <v>0.25741728087738702</v>
      </c>
      <c r="W10" s="14">
        <v>0.55458030890258203</v>
      </c>
      <c r="X10" s="14">
        <v>0.53233261056021897</v>
      </c>
      <c r="Y10" s="14">
        <v>0.64454907378748605</v>
      </c>
      <c r="Z10" s="14">
        <v>0.46191849175912902</v>
      </c>
      <c r="AA10" s="14">
        <v>0.57499432625041402</v>
      </c>
      <c r="AB10" s="14"/>
      <c r="AC10" s="14">
        <v>0.34490022233200801</v>
      </c>
      <c r="AD10" s="14">
        <v>0.536756458281198</v>
      </c>
      <c r="AE10" s="14">
        <v>0.69511685810745705</v>
      </c>
      <c r="AF10" s="14">
        <v>0.53740254518385999</v>
      </c>
      <c r="AG10" s="14">
        <v>0.51566074419506303</v>
      </c>
      <c r="AH10" s="14"/>
      <c r="AI10" s="14">
        <v>0.51585822761492695</v>
      </c>
      <c r="AJ10" s="14">
        <v>0.73342985533341098</v>
      </c>
      <c r="AK10" s="14">
        <v>0.49553138706916899</v>
      </c>
      <c r="AL10" s="14">
        <v>0.53051624203556302</v>
      </c>
      <c r="AM10" s="14">
        <v>0.40630015647640899</v>
      </c>
      <c r="AN10" s="14">
        <v>0.59885045960928596</v>
      </c>
      <c r="AO10" s="14"/>
      <c r="AP10" s="14">
        <v>0.51770938673343003</v>
      </c>
      <c r="AQ10" s="14">
        <v>0.62603452369448098</v>
      </c>
      <c r="AR10" s="14"/>
      <c r="AS10" s="14" t="s">
        <v>88</v>
      </c>
      <c r="AT10" s="14">
        <v>0.56275458789146504</v>
      </c>
      <c r="AU10" s="14" t="s">
        <v>88</v>
      </c>
      <c r="AV10" s="14"/>
      <c r="AW10" s="14">
        <v>0.578948587174686</v>
      </c>
      <c r="AX10" s="14">
        <v>0.52249025856256104</v>
      </c>
      <c r="AY10" s="14"/>
      <c r="AZ10" s="14">
        <v>0.55017301741228497</v>
      </c>
      <c r="BA10" s="14">
        <v>0.63429326153246302</v>
      </c>
    </row>
    <row r="11" spans="2:53" x14ac:dyDescent="0.35">
      <c r="B11" s="15" t="s">
        <v>237</v>
      </c>
      <c r="C11" s="14">
        <v>7.9135588368035997E-2</v>
      </c>
      <c r="D11" s="14">
        <v>8.1349444374247196E-2</v>
      </c>
      <c r="E11" s="14">
        <v>7.68878973962656E-2</v>
      </c>
      <c r="F11" s="14"/>
      <c r="G11" s="14">
        <v>0</v>
      </c>
      <c r="H11" s="14">
        <v>5.7500187756766998E-2</v>
      </c>
      <c r="I11" s="14">
        <v>9.1577211461528196E-2</v>
      </c>
      <c r="J11" s="14">
        <v>7.4706027371750403E-2</v>
      </c>
      <c r="K11" s="14">
        <v>0</v>
      </c>
      <c r="L11" s="14" t="s">
        <v>88</v>
      </c>
      <c r="M11" s="14"/>
      <c r="N11" s="14">
        <v>8.4048544002700305E-3</v>
      </c>
      <c r="O11" s="14">
        <v>3.9010744454882902E-2</v>
      </c>
      <c r="P11" s="14">
        <v>0.16531895751782899</v>
      </c>
      <c r="Q11" s="14">
        <v>0.12743521981585601</v>
      </c>
      <c r="R11" s="14"/>
      <c r="S11" s="14">
        <v>5.7548848329538299E-2</v>
      </c>
      <c r="T11" s="14">
        <v>0.17062118909171201</v>
      </c>
      <c r="U11" s="14">
        <v>0</v>
      </c>
      <c r="V11" s="14">
        <v>0</v>
      </c>
      <c r="W11" s="14">
        <v>0</v>
      </c>
      <c r="X11" s="14">
        <v>0.15546357593521601</v>
      </c>
      <c r="Y11" s="14">
        <v>6.0610089813232897E-2</v>
      </c>
      <c r="Z11" s="14">
        <v>0</v>
      </c>
      <c r="AA11" s="14">
        <v>2.2590330863159001E-2</v>
      </c>
      <c r="AB11" s="14"/>
      <c r="AC11" s="14">
        <v>9.9875636720786198E-2</v>
      </c>
      <c r="AD11" s="14">
        <v>6.8842012178771006E-2</v>
      </c>
      <c r="AE11" s="14">
        <v>6.6380289985299698E-2</v>
      </c>
      <c r="AF11" s="14">
        <v>4.2783767151202502E-2</v>
      </c>
      <c r="AG11" s="14">
        <v>0.28986786526745301</v>
      </c>
      <c r="AH11" s="14"/>
      <c r="AI11" s="14">
        <v>4.39705334900614E-2</v>
      </c>
      <c r="AJ11" s="14">
        <v>6.5699549869396398E-2</v>
      </c>
      <c r="AK11" s="14">
        <v>0.17329448320389801</v>
      </c>
      <c r="AL11" s="14">
        <v>2.1763688910137701E-2</v>
      </c>
      <c r="AM11" s="14">
        <v>0</v>
      </c>
      <c r="AN11" s="14">
        <v>0.165626076230764</v>
      </c>
      <c r="AO11" s="14"/>
      <c r="AP11" s="14">
        <v>8.4282871287064701E-2</v>
      </c>
      <c r="AQ11" s="14">
        <v>7.1904635363001193E-2</v>
      </c>
      <c r="AR11" s="14"/>
      <c r="AS11" s="14" t="s">
        <v>88</v>
      </c>
      <c r="AT11" s="14">
        <v>7.9135588368035997E-2</v>
      </c>
      <c r="AU11" s="14" t="s">
        <v>88</v>
      </c>
      <c r="AV11" s="14"/>
      <c r="AW11" s="14">
        <v>5.28484639537549E-2</v>
      </c>
      <c r="AX11" s="14">
        <v>9.5049030045526298E-2</v>
      </c>
      <c r="AY11" s="14"/>
      <c r="AZ11" s="14">
        <v>9.3053235030877895E-2</v>
      </c>
      <c r="BA11" s="14">
        <v>0</v>
      </c>
    </row>
    <row r="12" spans="2:53" x14ac:dyDescent="0.35">
      <c r="B12" s="15" t="s">
        <v>238</v>
      </c>
      <c r="C12" s="14">
        <v>5.2238489022787002E-3</v>
      </c>
      <c r="D12" s="14">
        <v>0</v>
      </c>
      <c r="E12" s="14">
        <v>1.0527535313048999E-2</v>
      </c>
      <c r="F12" s="14"/>
      <c r="G12" s="14">
        <v>0</v>
      </c>
      <c r="H12" s="14">
        <v>0</v>
      </c>
      <c r="I12" s="14">
        <v>8.0826954401551302E-3</v>
      </c>
      <c r="J12" s="14">
        <v>0</v>
      </c>
      <c r="K12" s="14">
        <v>0</v>
      </c>
      <c r="L12" s="14" t="s">
        <v>88</v>
      </c>
      <c r="M12" s="14"/>
      <c r="N12" s="14">
        <v>1.77889251225452E-2</v>
      </c>
      <c r="O12" s="14">
        <v>0</v>
      </c>
      <c r="P12" s="14">
        <v>0</v>
      </c>
      <c r="Q12" s="14">
        <v>0</v>
      </c>
      <c r="R12" s="14"/>
      <c r="S12" s="14">
        <v>3.0393666433099001E-2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2.7523004145423802E-2</v>
      </c>
      <c r="AE12" s="14">
        <v>0</v>
      </c>
      <c r="AF12" s="14">
        <v>0</v>
      </c>
      <c r="AG12" s="14">
        <v>0</v>
      </c>
      <c r="AH12" s="14"/>
      <c r="AI12" s="14">
        <v>0</v>
      </c>
      <c r="AJ12" s="14">
        <v>2.6266649189628E-2</v>
      </c>
      <c r="AK12" s="14">
        <v>0</v>
      </c>
      <c r="AL12" s="14">
        <v>0</v>
      </c>
      <c r="AM12" s="14">
        <v>0</v>
      </c>
      <c r="AN12" s="14">
        <v>0</v>
      </c>
      <c r="AO12" s="14"/>
      <c r="AP12" s="14">
        <v>0</v>
      </c>
      <c r="AQ12" s="14">
        <v>1.25623625437454E-2</v>
      </c>
      <c r="AR12" s="14"/>
      <c r="AS12" s="14" t="s">
        <v>88</v>
      </c>
      <c r="AT12" s="14">
        <v>5.2238489022787002E-3</v>
      </c>
      <c r="AU12" s="14" t="s">
        <v>88</v>
      </c>
      <c r="AV12" s="14"/>
      <c r="AW12" s="14">
        <v>7.0553804593548103E-3</v>
      </c>
      <c r="AX12" s="14">
        <v>0</v>
      </c>
      <c r="AY12" s="14"/>
      <c r="AZ12" s="14">
        <v>6.1425718781396499E-3</v>
      </c>
      <c r="BA12" s="14">
        <v>0</v>
      </c>
    </row>
    <row r="13" spans="2:53" x14ac:dyDescent="0.35">
      <c r="B13" s="15" t="s">
        <v>116</v>
      </c>
      <c r="C13" s="23">
        <v>1.5912175562624399E-2</v>
      </c>
      <c r="D13" s="23">
        <v>1.6005461285907099E-2</v>
      </c>
      <c r="E13" s="23">
        <v>1.5817464128172799E-2</v>
      </c>
      <c r="F13" s="23"/>
      <c r="G13" s="23">
        <v>0</v>
      </c>
      <c r="H13" s="23">
        <v>7.8220200928766498E-2</v>
      </c>
      <c r="I13" s="23">
        <v>0</v>
      </c>
      <c r="J13" s="23">
        <v>0</v>
      </c>
      <c r="K13" s="23">
        <v>0</v>
      </c>
      <c r="L13" s="23" t="s">
        <v>88</v>
      </c>
      <c r="M13" s="23"/>
      <c r="N13" s="23">
        <v>2.7458602275848499E-2</v>
      </c>
      <c r="O13" s="23">
        <v>0</v>
      </c>
      <c r="P13" s="23">
        <v>0</v>
      </c>
      <c r="Q13" s="23">
        <v>2.9085639997287301E-2</v>
      </c>
      <c r="R13" s="23"/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5.4729142546047001E-2</v>
      </c>
      <c r="Y13" s="23">
        <v>0</v>
      </c>
      <c r="Z13" s="23">
        <v>0</v>
      </c>
      <c r="AA13" s="23">
        <v>7.3802457593004703E-2</v>
      </c>
      <c r="AB13" s="23"/>
      <c r="AC13" s="23">
        <v>0</v>
      </c>
      <c r="AD13" s="23">
        <v>0</v>
      </c>
      <c r="AE13" s="23">
        <v>0</v>
      </c>
      <c r="AF13" s="23">
        <v>2.7913010292127699E-2</v>
      </c>
      <c r="AG13" s="23">
        <v>0</v>
      </c>
      <c r="AH13" s="23"/>
      <c r="AI13" s="23">
        <v>1.9742166187133502E-2</v>
      </c>
      <c r="AJ13" s="23">
        <v>0</v>
      </c>
      <c r="AK13" s="23">
        <v>0</v>
      </c>
      <c r="AL13" s="23">
        <v>0</v>
      </c>
      <c r="AM13" s="23">
        <v>0.17649755758088001</v>
      </c>
      <c r="AN13" s="23">
        <v>0</v>
      </c>
      <c r="AO13" s="23"/>
      <c r="AP13" s="23">
        <v>1.38032877970003E-2</v>
      </c>
      <c r="AQ13" s="23">
        <v>1.88747615649883E-2</v>
      </c>
      <c r="AR13" s="23"/>
      <c r="AS13" s="23" t="s">
        <v>88</v>
      </c>
      <c r="AT13" s="23">
        <v>1.5912175562624399E-2</v>
      </c>
      <c r="AU13" s="23" t="s">
        <v>88</v>
      </c>
      <c r="AV13" s="23"/>
      <c r="AW13" s="23">
        <v>1.06006034658586E-2</v>
      </c>
      <c r="AX13" s="23">
        <v>4.9337236714480197E-2</v>
      </c>
      <c r="AY13" s="23"/>
      <c r="AZ13" s="23">
        <v>1.8710664102164501E-2</v>
      </c>
      <c r="BA13" s="23">
        <v>0</v>
      </c>
    </row>
    <row r="14" spans="2:53" x14ac:dyDescent="0.35">
      <c r="B14" s="16" t="s">
        <v>328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B2:BA19"/>
  <sheetViews>
    <sheetView showGridLines="0" workbookViewId="0">
      <pane xSplit="2" topLeftCell="C1" activePane="topRight" state="frozen"/>
      <selection pane="topRight" activeCell="D6" sqref="D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128</v>
      </c>
      <c r="D7" s="10">
        <v>54</v>
      </c>
      <c r="E7" s="10">
        <v>74</v>
      </c>
      <c r="F7" s="10"/>
      <c r="G7" s="10">
        <v>1</v>
      </c>
      <c r="H7" s="10">
        <v>30</v>
      </c>
      <c r="I7" s="10">
        <v>81</v>
      </c>
      <c r="J7" s="10">
        <v>13</v>
      </c>
      <c r="K7" s="10">
        <v>3</v>
      </c>
      <c r="L7" s="10" t="s">
        <v>87</v>
      </c>
      <c r="M7" s="10"/>
      <c r="N7" s="10">
        <v>59</v>
      </c>
      <c r="O7" s="10">
        <v>27</v>
      </c>
      <c r="P7" s="10">
        <v>18</v>
      </c>
      <c r="Q7" s="10">
        <v>24</v>
      </c>
      <c r="R7" s="10"/>
      <c r="S7" s="10">
        <v>29</v>
      </c>
      <c r="T7" s="10">
        <v>21</v>
      </c>
      <c r="U7" s="10">
        <v>8</v>
      </c>
      <c r="V7" s="10">
        <v>4</v>
      </c>
      <c r="W7" s="10">
        <v>10</v>
      </c>
      <c r="X7" s="10">
        <v>19</v>
      </c>
      <c r="Y7" s="10">
        <v>18</v>
      </c>
      <c r="Z7" s="10">
        <v>6</v>
      </c>
      <c r="AA7" s="10">
        <v>13</v>
      </c>
      <c r="AB7" s="10"/>
      <c r="AC7" s="10">
        <v>10</v>
      </c>
      <c r="AD7" s="10">
        <v>22</v>
      </c>
      <c r="AE7" s="10">
        <v>36</v>
      </c>
      <c r="AF7" s="10">
        <v>42</v>
      </c>
      <c r="AG7" s="10">
        <v>6</v>
      </c>
      <c r="AH7" s="10"/>
      <c r="AI7" s="10">
        <v>49</v>
      </c>
      <c r="AJ7" s="10">
        <v>28</v>
      </c>
      <c r="AK7" s="10">
        <v>12</v>
      </c>
      <c r="AL7" s="10">
        <v>14</v>
      </c>
      <c r="AM7" s="10">
        <v>6</v>
      </c>
      <c r="AN7" s="10">
        <v>7</v>
      </c>
      <c r="AO7" s="10"/>
      <c r="AP7" s="10">
        <v>72</v>
      </c>
      <c r="AQ7" s="10">
        <v>56</v>
      </c>
      <c r="AR7" s="10"/>
      <c r="AS7" s="10" t="s">
        <v>87</v>
      </c>
      <c r="AT7" s="10">
        <v>128</v>
      </c>
      <c r="AU7" s="10" t="s">
        <v>87</v>
      </c>
      <c r="AV7" s="10"/>
      <c r="AW7" s="10">
        <v>91</v>
      </c>
      <c r="AX7" s="10">
        <v>28</v>
      </c>
      <c r="AY7" s="10"/>
      <c r="AZ7" s="10">
        <v>110</v>
      </c>
      <c r="BA7" s="10">
        <v>18</v>
      </c>
    </row>
    <row r="8" spans="2:53" ht="30" customHeight="1" x14ac:dyDescent="0.35">
      <c r="B8" s="11" t="s">
        <v>19</v>
      </c>
      <c r="C8" s="11">
        <v>124</v>
      </c>
      <c r="D8" s="11">
        <v>62</v>
      </c>
      <c r="E8" s="11">
        <v>61</v>
      </c>
      <c r="F8" s="11"/>
      <c r="G8" s="11">
        <v>2</v>
      </c>
      <c r="H8" s="11">
        <v>25</v>
      </c>
      <c r="I8" s="11">
        <v>80</v>
      </c>
      <c r="J8" s="11">
        <v>14</v>
      </c>
      <c r="K8" s="11">
        <v>3</v>
      </c>
      <c r="L8" s="11" t="s">
        <v>87</v>
      </c>
      <c r="M8" s="11"/>
      <c r="N8" s="11">
        <v>36</v>
      </c>
      <c r="O8" s="11">
        <v>29</v>
      </c>
      <c r="P8" s="11">
        <v>25</v>
      </c>
      <c r="Q8" s="11">
        <v>33</v>
      </c>
      <c r="R8" s="11"/>
      <c r="S8" s="11">
        <v>21</v>
      </c>
      <c r="T8" s="11">
        <v>26</v>
      </c>
      <c r="U8" s="11">
        <v>10</v>
      </c>
      <c r="V8" s="11">
        <v>3</v>
      </c>
      <c r="W8" s="11">
        <v>9</v>
      </c>
      <c r="X8" s="11">
        <v>18</v>
      </c>
      <c r="Y8" s="11">
        <v>17</v>
      </c>
      <c r="Z8" s="11">
        <v>6</v>
      </c>
      <c r="AA8" s="11">
        <v>14</v>
      </c>
      <c r="AB8" s="11"/>
      <c r="AC8" s="11">
        <v>13</v>
      </c>
      <c r="AD8" s="11">
        <v>24</v>
      </c>
      <c r="AE8" s="11">
        <v>36</v>
      </c>
      <c r="AF8" s="11">
        <v>36</v>
      </c>
      <c r="AG8" s="11">
        <v>4</v>
      </c>
      <c r="AH8" s="11"/>
      <c r="AI8" s="11">
        <v>49</v>
      </c>
      <c r="AJ8" s="11">
        <v>25</v>
      </c>
      <c r="AK8" s="11">
        <v>12</v>
      </c>
      <c r="AL8" s="11">
        <v>14</v>
      </c>
      <c r="AM8" s="11">
        <v>6</v>
      </c>
      <c r="AN8" s="11">
        <v>8</v>
      </c>
      <c r="AO8" s="11"/>
      <c r="AP8" s="11">
        <v>72</v>
      </c>
      <c r="AQ8" s="11">
        <v>51</v>
      </c>
      <c r="AR8" s="11"/>
      <c r="AS8" s="11" t="s">
        <v>87</v>
      </c>
      <c r="AT8" s="11">
        <v>124</v>
      </c>
      <c r="AU8" s="11" t="s">
        <v>87</v>
      </c>
      <c r="AV8" s="11"/>
      <c r="AW8" s="11">
        <v>92</v>
      </c>
      <c r="AX8" s="11">
        <v>20</v>
      </c>
      <c r="AY8" s="11"/>
      <c r="AZ8" s="11">
        <v>105</v>
      </c>
      <c r="BA8" s="11">
        <v>19</v>
      </c>
    </row>
    <row r="9" spans="2:53" x14ac:dyDescent="0.35">
      <c r="B9" s="15" t="s">
        <v>220</v>
      </c>
      <c r="C9" s="14">
        <v>0.317824037777242</v>
      </c>
      <c r="D9" s="14">
        <v>0.31930097603813601</v>
      </c>
      <c r="E9" s="14">
        <v>0.31632452706581399</v>
      </c>
      <c r="F9" s="14"/>
      <c r="G9" s="14">
        <v>0</v>
      </c>
      <c r="H9" s="14">
        <v>0.33622203215396701</v>
      </c>
      <c r="I9" s="14">
        <v>0.34212559833644202</v>
      </c>
      <c r="J9" s="14">
        <v>0.25630161493042503</v>
      </c>
      <c r="K9" s="14">
        <v>0</v>
      </c>
      <c r="L9" s="14" t="s">
        <v>88</v>
      </c>
      <c r="M9" s="14"/>
      <c r="N9" s="14">
        <v>0.31062622690043501</v>
      </c>
      <c r="O9" s="14">
        <v>0.32068047967909102</v>
      </c>
      <c r="P9" s="14">
        <v>0.223212502758252</v>
      </c>
      <c r="Q9" s="14">
        <v>0.393245174645177</v>
      </c>
      <c r="R9" s="14"/>
      <c r="S9" s="14">
        <v>0.202040338490312</v>
      </c>
      <c r="T9" s="14">
        <v>0.453185655421732</v>
      </c>
      <c r="U9" s="14">
        <v>0.22851917729485899</v>
      </c>
      <c r="V9" s="14">
        <v>0.66378938688099998</v>
      </c>
      <c r="W9" s="14">
        <v>0.17316862200387001</v>
      </c>
      <c r="X9" s="14">
        <v>0.358279944305542</v>
      </c>
      <c r="Y9" s="14">
        <v>0.384559271804636</v>
      </c>
      <c r="Z9" s="14">
        <v>0.185848546146474</v>
      </c>
      <c r="AA9" s="14">
        <v>0.25413677645377503</v>
      </c>
      <c r="AB9" s="14"/>
      <c r="AC9" s="14">
        <v>0.21372813140087699</v>
      </c>
      <c r="AD9" s="14">
        <v>0.21871424047042901</v>
      </c>
      <c r="AE9" s="14">
        <v>0.28279260361272002</v>
      </c>
      <c r="AF9" s="14">
        <v>0.336308798754897</v>
      </c>
      <c r="AG9" s="14">
        <v>0.92199077540812002</v>
      </c>
      <c r="AH9" s="14"/>
      <c r="AI9" s="14">
        <v>0.33579496764352001</v>
      </c>
      <c r="AJ9" s="14">
        <v>0.268231099950828</v>
      </c>
      <c r="AK9" s="14">
        <v>0.45735629564528102</v>
      </c>
      <c r="AL9" s="14">
        <v>0.21877488798835601</v>
      </c>
      <c r="AM9" s="14">
        <v>0.69813359742200998</v>
      </c>
      <c r="AN9" s="14">
        <v>0.51637796364674005</v>
      </c>
      <c r="AO9" s="14"/>
      <c r="AP9" s="14">
        <v>0.35612138335416499</v>
      </c>
      <c r="AQ9" s="14">
        <v>0.26402355499038099</v>
      </c>
      <c r="AR9" s="14"/>
      <c r="AS9" s="14" t="s">
        <v>88</v>
      </c>
      <c r="AT9" s="14">
        <v>0.317824037777242</v>
      </c>
      <c r="AU9" s="14" t="s">
        <v>88</v>
      </c>
      <c r="AV9" s="14"/>
      <c r="AW9" s="14">
        <v>0.29137960245186101</v>
      </c>
      <c r="AX9" s="14">
        <v>0.28287333600092401</v>
      </c>
      <c r="AY9" s="14"/>
      <c r="AZ9" s="14">
        <v>0.34811864476842902</v>
      </c>
      <c r="BA9" s="14">
        <v>0.14556923014322901</v>
      </c>
    </row>
    <row r="10" spans="2:53" x14ac:dyDescent="0.35">
      <c r="B10" s="15" t="s">
        <v>221</v>
      </c>
      <c r="C10" s="14">
        <v>0.496271522484589</v>
      </c>
      <c r="D10" s="14">
        <v>0.55507106230866399</v>
      </c>
      <c r="E10" s="14">
        <v>0.43657333324552799</v>
      </c>
      <c r="F10" s="14"/>
      <c r="G10" s="14">
        <v>0</v>
      </c>
      <c r="H10" s="14">
        <v>0.53064497214345996</v>
      </c>
      <c r="I10" s="14">
        <v>0.45022671800719199</v>
      </c>
      <c r="J10" s="14">
        <v>0.66766367551615002</v>
      </c>
      <c r="K10" s="14">
        <v>1</v>
      </c>
      <c r="L10" s="14" t="s">
        <v>88</v>
      </c>
      <c r="M10" s="14"/>
      <c r="N10" s="14">
        <v>0.58709892753753901</v>
      </c>
      <c r="O10" s="14">
        <v>0.57703319239449302</v>
      </c>
      <c r="P10" s="14">
        <v>0.46848699043228698</v>
      </c>
      <c r="Q10" s="14">
        <v>0.34721160119641098</v>
      </c>
      <c r="R10" s="14"/>
      <c r="S10" s="14">
        <v>0.64353053849643105</v>
      </c>
      <c r="T10" s="14">
        <v>0.19539088276254099</v>
      </c>
      <c r="U10" s="14">
        <v>0.77148082270514096</v>
      </c>
      <c r="V10" s="14">
        <v>0.33621061311900002</v>
      </c>
      <c r="W10" s="14">
        <v>0.82683137799613005</v>
      </c>
      <c r="X10" s="14">
        <v>0.45242867831744199</v>
      </c>
      <c r="Y10" s="14">
        <v>0.31015839016868202</v>
      </c>
      <c r="Z10" s="14">
        <v>0.50147955242546205</v>
      </c>
      <c r="AA10" s="14">
        <v>0.74586322354622503</v>
      </c>
      <c r="AB10" s="14"/>
      <c r="AC10" s="14">
        <v>0.64464677059435305</v>
      </c>
      <c r="AD10" s="14">
        <v>0.50506354802041897</v>
      </c>
      <c r="AE10" s="14">
        <v>0.54126047042340797</v>
      </c>
      <c r="AF10" s="14">
        <v>0.42684567886939101</v>
      </c>
      <c r="AG10" s="14">
        <v>7.8009224591880102E-2</v>
      </c>
      <c r="AH10" s="14"/>
      <c r="AI10" s="14">
        <v>0.57689433375191201</v>
      </c>
      <c r="AJ10" s="14">
        <v>0.47797542914320701</v>
      </c>
      <c r="AK10" s="14">
        <v>0.34416476060854201</v>
      </c>
      <c r="AL10" s="14">
        <v>0.78122511201164402</v>
      </c>
      <c r="AM10" s="14">
        <v>0.30186640257799102</v>
      </c>
      <c r="AN10" s="14">
        <v>0.31799596012249598</v>
      </c>
      <c r="AO10" s="14"/>
      <c r="AP10" s="14">
        <v>0.51138979171792998</v>
      </c>
      <c r="AQ10" s="14">
        <v>0.475033231125158</v>
      </c>
      <c r="AR10" s="14"/>
      <c r="AS10" s="14" t="s">
        <v>88</v>
      </c>
      <c r="AT10" s="14">
        <v>0.496271522484589</v>
      </c>
      <c r="AU10" s="14" t="s">
        <v>88</v>
      </c>
      <c r="AV10" s="14"/>
      <c r="AW10" s="14">
        <v>0.48088151487122099</v>
      </c>
      <c r="AX10" s="14">
        <v>0.61136514360954697</v>
      </c>
      <c r="AY10" s="14"/>
      <c r="AZ10" s="14">
        <v>0.49985128178028299</v>
      </c>
      <c r="BA10" s="14">
        <v>0.475917049854025</v>
      </c>
    </row>
    <row r="11" spans="2:53" x14ac:dyDescent="0.35">
      <c r="B11" s="15" t="s">
        <v>222</v>
      </c>
      <c r="C11" s="14">
        <v>0.12054355809561</v>
      </c>
      <c r="D11" s="14">
        <v>0.1256279616532</v>
      </c>
      <c r="E11" s="14">
        <v>0.11538144821078999</v>
      </c>
      <c r="F11" s="14"/>
      <c r="G11" s="14">
        <v>1</v>
      </c>
      <c r="H11" s="14">
        <v>2.7736555713333499E-2</v>
      </c>
      <c r="I11" s="14">
        <v>0.152686435867083</v>
      </c>
      <c r="J11" s="14">
        <v>0</v>
      </c>
      <c r="K11" s="14">
        <v>0</v>
      </c>
      <c r="L11" s="14" t="s">
        <v>88</v>
      </c>
      <c r="M11" s="14"/>
      <c r="N11" s="14">
        <v>7.2802845005742495E-2</v>
      </c>
      <c r="O11" s="14">
        <v>7.2152940297426693E-2</v>
      </c>
      <c r="P11" s="14">
        <v>0.165318938941341</v>
      </c>
      <c r="Q11" s="14">
        <v>0.181748346508839</v>
      </c>
      <c r="R11" s="14"/>
      <c r="S11" s="14">
        <v>0.15442912301325701</v>
      </c>
      <c r="T11" s="14">
        <v>0.123919650351959</v>
      </c>
      <c r="U11" s="14">
        <v>0</v>
      </c>
      <c r="V11" s="14">
        <v>0</v>
      </c>
      <c r="W11" s="14">
        <v>0</v>
      </c>
      <c r="X11" s="14">
        <v>0.15987282232129299</v>
      </c>
      <c r="Y11" s="14">
        <v>0.21101452808013599</v>
      </c>
      <c r="Z11" s="14">
        <v>0.312671901428064</v>
      </c>
      <c r="AA11" s="14">
        <v>0</v>
      </c>
      <c r="AB11" s="14"/>
      <c r="AC11" s="14">
        <v>0</v>
      </c>
      <c r="AD11" s="14">
        <v>0.171040698855667</v>
      </c>
      <c r="AE11" s="14">
        <v>0.106571659916671</v>
      </c>
      <c r="AF11" s="14">
        <v>0.198502215270979</v>
      </c>
      <c r="AG11" s="14">
        <v>0</v>
      </c>
      <c r="AH11" s="14"/>
      <c r="AI11" s="14">
        <v>6.6184925679623294E-2</v>
      </c>
      <c r="AJ11" s="14">
        <v>0.15952705638277401</v>
      </c>
      <c r="AK11" s="14">
        <v>8.0136758894474497E-2</v>
      </c>
      <c r="AL11" s="14">
        <v>0</v>
      </c>
      <c r="AM11" s="14">
        <v>0</v>
      </c>
      <c r="AN11" s="14">
        <v>0</v>
      </c>
      <c r="AO11" s="14"/>
      <c r="AP11" s="14">
        <v>8.6946776211137902E-2</v>
      </c>
      <c r="AQ11" s="14">
        <v>0.16774064338286501</v>
      </c>
      <c r="AR11" s="14"/>
      <c r="AS11" s="14" t="s">
        <v>88</v>
      </c>
      <c r="AT11" s="14">
        <v>0.12054355809561</v>
      </c>
      <c r="AU11" s="14" t="s">
        <v>88</v>
      </c>
      <c r="AV11" s="14"/>
      <c r="AW11" s="14">
        <v>0.145159990878375</v>
      </c>
      <c r="AX11" s="14">
        <v>7.99473039295691E-2</v>
      </c>
      <c r="AY11" s="14"/>
      <c r="AZ11" s="14">
        <v>0.10213373695776901</v>
      </c>
      <c r="BA11" s="14">
        <v>0.22522160193351301</v>
      </c>
    </row>
    <row r="12" spans="2:53" x14ac:dyDescent="0.35">
      <c r="B12" s="15" t="s">
        <v>223</v>
      </c>
      <c r="C12" s="14">
        <v>1.84916364857018E-2</v>
      </c>
      <c r="D12" s="14">
        <v>0</v>
      </c>
      <c r="E12" s="14">
        <v>3.7265885698641303E-2</v>
      </c>
      <c r="F12" s="14"/>
      <c r="G12" s="14">
        <v>0</v>
      </c>
      <c r="H12" s="14">
        <v>0</v>
      </c>
      <c r="I12" s="14">
        <v>1.56162856668763E-2</v>
      </c>
      <c r="J12" s="14">
        <v>7.6034709553424701E-2</v>
      </c>
      <c r="K12" s="14">
        <v>0</v>
      </c>
      <c r="L12" s="14" t="s">
        <v>88</v>
      </c>
      <c r="M12" s="14"/>
      <c r="N12" s="14">
        <v>0</v>
      </c>
      <c r="O12" s="14">
        <v>0</v>
      </c>
      <c r="P12" s="14">
        <v>9.2496564315768207E-2</v>
      </c>
      <c r="Q12" s="14">
        <v>0</v>
      </c>
      <c r="R12" s="14"/>
      <c r="S12" s="14">
        <v>0</v>
      </c>
      <c r="T12" s="14">
        <v>4.7532129988147098E-2</v>
      </c>
      <c r="U12" s="14">
        <v>0</v>
      </c>
      <c r="V12" s="14">
        <v>0</v>
      </c>
      <c r="W12" s="14">
        <v>0</v>
      </c>
      <c r="X12" s="14">
        <v>0</v>
      </c>
      <c r="Y12" s="14">
        <v>6.1688069049951999E-2</v>
      </c>
      <c r="Z12" s="14">
        <v>0</v>
      </c>
      <c r="AA12" s="14">
        <v>0</v>
      </c>
      <c r="AB12" s="14"/>
      <c r="AC12" s="14">
        <v>9.9875636720786198E-2</v>
      </c>
      <c r="AD12" s="14">
        <v>4.4251071460868603E-2</v>
      </c>
      <c r="AE12" s="14">
        <v>0</v>
      </c>
      <c r="AF12" s="14">
        <v>0</v>
      </c>
      <c r="AG12" s="14">
        <v>0</v>
      </c>
      <c r="AH12" s="14"/>
      <c r="AI12" s="14">
        <v>2.1125772924945399E-2</v>
      </c>
      <c r="AJ12" s="14">
        <v>0</v>
      </c>
      <c r="AK12" s="14">
        <v>0</v>
      </c>
      <c r="AL12" s="14">
        <v>0</v>
      </c>
      <c r="AM12" s="14">
        <v>0</v>
      </c>
      <c r="AN12" s="14">
        <v>0.165626076230764</v>
      </c>
      <c r="AO12" s="14"/>
      <c r="AP12" s="14">
        <v>1.4377447116745899E-2</v>
      </c>
      <c r="AQ12" s="14">
        <v>2.4271289644216699E-2</v>
      </c>
      <c r="AR12" s="14"/>
      <c r="AS12" s="14" t="s">
        <v>88</v>
      </c>
      <c r="AT12" s="14">
        <v>1.84916364857018E-2</v>
      </c>
      <c r="AU12" s="14" t="s">
        <v>88</v>
      </c>
      <c r="AV12" s="14"/>
      <c r="AW12" s="14">
        <v>2.4974981697078201E-2</v>
      </c>
      <c r="AX12" s="14">
        <v>0</v>
      </c>
      <c r="AY12" s="14"/>
      <c r="AZ12" s="14">
        <v>1.18678425889704E-2</v>
      </c>
      <c r="BA12" s="14">
        <v>5.6154456928321897E-2</v>
      </c>
    </row>
    <row r="13" spans="2:53" x14ac:dyDescent="0.35">
      <c r="B13" s="15" t="s">
        <v>116</v>
      </c>
      <c r="C13" s="18">
        <v>1.4352171343871199E-2</v>
      </c>
      <c r="D13" s="18">
        <v>0</v>
      </c>
      <c r="E13" s="18">
        <v>2.8923690839454699E-2</v>
      </c>
      <c r="F13" s="18"/>
      <c r="G13" s="18">
        <v>0</v>
      </c>
      <c r="H13" s="18">
        <v>0</v>
      </c>
      <c r="I13" s="18">
        <v>2.2206658739082299E-2</v>
      </c>
      <c r="J13" s="18">
        <v>0</v>
      </c>
      <c r="K13" s="18">
        <v>0</v>
      </c>
      <c r="L13" s="18" t="s">
        <v>88</v>
      </c>
      <c r="M13" s="18"/>
      <c r="N13" s="18">
        <v>1.51051176491855E-2</v>
      </c>
      <c r="O13" s="18">
        <v>0</v>
      </c>
      <c r="P13" s="18">
        <v>0</v>
      </c>
      <c r="Q13" s="18">
        <v>3.6748003967693101E-2</v>
      </c>
      <c r="R13" s="18"/>
      <c r="S13" s="18">
        <v>0</v>
      </c>
      <c r="T13" s="18">
        <v>4.6701521249806303E-2</v>
      </c>
      <c r="U13" s="18">
        <v>0</v>
      </c>
      <c r="V13" s="18">
        <v>0</v>
      </c>
      <c r="W13" s="18">
        <v>0</v>
      </c>
      <c r="X13" s="18">
        <v>0</v>
      </c>
      <c r="Y13" s="18">
        <v>3.25797408965934E-2</v>
      </c>
      <c r="Z13" s="18">
        <v>0</v>
      </c>
      <c r="AA13" s="18">
        <v>0</v>
      </c>
      <c r="AB13" s="18"/>
      <c r="AC13" s="18">
        <v>0</v>
      </c>
      <c r="AD13" s="18">
        <v>2.3370620361359201E-2</v>
      </c>
      <c r="AE13" s="18">
        <v>3.4381883954947602E-2</v>
      </c>
      <c r="AF13" s="18">
        <v>0</v>
      </c>
      <c r="AG13" s="18">
        <v>0</v>
      </c>
      <c r="AH13" s="18"/>
      <c r="AI13" s="18">
        <v>0</v>
      </c>
      <c r="AJ13" s="18">
        <v>2.23038111367601E-2</v>
      </c>
      <c r="AK13" s="18">
        <v>0</v>
      </c>
      <c r="AL13" s="18">
        <v>0</v>
      </c>
      <c r="AM13" s="18">
        <v>0</v>
      </c>
      <c r="AN13" s="18">
        <v>0</v>
      </c>
      <c r="AO13" s="18"/>
      <c r="AP13" s="18">
        <v>0</v>
      </c>
      <c r="AQ13" s="18">
        <v>3.45142409523016E-2</v>
      </c>
      <c r="AR13" s="18"/>
      <c r="AS13" s="18" t="s">
        <v>88</v>
      </c>
      <c r="AT13" s="18">
        <v>1.4352171343871199E-2</v>
      </c>
      <c r="AU13" s="18" t="s">
        <v>88</v>
      </c>
      <c r="AV13" s="18"/>
      <c r="AW13" s="18">
        <v>1.9384180351137301E-2</v>
      </c>
      <c r="AX13" s="18">
        <v>0</v>
      </c>
      <c r="AY13" s="18"/>
      <c r="AZ13" s="18">
        <v>1.16604558431606E-2</v>
      </c>
      <c r="BA13" s="18">
        <v>2.9657236562749299E-2</v>
      </c>
    </row>
    <row r="14" spans="2:53" x14ac:dyDescent="0.35">
      <c r="B14" s="26" t="s">
        <v>224</v>
      </c>
      <c r="C14" s="27">
        <v>0.81409556026183105</v>
      </c>
      <c r="D14" s="27">
        <v>0.8743720383468</v>
      </c>
      <c r="E14" s="27">
        <v>0.75289786031134198</v>
      </c>
      <c r="F14" s="27"/>
      <c r="G14" s="27">
        <v>0</v>
      </c>
      <c r="H14" s="27">
        <v>0.86686700429742702</v>
      </c>
      <c r="I14" s="27">
        <v>0.79235231634363401</v>
      </c>
      <c r="J14" s="27">
        <v>0.92396529044657505</v>
      </c>
      <c r="K14" s="27">
        <v>1</v>
      </c>
      <c r="L14" s="27" t="s">
        <v>88</v>
      </c>
      <c r="M14" s="27"/>
      <c r="N14" s="27">
        <v>0.89772515443797396</v>
      </c>
      <c r="O14" s="27">
        <v>0.89771367207358399</v>
      </c>
      <c r="P14" s="27">
        <v>0.69169949319054003</v>
      </c>
      <c r="Q14" s="27">
        <v>0.74045677584158898</v>
      </c>
      <c r="R14" s="27"/>
      <c r="S14" s="27">
        <v>0.84557087698674305</v>
      </c>
      <c r="T14" s="27">
        <v>0.64857653818427297</v>
      </c>
      <c r="U14" s="27">
        <v>1</v>
      </c>
      <c r="V14" s="27">
        <v>1</v>
      </c>
      <c r="W14" s="27">
        <v>1</v>
      </c>
      <c r="X14" s="27">
        <v>0.81070862262298404</v>
      </c>
      <c r="Y14" s="27">
        <v>0.69471766197331797</v>
      </c>
      <c r="Z14" s="27">
        <v>0.687328098571937</v>
      </c>
      <c r="AA14" s="27">
        <v>1</v>
      </c>
      <c r="AB14" s="27"/>
      <c r="AC14" s="27">
        <v>0.85837490199523103</v>
      </c>
      <c r="AD14" s="27">
        <v>0.72377778849084695</v>
      </c>
      <c r="AE14" s="27">
        <v>0.82405307403612804</v>
      </c>
      <c r="AF14" s="27">
        <v>0.76315447762428801</v>
      </c>
      <c r="AG14" s="27">
        <v>1</v>
      </c>
      <c r="AH14" s="27"/>
      <c r="AI14" s="27">
        <v>0.91268930139543103</v>
      </c>
      <c r="AJ14" s="27">
        <v>0.74620652909403495</v>
      </c>
      <c r="AK14" s="27">
        <v>0.80152105625382297</v>
      </c>
      <c r="AL14" s="27">
        <v>1</v>
      </c>
      <c r="AM14" s="27">
        <v>1</v>
      </c>
      <c r="AN14" s="27">
        <v>0.83437392376923603</v>
      </c>
      <c r="AO14" s="27"/>
      <c r="AP14" s="27">
        <v>0.86751117507209496</v>
      </c>
      <c r="AQ14" s="27">
        <v>0.73905678611553904</v>
      </c>
      <c r="AR14" s="27"/>
      <c r="AS14" s="27" t="s">
        <v>88</v>
      </c>
      <c r="AT14" s="27">
        <v>0.81409556026183105</v>
      </c>
      <c r="AU14" s="27" t="s">
        <v>88</v>
      </c>
      <c r="AV14" s="27"/>
      <c r="AW14" s="27">
        <v>0.772261117323082</v>
      </c>
      <c r="AX14" s="27">
        <v>0.89423847961047098</v>
      </c>
      <c r="AY14" s="27"/>
      <c r="AZ14" s="27">
        <v>0.84796992654871195</v>
      </c>
      <c r="BA14" s="27">
        <v>0.62148627999725403</v>
      </c>
    </row>
    <row r="15" spans="2:53" x14ac:dyDescent="0.35">
      <c r="B15" s="25" t="s">
        <v>328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B2:BA16"/>
  <sheetViews>
    <sheetView showGridLines="0" workbookViewId="0">
      <pane xSplit="2" topLeftCell="C1" activePane="topRight" state="frozen"/>
      <selection pane="topRight" activeCell="B9" sqref="B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1160</v>
      </c>
      <c r="D7" s="10">
        <v>467</v>
      </c>
      <c r="E7" s="10">
        <v>692</v>
      </c>
      <c r="F7" s="10"/>
      <c r="G7" s="10">
        <v>1</v>
      </c>
      <c r="H7" s="10">
        <v>107</v>
      </c>
      <c r="I7" s="10">
        <v>482</v>
      </c>
      <c r="J7" s="10">
        <v>425</v>
      </c>
      <c r="K7" s="10">
        <v>123</v>
      </c>
      <c r="L7" s="10">
        <v>22</v>
      </c>
      <c r="M7" s="10"/>
      <c r="N7" s="10">
        <v>507</v>
      </c>
      <c r="O7" s="10">
        <v>268</v>
      </c>
      <c r="P7" s="10">
        <v>182</v>
      </c>
      <c r="Q7" s="10">
        <v>198</v>
      </c>
      <c r="R7" s="10"/>
      <c r="S7" s="10">
        <v>208</v>
      </c>
      <c r="T7" s="10">
        <v>167</v>
      </c>
      <c r="U7" s="10">
        <v>86</v>
      </c>
      <c r="V7" s="10">
        <v>105</v>
      </c>
      <c r="W7" s="10">
        <v>100</v>
      </c>
      <c r="X7" s="10">
        <v>136</v>
      </c>
      <c r="Y7" s="10">
        <v>136</v>
      </c>
      <c r="Z7" s="10">
        <v>58</v>
      </c>
      <c r="AA7" s="10">
        <v>164</v>
      </c>
      <c r="AB7" s="10"/>
      <c r="AC7" s="10">
        <v>213</v>
      </c>
      <c r="AD7" s="10">
        <v>219</v>
      </c>
      <c r="AE7" s="10">
        <v>345</v>
      </c>
      <c r="AF7" s="10">
        <v>214</v>
      </c>
      <c r="AG7" s="10">
        <v>47</v>
      </c>
      <c r="AH7" s="10"/>
      <c r="AI7" s="10">
        <v>416</v>
      </c>
      <c r="AJ7" s="10">
        <v>229</v>
      </c>
      <c r="AK7" s="10">
        <v>108</v>
      </c>
      <c r="AL7" s="10">
        <v>165</v>
      </c>
      <c r="AM7" s="10">
        <v>58</v>
      </c>
      <c r="AN7" s="10">
        <v>78</v>
      </c>
      <c r="AO7" s="10"/>
      <c r="AP7" s="10">
        <v>620</v>
      </c>
      <c r="AQ7" s="10">
        <v>538</v>
      </c>
      <c r="AR7" s="10"/>
      <c r="AS7" s="10" t="s">
        <v>87</v>
      </c>
      <c r="AT7" s="10" t="s">
        <v>87</v>
      </c>
      <c r="AU7" s="10">
        <v>1160</v>
      </c>
      <c r="AV7" s="10"/>
      <c r="AW7" s="10">
        <v>830</v>
      </c>
      <c r="AX7" s="10">
        <v>227</v>
      </c>
      <c r="AY7" s="10"/>
      <c r="AZ7" s="10">
        <v>917</v>
      </c>
      <c r="BA7" s="10">
        <v>240</v>
      </c>
    </row>
    <row r="8" spans="2:53" ht="30" customHeight="1" x14ac:dyDescent="0.35">
      <c r="B8" s="11" t="s">
        <v>19</v>
      </c>
      <c r="C8" s="11">
        <v>1157</v>
      </c>
      <c r="D8" s="11">
        <v>567</v>
      </c>
      <c r="E8" s="11">
        <v>588</v>
      </c>
      <c r="F8" s="11"/>
      <c r="G8" s="11">
        <v>1</v>
      </c>
      <c r="H8" s="11">
        <v>98</v>
      </c>
      <c r="I8" s="11">
        <v>467</v>
      </c>
      <c r="J8" s="11">
        <v>431</v>
      </c>
      <c r="K8" s="11">
        <v>135</v>
      </c>
      <c r="L8" s="11">
        <v>25</v>
      </c>
      <c r="M8" s="11"/>
      <c r="N8" s="11">
        <v>317</v>
      </c>
      <c r="O8" s="11">
        <v>278</v>
      </c>
      <c r="P8" s="11">
        <v>278</v>
      </c>
      <c r="Q8" s="11">
        <v>278</v>
      </c>
      <c r="R8" s="11"/>
      <c r="S8" s="11">
        <v>177</v>
      </c>
      <c r="T8" s="11">
        <v>174</v>
      </c>
      <c r="U8" s="11">
        <v>107</v>
      </c>
      <c r="V8" s="11">
        <v>128</v>
      </c>
      <c r="W8" s="11">
        <v>111</v>
      </c>
      <c r="X8" s="11">
        <v>119</v>
      </c>
      <c r="Y8" s="11">
        <v>125</v>
      </c>
      <c r="Z8" s="11">
        <v>60</v>
      </c>
      <c r="AA8" s="11">
        <v>154</v>
      </c>
      <c r="AB8" s="11"/>
      <c r="AC8" s="11">
        <v>267</v>
      </c>
      <c r="AD8" s="11">
        <v>249</v>
      </c>
      <c r="AE8" s="11">
        <v>321</v>
      </c>
      <c r="AF8" s="11">
        <v>159</v>
      </c>
      <c r="AG8" s="11">
        <v>25</v>
      </c>
      <c r="AH8" s="11"/>
      <c r="AI8" s="11">
        <v>399</v>
      </c>
      <c r="AJ8" s="11">
        <v>218</v>
      </c>
      <c r="AK8" s="11">
        <v>96</v>
      </c>
      <c r="AL8" s="11">
        <v>185</v>
      </c>
      <c r="AM8" s="11">
        <v>54</v>
      </c>
      <c r="AN8" s="11">
        <v>85</v>
      </c>
      <c r="AO8" s="11"/>
      <c r="AP8" s="11">
        <v>616</v>
      </c>
      <c r="AQ8" s="11">
        <v>539</v>
      </c>
      <c r="AR8" s="11"/>
      <c r="AS8" s="11" t="s">
        <v>87</v>
      </c>
      <c r="AT8" s="11" t="s">
        <v>87</v>
      </c>
      <c r="AU8" s="11">
        <v>1157</v>
      </c>
      <c r="AV8" s="11"/>
      <c r="AW8" s="11">
        <v>849</v>
      </c>
      <c r="AX8" s="11">
        <v>185</v>
      </c>
      <c r="AY8" s="11"/>
      <c r="AZ8" s="11">
        <v>905</v>
      </c>
      <c r="BA8" s="11">
        <v>248</v>
      </c>
    </row>
    <row r="9" spans="2:53" x14ac:dyDescent="0.35">
      <c r="B9" s="15" t="s">
        <v>154</v>
      </c>
      <c r="C9" s="14">
        <v>0.89841659397297402</v>
      </c>
      <c r="D9" s="14">
        <v>0.91466382638892796</v>
      </c>
      <c r="E9" s="14">
        <v>0.88257999206330695</v>
      </c>
      <c r="F9" s="14"/>
      <c r="G9" s="14">
        <v>1</v>
      </c>
      <c r="H9" s="14">
        <v>0.8697533491985</v>
      </c>
      <c r="I9" s="14">
        <v>0.88916352027704504</v>
      </c>
      <c r="J9" s="14">
        <v>0.90028689508862803</v>
      </c>
      <c r="K9" s="14">
        <v>0.92568164982039303</v>
      </c>
      <c r="L9" s="14">
        <v>1</v>
      </c>
      <c r="M9" s="14"/>
      <c r="N9" s="14">
        <v>0.93990549775694499</v>
      </c>
      <c r="O9" s="14">
        <v>0.89570499021857297</v>
      </c>
      <c r="P9" s="14">
        <v>0.93441901390061599</v>
      </c>
      <c r="Q9" s="14">
        <v>0.81609362288294995</v>
      </c>
      <c r="R9" s="14"/>
      <c r="S9" s="14">
        <v>0.91098176235047001</v>
      </c>
      <c r="T9" s="14">
        <v>0.91881842203924902</v>
      </c>
      <c r="U9" s="14">
        <v>0.86981478260429201</v>
      </c>
      <c r="V9" s="14">
        <v>0.96020463775463705</v>
      </c>
      <c r="W9" s="14">
        <v>0.87970594745734099</v>
      </c>
      <c r="X9" s="14">
        <v>0.81357207754424599</v>
      </c>
      <c r="Y9" s="14">
        <v>0.83338445592849597</v>
      </c>
      <c r="Z9" s="14">
        <v>0.94532707544345895</v>
      </c>
      <c r="AA9" s="14">
        <v>0.94318203366377995</v>
      </c>
      <c r="AB9" s="14"/>
      <c r="AC9" s="14">
        <v>0.84905137275617903</v>
      </c>
      <c r="AD9" s="14">
        <v>0.89197644676153498</v>
      </c>
      <c r="AE9" s="14">
        <v>0.93643087011053605</v>
      </c>
      <c r="AF9" s="14">
        <v>0.917919755213778</v>
      </c>
      <c r="AG9" s="14">
        <v>0.94322318601046995</v>
      </c>
      <c r="AH9" s="14"/>
      <c r="AI9" s="14">
        <v>0.89365505212391205</v>
      </c>
      <c r="AJ9" s="14">
        <v>0.91002245412293303</v>
      </c>
      <c r="AK9" s="14">
        <v>0.89173506724247298</v>
      </c>
      <c r="AL9" s="14">
        <v>0.91528235977118999</v>
      </c>
      <c r="AM9" s="14">
        <v>0.87275344870044802</v>
      </c>
      <c r="AN9" s="14">
        <v>0.89285931072735802</v>
      </c>
      <c r="AO9" s="14"/>
      <c r="AP9" s="14">
        <v>0.90730299867298603</v>
      </c>
      <c r="AQ9" s="14">
        <v>0.88791897110587903</v>
      </c>
      <c r="AR9" s="14"/>
      <c r="AS9" s="14" t="s">
        <v>88</v>
      </c>
      <c r="AT9" s="14" t="s">
        <v>88</v>
      </c>
      <c r="AU9" s="14">
        <v>0.89841659397297402</v>
      </c>
      <c r="AV9" s="14"/>
      <c r="AW9" s="14">
        <v>0.90318148879691595</v>
      </c>
      <c r="AX9" s="14">
        <v>0.91826407241793995</v>
      </c>
      <c r="AY9" s="14"/>
      <c r="AZ9" s="14">
        <v>0.911632998393204</v>
      </c>
      <c r="BA9" s="14">
        <v>0.85725040022549404</v>
      </c>
    </row>
    <row r="10" spans="2:53" x14ac:dyDescent="0.35">
      <c r="B10" s="15" t="s">
        <v>155</v>
      </c>
      <c r="C10" s="14">
        <v>5.81648981158044E-2</v>
      </c>
      <c r="D10" s="14">
        <v>5.4469236987966102E-2</v>
      </c>
      <c r="E10" s="14">
        <v>6.1826747379666397E-2</v>
      </c>
      <c r="F10" s="14"/>
      <c r="G10" s="14">
        <v>0</v>
      </c>
      <c r="H10" s="14">
        <v>0.104877492479031</v>
      </c>
      <c r="I10" s="14">
        <v>7.0323841210416502E-2</v>
      </c>
      <c r="J10" s="14">
        <v>4.0531995460816803E-2</v>
      </c>
      <c r="K10" s="14">
        <v>4.9665534282281897E-2</v>
      </c>
      <c r="L10" s="14">
        <v>0</v>
      </c>
      <c r="M10" s="14"/>
      <c r="N10" s="14">
        <v>4.4198605076631703E-2</v>
      </c>
      <c r="O10" s="14">
        <v>5.67750945920516E-2</v>
      </c>
      <c r="P10" s="14">
        <v>3.0341777082605E-2</v>
      </c>
      <c r="Q10" s="14">
        <v>0.104278268700635</v>
      </c>
      <c r="R10" s="14"/>
      <c r="S10" s="14">
        <v>5.85663131661718E-2</v>
      </c>
      <c r="T10" s="14">
        <v>5.87290646465694E-2</v>
      </c>
      <c r="U10" s="14">
        <v>7.4518022383824295E-2</v>
      </c>
      <c r="V10" s="14">
        <v>1.0497432742048099E-2</v>
      </c>
      <c r="W10" s="14">
        <v>7.1182374975495594E-2</v>
      </c>
      <c r="X10" s="14">
        <v>8.21893807223599E-2</v>
      </c>
      <c r="Y10" s="14">
        <v>9.2623466262875404E-2</v>
      </c>
      <c r="Z10" s="14">
        <v>5.4672924556540603E-2</v>
      </c>
      <c r="AA10" s="14">
        <v>3.0721528953294198E-2</v>
      </c>
      <c r="AB10" s="14"/>
      <c r="AC10" s="14">
        <v>9.2860036081333697E-2</v>
      </c>
      <c r="AD10" s="14">
        <v>6.3372421224027004E-2</v>
      </c>
      <c r="AE10" s="14">
        <v>4.2045741967817497E-2</v>
      </c>
      <c r="AF10" s="14">
        <v>6.1848897156926999E-2</v>
      </c>
      <c r="AG10" s="14">
        <v>5.6776813989529801E-2</v>
      </c>
      <c r="AH10" s="14"/>
      <c r="AI10" s="14">
        <v>6.3917789681015205E-2</v>
      </c>
      <c r="AJ10" s="14">
        <v>6.9255917884650603E-2</v>
      </c>
      <c r="AK10" s="14">
        <v>7.4030239272987602E-2</v>
      </c>
      <c r="AL10" s="14">
        <v>3.9751894959478798E-2</v>
      </c>
      <c r="AM10" s="14">
        <v>8.6131654408151001E-2</v>
      </c>
      <c r="AN10" s="14">
        <v>6.0543412687455701E-2</v>
      </c>
      <c r="AO10" s="14"/>
      <c r="AP10" s="14">
        <v>4.9833011344693499E-2</v>
      </c>
      <c r="AQ10" s="14">
        <v>6.7883115786807696E-2</v>
      </c>
      <c r="AR10" s="14"/>
      <c r="AS10" s="14" t="s">
        <v>88</v>
      </c>
      <c r="AT10" s="14" t="s">
        <v>88</v>
      </c>
      <c r="AU10" s="14">
        <v>5.81648981158044E-2</v>
      </c>
      <c r="AV10" s="14"/>
      <c r="AW10" s="14">
        <v>5.7965787342214199E-2</v>
      </c>
      <c r="AX10" s="14">
        <v>6.70766899107961E-2</v>
      </c>
      <c r="AY10" s="14"/>
      <c r="AZ10" s="14">
        <v>5.82351995112316E-2</v>
      </c>
      <c r="BA10" s="14">
        <v>5.8643020798056798E-2</v>
      </c>
    </row>
    <row r="11" spans="2:53" x14ac:dyDescent="0.35">
      <c r="B11" s="15" t="s">
        <v>116</v>
      </c>
      <c r="C11" s="23">
        <v>4.3418507911222003E-2</v>
      </c>
      <c r="D11" s="23">
        <v>3.0866936623106099E-2</v>
      </c>
      <c r="E11" s="23">
        <v>5.5593260557026999E-2</v>
      </c>
      <c r="F11" s="23"/>
      <c r="G11" s="23">
        <v>0</v>
      </c>
      <c r="H11" s="23">
        <v>2.5369158322469401E-2</v>
      </c>
      <c r="I11" s="23">
        <v>4.0512638512538002E-2</v>
      </c>
      <c r="J11" s="23">
        <v>5.9181109450554797E-2</v>
      </c>
      <c r="K11" s="23">
        <v>2.4652815897324699E-2</v>
      </c>
      <c r="L11" s="23">
        <v>0</v>
      </c>
      <c r="M11" s="23"/>
      <c r="N11" s="23">
        <v>1.5895897166422999E-2</v>
      </c>
      <c r="O11" s="23">
        <v>4.7519915189375102E-2</v>
      </c>
      <c r="P11" s="23">
        <v>3.5239209016779398E-2</v>
      </c>
      <c r="Q11" s="23">
        <v>7.9628108416415697E-2</v>
      </c>
      <c r="R11" s="23"/>
      <c r="S11" s="23">
        <v>3.0451924483358501E-2</v>
      </c>
      <c r="T11" s="23">
        <v>2.2452513314181601E-2</v>
      </c>
      <c r="U11" s="23">
        <v>5.5667195011883497E-2</v>
      </c>
      <c r="V11" s="23">
        <v>2.9297929503314599E-2</v>
      </c>
      <c r="W11" s="23">
        <v>4.9111677567162997E-2</v>
      </c>
      <c r="X11" s="23">
        <v>0.104238541733394</v>
      </c>
      <c r="Y11" s="23">
        <v>7.3992077808628196E-2</v>
      </c>
      <c r="Z11" s="23">
        <v>0</v>
      </c>
      <c r="AA11" s="23">
        <v>2.60964373829255E-2</v>
      </c>
      <c r="AB11" s="23"/>
      <c r="AC11" s="23">
        <v>5.8088591162486901E-2</v>
      </c>
      <c r="AD11" s="23">
        <v>4.4651132014438301E-2</v>
      </c>
      <c r="AE11" s="23">
        <v>2.15233879216465E-2</v>
      </c>
      <c r="AF11" s="23">
        <v>2.0231347629294998E-2</v>
      </c>
      <c r="AG11" s="23">
        <v>0</v>
      </c>
      <c r="AH11" s="23"/>
      <c r="AI11" s="23">
        <v>4.2427158195073103E-2</v>
      </c>
      <c r="AJ11" s="23">
        <v>2.0721627992416499E-2</v>
      </c>
      <c r="AK11" s="23">
        <v>3.42346934845391E-2</v>
      </c>
      <c r="AL11" s="23">
        <v>4.49657452693316E-2</v>
      </c>
      <c r="AM11" s="23">
        <v>4.11148968914005E-2</v>
      </c>
      <c r="AN11" s="23">
        <v>4.6597276585185997E-2</v>
      </c>
      <c r="AO11" s="23"/>
      <c r="AP11" s="23">
        <v>4.2863989982320598E-2</v>
      </c>
      <c r="AQ11" s="23">
        <v>4.4197913107313601E-2</v>
      </c>
      <c r="AR11" s="23"/>
      <c r="AS11" s="23" t="s">
        <v>88</v>
      </c>
      <c r="AT11" s="23" t="s">
        <v>88</v>
      </c>
      <c r="AU11" s="23">
        <v>4.3418507911222003E-2</v>
      </c>
      <c r="AV11" s="23"/>
      <c r="AW11" s="23">
        <v>3.8852723860869298E-2</v>
      </c>
      <c r="AX11" s="23">
        <v>1.4659237671263601E-2</v>
      </c>
      <c r="AY11" s="23"/>
      <c r="AZ11" s="23">
        <v>3.0131802095564798E-2</v>
      </c>
      <c r="BA11" s="23">
        <v>8.4106578976449603E-2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B2:BA18"/>
  <sheetViews>
    <sheetView showGridLines="0" topLeftCell="A6" workbookViewId="0">
      <pane xSplit="2" topLeftCell="C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1050</v>
      </c>
      <c r="D7" s="10">
        <v>430</v>
      </c>
      <c r="E7" s="10">
        <v>619</v>
      </c>
      <c r="F7" s="10"/>
      <c r="G7" s="10">
        <v>1</v>
      </c>
      <c r="H7" s="10">
        <v>93</v>
      </c>
      <c r="I7" s="10">
        <v>437</v>
      </c>
      <c r="J7" s="10">
        <v>381</v>
      </c>
      <c r="K7" s="10">
        <v>116</v>
      </c>
      <c r="L7" s="10">
        <v>22</v>
      </c>
      <c r="M7" s="10"/>
      <c r="N7" s="10">
        <v>476</v>
      </c>
      <c r="O7" s="10">
        <v>240</v>
      </c>
      <c r="P7" s="10">
        <v>169</v>
      </c>
      <c r="Q7" s="10">
        <v>160</v>
      </c>
      <c r="R7" s="10"/>
      <c r="S7" s="10">
        <v>192</v>
      </c>
      <c r="T7" s="10">
        <v>154</v>
      </c>
      <c r="U7" s="10">
        <v>76</v>
      </c>
      <c r="V7" s="10">
        <v>102</v>
      </c>
      <c r="W7" s="10">
        <v>89</v>
      </c>
      <c r="X7" s="10">
        <v>112</v>
      </c>
      <c r="Y7" s="10">
        <v>117</v>
      </c>
      <c r="Z7" s="10">
        <v>54</v>
      </c>
      <c r="AA7" s="10">
        <v>154</v>
      </c>
      <c r="AB7" s="10"/>
      <c r="AC7" s="10">
        <v>182</v>
      </c>
      <c r="AD7" s="10">
        <v>196</v>
      </c>
      <c r="AE7" s="10">
        <v>321</v>
      </c>
      <c r="AF7" s="10">
        <v>197</v>
      </c>
      <c r="AG7" s="10">
        <v>45</v>
      </c>
      <c r="AH7" s="10"/>
      <c r="AI7" s="10">
        <v>375</v>
      </c>
      <c r="AJ7" s="10">
        <v>210</v>
      </c>
      <c r="AK7" s="10">
        <v>96</v>
      </c>
      <c r="AL7" s="10">
        <v>151</v>
      </c>
      <c r="AM7" s="10">
        <v>53</v>
      </c>
      <c r="AN7" s="10">
        <v>70</v>
      </c>
      <c r="AO7" s="10"/>
      <c r="AP7" s="10">
        <v>567</v>
      </c>
      <c r="AQ7" s="10">
        <v>481</v>
      </c>
      <c r="AR7" s="10"/>
      <c r="AS7" s="10" t="s">
        <v>87</v>
      </c>
      <c r="AT7" s="10" t="s">
        <v>87</v>
      </c>
      <c r="AU7" s="10">
        <v>1050</v>
      </c>
      <c r="AV7" s="10"/>
      <c r="AW7" s="10">
        <v>753</v>
      </c>
      <c r="AX7" s="10">
        <v>210</v>
      </c>
      <c r="AY7" s="10"/>
      <c r="AZ7" s="10">
        <v>840</v>
      </c>
      <c r="BA7" s="10">
        <v>209</v>
      </c>
    </row>
    <row r="8" spans="2:53" ht="30" customHeight="1" x14ac:dyDescent="0.35">
      <c r="B8" s="11" t="s">
        <v>19</v>
      </c>
      <c r="C8" s="11">
        <v>1039</v>
      </c>
      <c r="D8" s="11">
        <v>519</v>
      </c>
      <c r="E8" s="11">
        <v>519</v>
      </c>
      <c r="F8" s="11"/>
      <c r="G8" s="11">
        <v>1</v>
      </c>
      <c r="H8" s="11">
        <v>85</v>
      </c>
      <c r="I8" s="11">
        <v>415</v>
      </c>
      <c r="J8" s="11">
        <v>388</v>
      </c>
      <c r="K8" s="11">
        <v>125</v>
      </c>
      <c r="L8" s="11">
        <v>25</v>
      </c>
      <c r="M8" s="11"/>
      <c r="N8" s="11">
        <v>298</v>
      </c>
      <c r="O8" s="11">
        <v>249</v>
      </c>
      <c r="P8" s="11">
        <v>260</v>
      </c>
      <c r="Q8" s="11">
        <v>227</v>
      </c>
      <c r="R8" s="11"/>
      <c r="S8" s="11">
        <v>162</v>
      </c>
      <c r="T8" s="11">
        <v>160</v>
      </c>
      <c r="U8" s="11">
        <v>93</v>
      </c>
      <c r="V8" s="11">
        <v>123</v>
      </c>
      <c r="W8" s="11">
        <v>98</v>
      </c>
      <c r="X8" s="11">
        <v>97</v>
      </c>
      <c r="Y8" s="11">
        <v>104</v>
      </c>
      <c r="Z8" s="11">
        <v>57</v>
      </c>
      <c r="AA8" s="11">
        <v>146</v>
      </c>
      <c r="AB8" s="11"/>
      <c r="AC8" s="11">
        <v>227</v>
      </c>
      <c r="AD8" s="11">
        <v>222</v>
      </c>
      <c r="AE8" s="11">
        <v>301</v>
      </c>
      <c r="AF8" s="11">
        <v>146</v>
      </c>
      <c r="AG8" s="11">
        <v>23</v>
      </c>
      <c r="AH8" s="11"/>
      <c r="AI8" s="11">
        <v>356</v>
      </c>
      <c r="AJ8" s="11">
        <v>198</v>
      </c>
      <c r="AK8" s="11">
        <v>86</v>
      </c>
      <c r="AL8" s="11">
        <v>169</v>
      </c>
      <c r="AM8" s="11">
        <v>47</v>
      </c>
      <c r="AN8" s="11">
        <v>76</v>
      </c>
      <c r="AO8" s="11"/>
      <c r="AP8" s="11">
        <v>559</v>
      </c>
      <c r="AQ8" s="11">
        <v>478</v>
      </c>
      <c r="AR8" s="11"/>
      <c r="AS8" s="11" t="s">
        <v>87</v>
      </c>
      <c r="AT8" s="11" t="s">
        <v>87</v>
      </c>
      <c r="AU8" s="11">
        <v>1039</v>
      </c>
      <c r="AV8" s="11"/>
      <c r="AW8" s="11">
        <v>767</v>
      </c>
      <c r="AX8" s="11">
        <v>170</v>
      </c>
      <c r="AY8" s="11"/>
      <c r="AZ8" s="11">
        <v>825</v>
      </c>
      <c r="BA8" s="11">
        <v>213</v>
      </c>
    </row>
    <row r="9" spans="2:53" x14ac:dyDescent="0.35">
      <c r="B9" s="15" t="s">
        <v>214</v>
      </c>
      <c r="C9" s="14">
        <v>0.31239746700896498</v>
      </c>
      <c r="D9" s="14">
        <v>0.30804093545202799</v>
      </c>
      <c r="E9" s="14">
        <v>0.315425999739053</v>
      </c>
      <c r="F9" s="14"/>
      <c r="G9" s="14">
        <v>0</v>
      </c>
      <c r="H9" s="14">
        <v>0.40061559507172401</v>
      </c>
      <c r="I9" s="14">
        <v>0.34786057483316302</v>
      </c>
      <c r="J9" s="14">
        <v>0.26330270666655298</v>
      </c>
      <c r="K9" s="14">
        <v>0.33590620997652798</v>
      </c>
      <c r="L9" s="14">
        <v>7.8709565505773502E-2</v>
      </c>
      <c r="M9" s="14"/>
      <c r="N9" s="14">
        <v>0.32887275527646698</v>
      </c>
      <c r="O9" s="14">
        <v>0.31899325138635098</v>
      </c>
      <c r="P9" s="14">
        <v>0.29213555212144499</v>
      </c>
      <c r="Q9" s="14">
        <v>0.304045592453768</v>
      </c>
      <c r="R9" s="14"/>
      <c r="S9" s="14">
        <v>0.41041380988960302</v>
      </c>
      <c r="T9" s="14">
        <v>0.39694599635101002</v>
      </c>
      <c r="U9" s="14">
        <v>0.27047836013386301</v>
      </c>
      <c r="V9" s="14">
        <v>0.26026942365505501</v>
      </c>
      <c r="W9" s="14">
        <v>0.218135102922553</v>
      </c>
      <c r="X9" s="14">
        <v>0.238132261343978</v>
      </c>
      <c r="Y9" s="14">
        <v>0.37703373065290602</v>
      </c>
      <c r="Z9" s="14">
        <v>0.21956398528635401</v>
      </c>
      <c r="AA9" s="14">
        <v>0.28465772507687298</v>
      </c>
      <c r="AB9" s="14"/>
      <c r="AC9" s="14">
        <v>0.33988477058376199</v>
      </c>
      <c r="AD9" s="14">
        <v>0.27690709129244701</v>
      </c>
      <c r="AE9" s="14">
        <v>0.29766645490637</v>
      </c>
      <c r="AF9" s="14">
        <v>0.40385482763741898</v>
      </c>
      <c r="AG9" s="14">
        <v>0.35201713486727998</v>
      </c>
      <c r="AH9" s="14"/>
      <c r="AI9" s="14">
        <v>0.324111012111515</v>
      </c>
      <c r="AJ9" s="14">
        <v>0.36239889624053001</v>
      </c>
      <c r="AK9" s="14">
        <v>0.309158037165639</v>
      </c>
      <c r="AL9" s="14">
        <v>0.27363890877536601</v>
      </c>
      <c r="AM9" s="14">
        <v>0.26634092494436401</v>
      </c>
      <c r="AN9" s="14">
        <v>0.23290113409639801</v>
      </c>
      <c r="AO9" s="14"/>
      <c r="AP9" s="14">
        <v>0.31180517233434701</v>
      </c>
      <c r="AQ9" s="14">
        <v>0.31426908713761198</v>
      </c>
      <c r="AR9" s="14"/>
      <c r="AS9" s="14" t="s">
        <v>88</v>
      </c>
      <c r="AT9" s="14" t="s">
        <v>88</v>
      </c>
      <c r="AU9" s="14">
        <v>0.31239746700896498</v>
      </c>
      <c r="AV9" s="14"/>
      <c r="AW9" s="14">
        <v>0.29527948521629699</v>
      </c>
      <c r="AX9" s="14">
        <v>0.41415821893600102</v>
      </c>
      <c r="AY9" s="14"/>
      <c r="AZ9" s="14">
        <v>0.32327986525980701</v>
      </c>
      <c r="BA9" s="14">
        <v>0.27170353060941099</v>
      </c>
    </row>
    <row r="10" spans="2:53" x14ac:dyDescent="0.35">
      <c r="B10" s="15" t="s">
        <v>215</v>
      </c>
      <c r="C10" s="14">
        <v>0.56685384800337102</v>
      </c>
      <c r="D10" s="14">
        <v>0.60183313648923797</v>
      </c>
      <c r="E10" s="14">
        <v>0.53299616670401295</v>
      </c>
      <c r="F10" s="14"/>
      <c r="G10" s="14">
        <v>1</v>
      </c>
      <c r="H10" s="14">
        <v>0.53956220782925102</v>
      </c>
      <c r="I10" s="14">
        <v>0.53059416449183705</v>
      </c>
      <c r="J10" s="14">
        <v>0.60521046843502002</v>
      </c>
      <c r="K10" s="14">
        <v>0.55665265417960297</v>
      </c>
      <c r="L10" s="14">
        <v>0.69817438916571395</v>
      </c>
      <c r="M10" s="14"/>
      <c r="N10" s="14">
        <v>0.55665260279294104</v>
      </c>
      <c r="O10" s="14">
        <v>0.54703250504470302</v>
      </c>
      <c r="P10" s="14">
        <v>0.59870426266159005</v>
      </c>
      <c r="Q10" s="14">
        <v>0.56555993780871605</v>
      </c>
      <c r="R10" s="14"/>
      <c r="S10" s="14">
        <v>0.510482555636114</v>
      </c>
      <c r="T10" s="14">
        <v>0.49303411698388899</v>
      </c>
      <c r="U10" s="14">
        <v>0.57026403923476698</v>
      </c>
      <c r="V10" s="14">
        <v>0.54526394528111199</v>
      </c>
      <c r="W10" s="14">
        <v>0.70676809657359996</v>
      </c>
      <c r="X10" s="14">
        <v>0.60593652960531497</v>
      </c>
      <c r="Y10" s="14">
        <v>0.49545355569633098</v>
      </c>
      <c r="Z10" s="14">
        <v>0.64888942275887096</v>
      </c>
      <c r="AA10" s="14">
        <v>0.625260640169364</v>
      </c>
      <c r="AB10" s="14"/>
      <c r="AC10" s="14">
        <v>0.49970996025855202</v>
      </c>
      <c r="AD10" s="14">
        <v>0.62749396911880195</v>
      </c>
      <c r="AE10" s="14">
        <v>0.57644732228531503</v>
      </c>
      <c r="AF10" s="14">
        <v>0.50528532644058799</v>
      </c>
      <c r="AG10" s="14">
        <v>0.64798286513271997</v>
      </c>
      <c r="AH10" s="14"/>
      <c r="AI10" s="14">
        <v>0.56954639977834098</v>
      </c>
      <c r="AJ10" s="14">
        <v>0.56887696707989799</v>
      </c>
      <c r="AK10" s="14">
        <v>0.54638151932450096</v>
      </c>
      <c r="AL10" s="14">
        <v>0.58394274317348005</v>
      </c>
      <c r="AM10" s="14">
        <v>0.65324404697192096</v>
      </c>
      <c r="AN10" s="14">
        <v>0.53854920786941196</v>
      </c>
      <c r="AO10" s="14"/>
      <c r="AP10" s="14">
        <v>0.58413105223787898</v>
      </c>
      <c r="AQ10" s="14">
        <v>0.54746411805735395</v>
      </c>
      <c r="AR10" s="14"/>
      <c r="AS10" s="14" t="s">
        <v>88</v>
      </c>
      <c r="AT10" s="14" t="s">
        <v>88</v>
      </c>
      <c r="AU10" s="14">
        <v>0.56685384800337102</v>
      </c>
      <c r="AV10" s="14"/>
      <c r="AW10" s="14">
        <v>0.58264909188552605</v>
      </c>
      <c r="AX10" s="14">
        <v>0.50683952933113896</v>
      </c>
      <c r="AY10" s="14"/>
      <c r="AZ10" s="14">
        <v>0.57416834916701798</v>
      </c>
      <c r="BA10" s="14">
        <v>0.53630111230809996</v>
      </c>
    </row>
    <row r="11" spans="2:53" x14ac:dyDescent="0.35">
      <c r="B11" s="15" t="s">
        <v>216</v>
      </c>
      <c r="C11" s="14">
        <v>4.75835123798065E-2</v>
      </c>
      <c r="D11" s="14">
        <v>3.6029389409383203E-2</v>
      </c>
      <c r="E11" s="14">
        <v>5.9219406862415898E-2</v>
      </c>
      <c r="F11" s="14"/>
      <c r="G11" s="14">
        <v>0</v>
      </c>
      <c r="H11" s="14">
        <v>8.1991960051280705E-3</v>
      </c>
      <c r="I11" s="14">
        <v>6.1967211211413499E-2</v>
      </c>
      <c r="J11" s="14">
        <v>4.6620100927830102E-2</v>
      </c>
      <c r="K11" s="14">
        <v>3.2147729177272502E-2</v>
      </c>
      <c r="L11" s="14">
        <v>3.77579792512499E-2</v>
      </c>
      <c r="M11" s="14"/>
      <c r="N11" s="14">
        <v>5.9425449146027799E-2</v>
      </c>
      <c r="O11" s="14">
        <v>4.2845949397140599E-2</v>
      </c>
      <c r="P11" s="14">
        <v>4.52587445234926E-2</v>
      </c>
      <c r="Q11" s="14">
        <v>4.09441640928907E-2</v>
      </c>
      <c r="R11" s="14"/>
      <c r="S11" s="14">
        <v>4.14178000581839E-2</v>
      </c>
      <c r="T11" s="14">
        <v>4.3015394886593998E-2</v>
      </c>
      <c r="U11" s="14">
        <v>9.2342380697943302E-2</v>
      </c>
      <c r="V11" s="14">
        <v>3.2770537046452101E-2</v>
      </c>
      <c r="W11" s="14">
        <v>1.7835730473212401E-2</v>
      </c>
      <c r="X11" s="14">
        <v>7.2454375817233699E-2</v>
      </c>
      <c r="Y11" s="14">
        <v>4.9993841849773499E-2</v>
      </c>
      <c r="Z11" s="14">
        <v>4.7384864494371702E-2</v>
      </c>
      <c r="AA11" s="14">
        <v>4.5018120474138001E-2</v>
      </c>
      <c r="AB11" s="14"/>
      <c r="AC11" s="14">
        <v>4.5143658415362199E-2</v>
      </c>
      <c r="AD11" s="14">
        <v>4.0764327612975201E-2</v>
      </c>
      <c r="AE11" s="14">
        <v>5.2623084669936898E-2</v>
      </c>
      <c r="AF11" s="14">
        <v>4.3869906945086697E-2</v>
      </c>
      <c r="AG11" s="14">
        <v>0</v>
      </c>
      <c r="AH11" s="14"/>
      <c r="AI11" s="14">
        <v>5.1816284951284999E-2</v>
      </c>
      <c r="AJ11" s="14">
        <v>2.84645520058921E-2</v>
      </c>
      <c r="AK11" s="14">
        <v>3.9041464903058799E-2</v>
      </c>
      <c r="AL11" s="14">
        <v>5.1125980762260402E-2</v>
      </c>
      <c r="AM11" s="14">
        <v>3.05575155567832E-2</v>
      </c>
      <c r="AN11" s="14">
        <v>7.2387298881429002E-2</v>
      </c>
      <c r="AO11" s="14"/>
      <c r="AP11" s="14">
        <v>4.2882616598494197E-2</v>
      </c>
      <c r="AQ11" s="14">
        <v>5.3253543120259497E-2</v>
      </c>
      <c r="AR11" s="14"/>
      <c r="AS11" s="14" t="s">
        <v>88</v>
      </c>
      <c r="AT11" s="14" t="s">
        <v>88</v>
      </c>
      <c r="AU11" s="14">
        <v>4.75835123798065E-2</v>
      </c>
      <c r="AV11" s="14"/>
      <c r="AW11" s="14">
        <v>4.3494021413099097E-2</v>
      </c>
      <c r="AX11" s="14">
        <v>6.1535720630544799E-2</v>
      </c>
      <c r="AY11" s="14"/>
      <c r="AZ11" s="14">
        <v>4.1892463962222702E-2</v>
      </c>
      <c r="BA11" s="14">
        <v>6.9914654411923793E-2</v>
      </c>
    </row>
    <row r="12" spans="2:53" x14ac:dyDescent="0.35">
      <c r="B12" s="15" t="s">
        <v>217</v>
      </c>
      <c r="C12" s="14">
        <v>6.4261637151404897E-3</v>
      </c>
      <c r="D12" s="14">
        <v>2.7920046406283401E-3</v>
      </c>
      <c r="E12" s="14">
        <v>1.00695943389066E-2</v>
      </c>
      <c r="F12" s="14"/>
      <c r="G12" s="14">
        <v>0</v>
      </c>
      <c r="H12" s="14">
        <v>1.5486647852092601E-2</v>
      </c>
      <c r="I12" s="14">
        <v>9.4227361151893192E-3</v>
      </c>
      <c r="J12" s="14">
        <v>2.94744133560578E-3</v>
      </c>
      <c r="K12" s="14">
        <v>2.43736725185952E-3</v>
      </c>
      <c r="L12" s="14">
        <v>0</v>
      </c>
      <c r="M12" s="14"/>
      <c r="N12" s="14">
        <v>5.4510525268494101E-3</v>
      </c>
      <c r="O12" s="14">
        <v>4.5887141586711004E-3</v>
      </c>
      <c r="P12" s="14">
        <v>4.8347856217147399E-3</v>
      </c>
      <c r="Q12" s="14">
        <v>1.1680155360500301E-2</v>
      </c>
      <c r="R12" s="14"/>
      <c r="S12" s="14">
        <v>0</v>
      </c>
      <c r="T12" s="14">
        <v>0</v>
      </c>
      <c r="U12" s="14">
        <v>0</v>
      </c>
      <c r="V12" s="14">
        <v>1.77718695035868E-2</v>
      </c>
      <c r="W12" s="14">
        <v>1.28131526400677E-2</v>
      </c>
      <c r="X12" s="14">
        <v>1.17633844655063E-2</v>
      </c>
      <c r="Y12" s="14">
        <v>0</v>
      </c>
      <c r="Z12" s="14">
        <v>2.08053941789514E-2</v>
      </c>
      <c r="AA12" s="14">
        <v>6.2883017256847697E-3</v>
      </c>
      <c r="AB12" s="14"/>
      <c r="AC12" s="14">
        <v>5.1978200217849598E-3</v>
      </c>
      <c r="AD12" s="14">
        <v>3.1949280063904499E-3</v>
      </c>
      <c r="AE12" s="14">
        <v>0</v>
      </c>
      <c r="AF12" s="14">
        <v>1.4138285033722499E-2</v>
      </c>
      <c r="AG12" s="14">
        <v>0</v>
      </c>
      <c r="AH12" s="14"/>
      <c r="AI12" s="14">
        <v>5.5112461503224602E-3</v>
      </c>
      <c r="AJ12" s="14">
        <v>3.08416247858392E-3</v>
      </c>
      <c r="AK12" s="14">
        <v>1.3293019981656299E-2</v>
      </c>
      <c r="AL12" s="14">
        <v>0</v>
      </c>
      <c r="AM12" s="14">
        <v>6.4591165602282197E-3</v>
      </c>
      <c r="AN12" s="14">
        <v>1.9324333309987202E-2</v>
      </c>
      <c r="AO12" s="14"/>
      <c r="AP12" s="14">
        <v>5.7963774349922897E-3</v>
      </c>
      <c r="AQ12" s="14">
        <v>7.1859803564200504E-3</v>
      </c>
      <c r="AR12" s="14"/>
      <c r="AS12" s="14" t="s">
        <v>88</v>
      </c>
      <c r="AT12" s="14" t="s">
        <v>88</v>
      </c>
      <c r="AU12" s="14">
        <v>6.4261637151404897E-3</v>
      </c>
      <c r="AV12" s="14"/>
      <c r="AW12" s="14">
        <v>6.3896051318826502E-3</v>
      </c>
      <c r="AX12" s="14">
        <v>1.79735785022794E-3</v>
      </c>
      <c r="AY12" s="14"/>
      <c r="AZ12" s="14">
        <v>4.0150561742848603E-3</v>
      </c>
      <c r="BA12" s="14">
        <v>1.5818775907398299E-2</v>
      </c>
    </row>
    <row r="13" spans="2:53" x14ac:dyDescent="0.35">
      <c r="B13" s="15" t="s">
        <v>116</v>
      </c>
      <c r="C13" s="23">
        <v>6.6101103459366498E-2</v>
      </c>
      <c r="D13" s="23">
        <v>5.13045340087218E-2</v>
      </c>
      <c r="E13" s="23">
        <v>8.1012337914944402E-2</v>
      </c>
      <c r="F13" s="23"/>
      <c r="G13" s="23">
        <v>0</v>
      </c>
      <c r="H13" s="23">
        <v>3.6136353241804101E-2</v>
      </c>
      <c r="I13" s="23">
        <v>5.0155313348397103E-2</v>
      </c>
      <c r="J13" s="23">
        <v>8.0209879455500399E-2</v>
      </c>
      <c r="K13" s="23">
        <v>7.2856039414736701E-2</v>
      </c>
      <c r="L13" s="23">
        <v>0.18535806607726199</v>
      </c>
      <c r="M13" s="23"/>
      <c r="N13" s="23">
        <v>4.73752483139111E-2</v>
      </c>
      <c r="O13" s="23">
        <v>8.6539580013133804E-2</v>
      </c>
      <c r="P13" s="23">
        <v>5.9066655071757901E-2</v>
      </c>
      <c r="Q13" s="23">
        <v>7.7770150284125095E-2</v>
      </c>
      <c r="R13" s="23"/>
      <c r="S13" s="23">
        <v>3.7685834416099399E-2</v>
      </c>
      <c r="T13" s="23">
        <v>6.70044917785068E-2</v>
      </c>
      <c r="U13" s="23">
        <v>6.6915219933427694E-2</v>
      </c>
      <c r="V13" s="23">
        <v>0.143924224513795</v>
      </c>
      <c r="W13" s="23">
        <v>3.76808190119877E-2</v>
      </c>
      <c r="X13" s="23">
        <v>7.1713448767966301E-2</v>
      </c>
      <c r="Y13" s="23">
        <v>7.7518871800988806E-2</v>
      </c>
      <c r="Z13" s="23">
        <v>6.3356333281451793E-2</v>
      </c>
      <c r="AA13" s="23">
        <v>3.8775212553939703E-2</v>
      </c>
      <c r="AB13" s="23"/>
      <c r="AC13" s="23">
        <v>0.110063790720538</v>
      </c>
      <c r="AD13" s="23">
        <v>5.16396839693858E-2</v>
      </c>
      <c r="AE13" s="23">
        <v>7.32631381383788E-2</v>
      </c>
      <c r="AF13" s="23">
        <v>2.8300321770237401E-2</v>
      </c>
      <c r="AG13" s="23">
        <v>0</v>
      </c>
      <c r="AH13" s="23"/>
      <c r="AI13" s="23">
        <v>4.90150570085367E-2</v>
      </c>
      <c r="AJ13" s="23">
        <v>3.7175422195095703E-2</v>
      </c>
      <c r="AK13" s="23">
        <v>8.4416515744238696E-2</v>
      </c>
      <c r="AL13" s="23">
        <v>9.1292367288893797E-2</v>
      </c>
      <c r="AM13" s="23">
        <v>4.33983959667038E-2</v>
      </c>
      <c r="AN13" s="23">
        <v>0.13683802584277399</v>
      </c>
      <c r="AO13" s="23"/>
      <c r="AP13" s="23">
        <v>5.5384781394287402E-2</v>
      </c>
      <c r="AQ13" s="23">
        <v>7.6441927718751898E-2</v>
      </c>
      <c r="AR13" s="23"/>
      <c r="AS13" s="23" t="s">
        <v>88</v>
      </c>
      <c r="AT13" s="23" t="s">
        <v>88</v>
      </c>
      <c r="AU13" s="23">
        <v>6.6101103459366498E-2</v>
      </c>
      <c r="AV13" s="23"/>
      <c r="AW13" s="23">
        <v>7.2187796353195596E-2</v>
      </c>
      <c r="AX13" s="23">
        <v>1.5669173252087901E-2</v>
      </c>
      <c r="AY13" s="23"/>
      <c r="AZ13" s="23">
        <v>5.5841230823258897E-2</v>
      </c>
      <c r="BA13" s="23">
        <v>0.10626192676316699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B2:BA19"/>
  <sheetViews>
    <sheetView showGridLines="0" topLeftCell="A5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1050</v>
      </c>
      <c r="D7" s="10">
        <v>430</v>
      </c>
      <c r="E7" s="10">
        <v>619</v>
      </c>
      <c r="F7" s="10"/>
      <c r="G7" s="10">
        <v>1</v>
      </c>
      <c r="H7" s="10">
        <v>93</v>
      </c>
      <c r="I7" s="10">
        <v>437</v>
      </c>
      <c r="J7" s="10">
        <v>381</v>
      </c>
      <c r="K7" s="10">
        <v>116</v>
      </c>
      <c r="L7" s="10">
        <v>22</v>
      </c>
      <c r="M7" s="10"/>
      <c r="N7" s="10">
        <v>476</v>
      </c>
      <c r="O7" s="10">
        <v>240</v>
      </c>
      <c r="P7" s="10">
        <v>169</v>
      </c>
      <c r="Q7" s="10">
        <v>160</v>
      </c>
      <c r="R7" s="10"/>
      <c r="S7" s="10">
        <v>192</v>
      </c>
      <c r="T7" s="10">
        <v>154</v>
      </c>
      <c r="U7" s="10">
        <v>76</v>
      </c>
      <c r="V7" s="10">
        <v>102</v>
      </c>
      <c r="W7" s="10">
        <v>89</v>
      </c>
      <c r="X7" s="10">
        <v>112</v>
      </c>
      <c r="Y7" s="10">
        <v>117</v>
      </c>
      <c r="Z7" s="10">
        <v>54</v>
      </c>
      <c r="AA7" s="10">
        <v>154</v>
      </c>
      <c r="AB7" s="10"/>
      <c r="AC7" s="10">
        <v>182</v>
      </c>
      <c r="AD7" s="10">
        <v>196</v>
      </c>
      <c r="AE7" s="10">
        <v>321</v>
      </c>
      <c r="AF7" s="10">
        <v>197</v>
      </c>
      <c r="AG7" s="10">
        <v>45</v>
      </c>
      <c r="AH7" s="10"/>
      <c r="AI7" s="10">
        <v>375</v>
      </c>
      <c r="AJ7" s="10">
        <v>210</v>
      </c>
      <c r="AK7" s="10">
        <v>96</v>
      </c>
      <c r="AL7" s="10">
        <v>151</v>
      </c>
      <c r="AM7" s="10">
        <v>53</v>
      </c>
      <c r="AN7" s="10">
        <v>70</v>
      </c>
      <c r="AO7" s="10"/>
      <c r="AP7" s="10">
        <v>567</v>
      </c>
      <c r="AQ7" s="10">
        <v>481</v>
      </c>
      <c r="AR7" s="10"/>
      <c r="AS7" s="10" t="s">
        <v>87</v>
      </c>
      <c r="AT7" s="10" t="s">
        <v>87</v>
      </c>
      <c r="AU7" s="10">
        <v>1050</v>
      </c>
      <c r="AV7" s="10"/>
      <c r="AW7" s="10">
        <v>753</v>
      </c>
      <c r="AX7" s="10">
        <v>210</v>
      </c>
      <c r="AY7" s="10"/>
      <c r="AZ7" s="10">
        <v>840</v>
      </c>
      <c r="BA7" s="10">
        <v>209</v>
      </c>
    </row>
    <row r="8" spans="2:53" ht="30" customHeight="1" x14ac:dyDescent="0.35">
      <c r="B8" s="11" t="s">
        <v>19</v>
      </c>
      <c r="C8" s="11">
        <v>1039</v>
      </c>
      <c r="D8" s="11">
        <v>519</v>
      </c>
      <c r="E8" s="11">
        <v>519</v>
      </c>
      <c r="F8" s="11"/>
      <c r="G8" s="11">
        <v>1</v>
      </c>
      <c r="H8" s="11">
        <v>85</v>
      </c>
      <c r="I8" s="11">
        <v>415</v>
      </c>
      <c r="J8" s="11">
        <v>388</v>
      </c>
      <c r="K8" s="11">
        <v>125</v>
      </c>
      <c r="L8" s="11">
        <v>25</v>
      </c>
      <c r="M8" s="11"/>
      <c r="N8" s="11">
        <v>298</v>
      </c>
      <c r="O8" s="11">
        <v>249</v>
      </c>
      <c r="P8" s="11">
        <v>260</v>
      </c>
      <c r="Q8" s="11">
        <v>227</v>
      </c>
      <c r="R8" s="11"/>
      <c r="S8" s="11">
        <v>162</v>
      </c>
      <c r="T8" s="11">
        <v>160</v>
      </c>
      <c r="U8" s="11">
        <v>93</v>
      </c>
      <c r="V8" s="11">
        <v>123</v>
      </c>
      <c r="W8" s="11">
        <v>98</v>
      </c>
      <c r="X8" s="11">
        <v>97</v>
      </c>
      <c r="Y8" s="11">
        <v>104</v>
      </c>
      <c r="Z8" s="11">
        <v>57</v>
      </c>
      <c r="AA8" s="11">
        <v>146</v>
      </c>
      <c r="AB8" s="11"/>
      <c r="AC8" s="11">
        <v>227</v>
      </c>
      <c r="AD8" s="11">
        <v>222</v>
      </c>
      <c r="AE8" s="11">
        <v>301</v>
      </c>
      <c r="AF8" s="11">
        <v>146</v>
      </c>
      <c r="AG8" s="11">
        <v>23</v>
      </c>
      <c r="AH8" s="11"/>
      <c r="AI8" s="11">
        <v>356</v>
      </c>
      <c r="AJ8" s="11">
        <v>198</v>
      </c>
      <c r="AK8" s="11">
        <v>86</v>
      </c>
      <c r="AL8" s="11">
        <v>169</v>
      </c>
      <c r="AM8" s="11">
        <v>47</v>
      </c>
      <c r="AN8" s="11">
        <v>76</v>
      </c>
      <c r="AO8" s="11"/>
      <c r="AP8" s="11">
        <v>559</v>
      </c>
      <c r="AQ8" s="11">
        <v>478</v>
      </c>
      <c r="AR8" s="11"/>
      <c r="AS8" s="11" t="s">
        <v>87</v>
      </c>
      <c r="AT8" s="11" t="s">
        <v>87</v>
      </c>
      <c r="AU8" s="11">
        <v>1039</v>
      </c>
      <c r="AV8" s="11"/>
      <c r="AW8" s="11">
        <v>767</v>
      </c>
      <c r="AX8" s="11">
        <v>170</v>
      </c>
      <c r="AY8" s="11"/>
      <c r="AZ8" s="11">
        <v>825</v>
      </c>
      <c r="BA8" s="11">
        <v>213</v>
      </c>
    </row>
    <row r="9" spans="2:53" x14ac:dyDescent="0.35">
      <c r="B9" s="15" t="s">
        <v>220</v>
      </c>
      <c r="C9" s="14">
        <v>0.29929982189097598</v>
      </c>
      <c r="D9" s="14">
        <v>0.33069917699218798</v>
      </c>
      <c r="E9" s="14">
        <v>0.26657779053267</v>
      </c>
      <c r="F9" s="14"/>
      <c r="G9" s="14">
        <v>1</v>
      </c>
      <c r="H9" s="14">
        <v>0.383657823352901</v>
      </c>
      <c r="I9" s="14">
        <v>0.32182811676356698</v>
      </c>
      <c r="J9" s="14">
        <v>0.25944226796924702</v>
      </c>
      <c r="K9" s="14">
        <v>0.29288056483393898</v>
      </c>
      <c r="L9" s="14">
        <v>0.25238469571774802</v>
      </c>
      <c r="M9" s="14"/>
      <c r="N9" s="14">
        <v>0.341970877130513</v>
      </c>
      <c r="O9" s="14">
        <v>0.29695613761392298</v>
      </c>
      <c r="P9" s="14">
        <v>0.256140440484601</v>
      </c>
      <c r="Q9" s="14">
        <v>0.29602822078211499</v>
      </c>
      <c r="R9" s="14"/>
      <c r="S9" s="14">
        <v>0.41582017645985703</v>
      </c>
      <c r="T9" s="14">
        <v>0.25375737515958002</v>
      </c>
      <c r="U9" s="14">
        <v>0.241589757569208</v>
      </c>
      <c r="V9" s="14">
        <v>0.26346030164859902</v>
      </c>
      <c r="W9" s="14">
        <v>0.308691999647006</v>
      </c>
      <c r="X9" s="14">
        <v>0.22851913774368501</v>
      </c>
      <c r="Y9" s="14">
        <v>0.32258307595545099</v>
      </c>
      <c r="Z9" s="14">
        <v>0.33791808633586601</v>
      </c>
      <c r="AA9" s="14">
        <v>0.29630128906742498</v>
      </c>
      <c r="AB9" s="14"/>
      <c r="AC9" s="14">
        <v>0.24854205646462299</v>
      </c>
      <c r="AD9" s="14">
        <v>0.27278777974915802</v>
      </c>
      <c r="AE9" s="14">
        <v>0.31129982093388098</v>
      </c>
      <c r="AF9" s="14">
        <v>0.41096652108100601</v>
      </c>
      <c r="AG9" s="14">
        <v>0.40311468646728099</v>
      </c>
      <c r="AH9" s="14"/>
      <c r="AI9" s="14">
        <v>0.32765193466905901</v>
      </c>
      <c r="AJ9" s="14">
        <v>0.27071227856732899</v>
      </c>
      <c r="AK9" s="14">
        <v>0.32559406067129198</v>
      </c>
      <c r="AL9" s="14">
        <v>0.305461204102423</v>
      </c>
      <c r="AM9" s="14">
        <v>0.32709456265603398</v>
      </c>
      <c r="AN9" s="14">
        <v>0.234883052219613</v>
      </c>
      <c r="AO9" s="14"/>
      <c r="AP9" s="14">
        <v>0.35129289518026102</v>
      </c>
      <c r="AQ9" s="14">
        <v>0.238353887688217</v>
      </c>
      <c r="AR9" s="14"/>
      <c r="AS9" s="14" t="s">
        <v>88</v>
      </c>
      <c r="AT9" s="14" t="s">
        <v>88</v>
      </c>
      <c r="AU9" s="14">
        <v>0.29929982189097598</v>
      </c>
      <c r="AV9" s="14"/>
      <c r="AW9" s="14">
        <v>0.27401572886372999</v>
      </c>
      <c r="AX9" s="14">
        <v>0.468197939098281</v>
      </c>
      <c r="AY9" s="14"/>
      <c r="AZ9" s="14">
        <v>0.324590230149231</v>
      </c>
      <c r="BA9" s="14">
        <v>0.20260455786498299</v>
      </c>
    </row>
    <row r="10" spans="2:53" x14ac:dyDescent="0.35">
      <c r="B10" s="15" t="s">
        <v>221</v>
      </c>
      <c r="C10" s="14">
        <v>0.57393086610328903</v>
      </c>
      <c r="D10" s="14">
        <v>0.57221579063883499</v>
      </c>
      <c r="E10" s="14">
        <v>0.57674982907549799</v>
      </c>
      <c r="F10" s="14"/>
      <c r="G10" s="14">
        <v>0</v>
      </c>
      <c r="H10" s="14">
        <v>0.52119538482462602</v>
      </c>
      <c r="I10" s="14">
        <v>0.54827116588834302</v>
      </c>
      <c r="J10" s="14">
        <v>0.60919380370626097</v>
      </c>
      <c r="K10" s="14">
        <v>0.587891678932566</v>
      </c>
      <c r="L10" s="14">
        <v>0.591616236698984</v>
      </c>
      <c r="M10" s="14"/>
      <c r="N10" s="14">
        <v>0.55256790001309997</v>
      </c>
      <c r="O10" s="14">
        <v>0.585635101912379</v>
      </c>
      <c r="P10" s="14">
        <v>0.57368877846715804</v>
      </c>
      <c r="Q10" s="14">
        <v>0.58575955493008902</v>
      </c>
      <c r="R10" s="14"/>
      <c r="S10" s="14">
        <v>0.52914895267155604</v>
      </c>
      <c r="T10" s="14">
        <v>0.60520220601216601</v>
      </c>
      <c r="U10" s="14">
        <v>0.63089064082497204</v>
      </c>
      <c r="V10" s="14">
        <v>0.55775624852404604</v>
      </c>
      <c r="W10" s="14">
        <v>0.56615003270518505</v>
      </c>
      <c r="X10" s="14">
        <v>0.63344146106878596</v>
      </c>
      <c r="Y10" s="14">
        <v>0.54011030414731698</v>
      </c>
      <c r="Z10" s="14">
        <v>0.46977524269299697</v>
      </c>
      <c r="AA10" s="14">
        <v>0.59677516511887896</v>
      </c>
      <c r="AB10" s="14"/>
      <c r="AC10" s="14">
        <v>0.57895781793947598</v>
      </c>
      <c r="AD10" s="14">
        <v>0.62142457877671198</v>
      </c>
      <c r="AE10" s="14">
        <v>0.57049593295775902</v>
      </c>
      <c r="AF10" s="14">
        <v>0.505545697399154</v>
      </c>
      <c r="AG10" s="14">
        <v>0.56028027857870999</v>
      </c>
      <c r="AH10" s="14"/>
      <c r="AI10" s="14">
        <v>0.56760479675281605</v>
      </c>
      <c r="AJ10" s="14">
        <v>0.64780491399824502</v>
      </c>
      <c r="AK10" s="14">
        <v>0.56531020435799795</v>
      </c>
      <c r="AL10" s="14">
        <v>0.57981003365866501</v>
      </c>
      <c r="AM10" s="14">
        <v>0.54948202272146895</v>
      </c>
      <c r="AN10" s="14">
        <v>0.50050041686717395</v>
      </c>
      <c r="AO10" s="14"/>
      <c r="AP10" s="14">
        <v>0.53894294970171497</v>
      </c>
      <c r="AQ10" s="14">
        <v>0.61453718444555006</v>
      </c>
      <c r="AR10" s="14"/>
      <c r="AS10" s="14" t="s">
        <v>88</v>
      </c>
      <c r="AT10" s="14" t="s">
        <v>88</v>
      </c>
      <c r="AU10" s="14">
        <v>0.57393086610328903</v>
      </c>
      <c r="AV10" s="14"/>
      <c r="AW10" s="14">
        <v>0.60937396333265803</v>
      </c>
      <c r="AX10" s="14">
        <v>0.48006788834200398</v>
      </c>
      <c r="AY10" s="14"/>
      <c r="AZ10" s="14">
        <v>0.57853911574426298</v>
      </c>
      <c r="BA10" s="14">
        <v>0.55391981774066001</v>
      </c>
    </row>
    <row r="11" spans="2:53" x14ac:dyDescent="0.35">
      <c r="B11" s="15" t="s">
        <v>222</v>
      </c>
      <c r="C11" s="14">
        <v>9.6810489966310601E-2</v>
      </c>
      <c r="D11" s="14">
        <v>8.0342317313472994E-2</v>
      </c>
      <c r="E11" s="14">
        <v>0.11345104374373299</v>
      </c>
      <c r="F11" s="14"/>
      <c r="G11" s="14">
        <v>0</v>
      </c>
      <c r="H11" s="14">
        <v>7.1001853134343901E-2</v>
      </c>
      <c r="I11" s="14">
        <v>9.2460463860287001E-2</v>
      </c>
      <c r="J11" s="14">
        <v>0.107799373334064</v>
      </c>
      <c r="K11" s="14">
        <v>8.4118720280323106E-2</v>
      </c>
      <c r="L11" s="14">
        <v>0.15599906758326901</v>
      </c>
      <c r="M11" s="14"/>
      <c r="N11" s="14">
        <v>8.4552622219274107E-2</v>
      </c>
      <c r="O11" s="14">
        <v>8.4452771152653996E-2</v>
      </c>
      <c r="P11" s="14">
        <v>0.13393271043437099</v>
      </c>
      <c r="Q11" s="14">
        <v>8.6173138815436007E-2</v>
      </c>
      <c r="R11" s="14"/>
      <c r="S11" s="14">
        <v>4.2638080334895301E-2</v>
      </c>
      <c r="T11" s="14">
        <v>0.12658285686308199</v>
      </c>
      <c r="U11" s="14">
        <v>0.107194698023554</v>
      </c>
      <c r="V11" s="14">
        <v>0.144479105681767</v>
      </c>
      <c r="W11" s="14">
        <v>0.105577716629162</v>
      </c>
      <c r="X11" s="14">
        <v>8.80934495848021E-2</v>
      </c>
      <c r="Y11" s="14">
        <v>0.107365094837859</v>
      </c>
      <c r="Z11" s="14">
        <v>0.12710266060322301</v>
      </c>
      <c r="AA11" s="14">
        <v>5.8041925957263998E-2</v>
      </c>
      <c r="AB11" s="14"/>
      <c r="AC11" s="14">
        <v>0.12758999851568101</v>
      </c>
      <c r="AD11" s="14">
        <v>8.9440110680128804E-2</v>
      </c>
      <c r="AE11" s="14">
        <v>7.7764610565834294E-2</v>
      </c>
      <c r="AF11" s="14">
        <v>7.41385860761474E-2</v>
      </c>
      <c r="AG11" s="14">
        <v>3.6605034954009498E-2</v>
      </c>
      <c r="AH11" s="14"/>
      <c r="AI11" s="14">
        <v>7.7363371667795999E-2</v>
      </c>
      <c r="AJ11" s="14">
        <v>7.7952825553541494E-2</v>
      </c>
      <c r="AK11" s="14">
        <v>5.8496076136404999E-2</v>
      </c>
      <c r="AL11" s="14">
        <v>9.3348664686782101E-2</v>
      </c>
      <c r="AM11" s="14">
        <v>0.12342341462249699</v>
      </c>
      <c r="AN11" s="14">
        <v>0.23781865697068399</v>
      </c>
      <c r="AO11" s="14"/>
      <c r="AP11" s="14">
        <v>9.3333108891839101E-2</v>
      </c>
      <c r="AQ11" s="14">
        <v>0.10123746131931601</v>
      </c>
      <c r="AR11" s="14"/>
      <c r="AS11" s="14" t="s">
        <v>88</v>
      </c>
      <c r="AT11" s="14" t="s">
        <v>88</v>
      </c>
      <c r="AU11" s="14">
        <v>9.6810489966310601E-2</v>
      </c>
      <c r="AV11" s="14"/>
      <c r="AW11" s="14">
        <v>8.5234306170649199E-2</v>
      </c>
      <c r="AX11" s="14">
        <v>5.1734172559715297E-2</v>
      </c>
      <c r="AY11" s="14"/>
      <c r="AZ11" s="14">
        <v>8.0276777808920702E-2</v>
      </c>
      <c r="BA11" s="14">
        <v>0.16148104291416199</v>
      </c>
    </row>
    <row r="12" spans="2:53" x14ac:dyDescent="0.35">
      <c r="B12" s="15" t="s">
        <v>223</v>
      </c>
      <c r="C12" s="14">
        <v>1.05424731285592E-2</v>
      </c>
      <c r="D12" s="14">
        <v>2.0810677843322001E-3</v>
      </c>
      <c r="E12" s="14">
        <v>1.9016953640343399E-2</v>
      </c>
      <c r="F12" s="14"/>
      <c r="G12" s="14">
        <v>0</v>
      </c>
      <c r="H12" s="14">
        <v>2.4144938688129499E-2</v>
      </c>
      <c r="I12" s="14">
        <v>1.56010035639085E-2</v>
      </c>
      <c r="J12" s="14">
        <v>3.4690033806193499E-3</v>
      </c>
      <c r="K12" s="14">
        <v>8.6099336397298196E-3</v>
      </c>
      <c r="L12" s="14">
        <v>0</v>
      </c>
      <c r="M12" s="14"/>
      <c r="N12" s="14">
        <v>7.5104036172951097E-3</v>
      </c>
      <c r="O12" s="14">
        <v>1.2311247340938501E-2</v>
      </c>
      <c r="P12" s="14">
        <v>9.2877717616850607E-3</v>
      </c>
      <c r="Q12" s="14">
        <v>1.42492776432828E-2</v>
      </c>
      <c r="R12" s="14"/>
      <c r="S12" s="14">
        <v>0</v>
      </c>
      <c r="T12" s="14">
        <v>6.7641477996474098E-3</v>
      </c>
      <c r="U12" s="14">
        <v>0</v>
      </c>
      <c r="V12" s="14">
        <v>0</v>
      </c>
      <c r="W12" s="14">
        <v>1.28131526400677E-2</v>
      </c>
      <c r="X12" s="14">
        <v>2.8370384865352E-2</v>
      </c>
      <c r="Y12" s="14">
        <v>1.23326452943759E-2</v>
      </c>
      <c r="Z12" s="14">
        <v>2.08053941789514E-2</v>
      </c>
      <c r="AA12" s="14">
        <v>2.33329044774735E-2</v>
      </c>
      <c r="AB12" s="14"/>
      <c r="AC12" s="14">
        <v>1.30754723813532E-2</v>
      </c>
      <c r="AD12" s="14">
        <v>3.3091430367455199E-3</v>
      </c>
      <c r="AE12" s="14">
        <v>1.15492538285687E-2</v>
      </c>
      <c r="AF12" s="14">
        <v>0</v>
      </c>
      <c r="AG12" s="14">
        <v>0</v>
      </c>
      <c r="AH12" s="14"/>
      <c r="AI12" s="14">
        <v>1.34949666850107E-2</v>
      </c>
      <c r="AJ12" s="14">
        <v>0</v>
      </c>
      <c r="AK12" s="14">
        <v>9.4963513049032902E-3</v>
      </c>
      <c r="AL12" s="14">
        <v>3.2467238802871301E-3</v>
      </c>
      <c r="AM12" s="14">
        <v>0</v>
      </c>
      <c r="AN12" s="14">
        <v>0</v>
      </c>
      <c r="AO12" s="14"/>
      <c r="AP12" s="14">
        <v>6.2842710211155201E-3</v>
      </c>
      <c r="AQ12" s="14">
        <v>1.5555572182499099E-2</v>
      </c>
      <c r="AR12" s="14"/>
      <c r="AS12" s="14" t="s">
        <v>88</v>
      </c>
      <c r="AT12" s="14" t="s">
        <v>88</v>
      </c>
      <c r="AU12" s="14">
        <v>1.05424731285592E-2</v>
      </c>
      <c r="AV12" s="14"/>
      <c r="AW12" s="14">
        <v>1.2783153388366501E-2</v>
      </c>
      <c r="AX12" s="14">
        <v>0</v>
      </c>
      <c r="AY12" s="14"/>
      <c r="AZ12" s="14">
        <v>2.8285728709316498E-3</v>
      </c>
      <c r="BA12" s="14">
        <v>4.0542576297855501E-2</v>
      </c>
    </row>
    <row r="13" spans="2:53" x14ac:dyDescent="0.35">
      <c r="B13" s="15" t="s">
        <v>116</v>
      </c>
      <c r="C13" s="18">
        <v>1.87784434775147E-2</v>
      </c>
      <c r="D13" s="18">
        <v>1.46616472711718E-2</v>
      </c>
      <c r="E13" s="18">
        <v>2.29278885670894E-2</v>
      </c>
      <c r="F13" s="18"/>
      <c r="G13" s="18">
        <v>0</v>
      </c>
      <c r="H13" s="18">
        <v>0</v>
      </c>
      <c r="I13" s="18">
        <v>2.1839249923894601E-2</v>
      </c>
      <c r="J13" s="18">
        <v>1.8386148430318099E-2</v>
      </c>
      <c r="K13" s="18">
        <v>2.6499102313441901E-2</v>
      </c>
      <c r="L13" s="18">
        <v>0</v>
      </c>
      <c r="M13" s="18"/>
      <c r="N13" s="18">
        <v>1.1175305076015E-2</v>
      </c>
      <c r="O13" s="18">
        <v>2.0644741980105401E-2</v>
      </c>
      <c r="P13" s="18">
        <v>2.6950298852184602E-2</v>
      </c>
      <c r="Q13" s="18">
        <v>1.7789807829077301E-2</v>
      </c>
      <c r="R13" s="18"/>
      <c r="S13" s="18">
        <v>1.2392790533691999E-2</v>
      </c>
      <c r="T13" s="18">
        <v>7.6934141655243399E-3</v>
      </c>
      <c r="U13" s="18">
        <v>2.0324903582265401E-2</v>
      </c>
      <c r="V13" s="18">
        <v>3.4304344145588299E-2</v>
      </c>
      <c r="W13" s="18">
        <v>0</v>
      </c>
      <c r="X13" s="18">
        <v>2.1575566737374999E-2</v>
      </c>
      <c r="Y13" s="18">
        <v>1.76088797649981E-2</v>
      </c>
      <c r="Z13" s="18">
        <v>4.4398616188962597E-2</v>
      </c>
      <c r="AA13" s="18">
        <v>2.5548715378958101E-2</v>
      </c>
      <c r="AB13" s="18"/>
      <c r="AC13" s="18">
        <v>3.1834654698867197E-2</v>
      </c>
      <c r="AD13" s="18">
        <v>1.3038387757255399E-2</v>
      </c>
      <c r="AE13" s="18">
        <v>2.88903817139569E-2</v>
      </c>
      <c r="AF13" s="18">
        <v>4.7978632707453804E-3</v>
      </c>
      <c r="AG13" s="18">
        <v>0</v>
      </c>
      <c r="AH13" s="18"/>
      <c r="AI13" s="18">
        <v>1.3884930225318601E-2</v>
      </c>
      <c r="AJ13" s="18">
        <v>3.5299818808847399E-3</v>
      </c>
      <c r="AK13" s="18">
        <v>3.3393864648495697E-2</v>
      </c>
      <c r="AL13" s="18">
        <v>1.8133373671842899E-2</v>
      </c>
      <c r="AM13" s="18">
        <v>0</v>
      </c>
      <c r="AN13" s="18">
        <v>2.6797873942529499E-2</v>
      </c>
      <c r="AO13" s="18"/>
      <c r="AP13" s="18">
        <v>1.0146775205070201E-2</v>
      </c>
      <c r="AQ13" s="18">
        <v>2.8930550754815602E-2</v>
      </c>
      <c r="AR13" s="18"/>
      <c r="AS13" s="18" t="s">
        <v>88</v>
      </c>
      <c r="AT13" s="18" t="s">
        <v>88</v>
      </c>
      <c r="AU13" s="18">
        <v>1.87784434775147E-2</v>
      </c>
      <c r="AV13" s="18"/>
      <c r="AW13" s="18">
        <v>1.8592848244596699E-2</v>
      </c>
      <c r="AX13" s="18">
        <v>0</v>
      </c>
      <c r="AY13" s="18"/>
      <c r="AZ13" s="18">
        <v>1.2962268813245701E-2</v>
      </c>
      <c r="BA13" s="18">
        <v>4.1452005182339498E-2</v>
      </c>
    </row>
    <row r="14" spans="2:53" x14ac:dyDescent="0.35">
      <c r="B14" s="26" t="s">
        <v>224</v>
      </c>
      <c r="C14" s="27">
        <v>0.87323068799426595</v>
      </c>
      <c r="D14" s="27">
        <v>0.90291496763102297</v>
      </c>
      <c r="E14" s="27">
        <v>0.84332761960816705</v>
      </c>
      <c r="F14" s="27"/>
      <c r="G14" s="27">
        <v>1</v>
      </c>
      <c r="H14" s="27">
        <v>0.90485320817752701</v>
      </c>
      <c r="I14" s="27">
        <v>0.87009928265191006</v>
      </c>
      <c r="J14" s="27">
        <v>0.86863607167550805</v>
      </c>
      <c r="K14" s="27">
        <v>0.88077224376650498</v>
      </c>
      <c r="L14" s="27">
        <v>0.84400093241673102</v>
      </c>
      <c r="M14" s="27"/>
      <c r="N14" s="27">
        <v>0.89453877714361296</v>
      </c>
      <c r="O14" s="27">
        <v>0.88259123952630203</v>
      </c>
      <c r="P14" s="27">
        <v>0.82982921895175898</v>
      </c>
      <c r="Q14" s="27">
        <v>0.88178777571220401</v>
      </c>
      <c r="R14" s="27"/>
      <c r="S14" s="27">
        <v>0.94496912913141295</v>
      </c>
      <c r="T14" s="27">
        <v>0.85895958117174698</v>
      </c>
      <c r="U14" s="27">
        <v>0.87248039839418001</v>
      </c>
      <c r="V14" s="27">
        <v>0.82121655017264505</v>
      </c>
      <c r="W14" s="27">
        <v>0.87484203235219105</v>
      </c>
      <c r="X14" s="27">
        <v>0.861960598812471</v>
      </c>
      <c r="Y14" s="27">
        <v>0.86269338010276697</v>
      </c>
      <c r="Z14" s="27">
        <v>0.80769332902886304</v>
      </c>
      <c r="AA14" s="27">
        <v>0.89307645418630399</v>
      </c>
      <c r="AB14" s="27"/>
      <c r="AC14" s="27">
        <v>0.827499874404099</v>
      </c>
      <c r="AD14" s="27">
        <v>0.89421235852587</v>
      </c>
      <c r="AE14" s="27">
        <v>0.88179575389164</v>
      </c>
      <c r="AF14" s="27">
        <v>0.91651221848015996</v>
      </c>
      <c r="AG14" s="27">
        <v>0.96339496504599098</v>
      </c>
      <c r="AH14" s="27"/>
      <c r="AI14" s="27">
        <v>0.89525673142187501</v>
      </c>
      <c r="AJ14" s="27">
        <v>0.91851719256557396</v>
      </c>
      <c r="AK14" s="27">
        <v>0.89090426502928899</v>
      </c>
      <c r="AL14" s="27">
        <v>0.88527123776108796</v>
      </c>
      <c r="AM14" s="27">
        <v>0.87657658537750305</v>
      </c>
      <c r="AN14" s="27">
        <v>0.73538346908678598</v>
      </c>
      <c r="AO14" s="27"/>
      <c r="AP14" s="27">
        <v>0.89023584488197505</v>
      </c>
      <c r="AQ14" s="27">
        <v>0.85289107213376703</v>
      </c>
      <c r="AR14" s="27"/>
      <c r="AS14" s="27" t="s">
        <v>88</v>
      </c>
      <c r="AT14" s="27" t="s">
        <v>88</v>
      </c>
      <c r="AU14" s="27">
        <v>0.87323068799426595</v>
      </c>
      <c r="AV14" s="27"/>
      <c r="AW14" s="27">
        <v>0.88338969219638797</v>
      </c>
      <c r="AX14" s="27">
        <v>0.94826582744028498</v>
      </c>
      <c r="AY14" s="27"/>
      <c r="AZ14" s="27">
        <v>0.90312934589349403</v>
      </c>
      <c r="BA14" s="27">
        <v>0.75652437560564301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1050</v>
      </c>
      <c r="D7" s="10">
        <v>430</v>
      </c>
      <c r="E7" s="10">
        <v>619</v>
      </c>
      <c r="F7" s="10"/>
      <c r="G7" s="10">
        <v>1</v>
      </c>
      <c r="H7" s="10">
        <v>93</v>
      </c>
      <c r="I7" s="10">
        <v>437</v>
      </c>
      <c r="J7" s="10">
        <v>381</v>
      </c>
      <c r="K7" s="10">
        <v>116</v>
      </c>
      <c r="L7" s="10">
        <v>22</v>
      </c>
      <c r="M7" s="10"/>
      <c r="N7" s="10">
        <v>476</v>
      </c>
      <c r="O7" s="10">
        <v>240</v>
      </c>
      <c r="P7" s="10">
        <v>169</v>
      </c>
      <c r="Q7" s="10">
        <v>160</v>
      </c>
      <c r="R7" s="10"/>
      <c r="S7" s="10">
        <v>192</v>
      </c>
      <c r="T7" s="10">
        <v>154</v>
      </c>
      <c r="U7" s="10">
        <v>76</v>
      </c>
      <c r="V7" s="10">
        <v>102</v>
      </c>
      <c r="W7" s="10">
        <v>89</v>
      </c>
      <c r="X7" s="10">
        <v>112</v>
      </c>
      <c r="Y7" s="10">
        <v>117</v>
      </c>
      <c r="Z7" s="10">
        <v>54</v>
      </c>
      <c r="AA7" s="10">
        <v>154</v>
      </c>
      <c r="AB7" s="10"/>
      <c r="AC7" s="10">
        <v>182</v>
      </c>
      <c r="AD7" s="10">
        <v>196</v>
      </c>
      <c r="AE7" s="10">
        <v>321</v>
      </c>
      <c r="AF7" s="10">
        <v>197</v>
      </c>
      <c r="AG7" s="10">
        <v>45</v>
      </c>
      <c r="AH7" s="10"/>
      <c r="AI7" s="10">
        <v>375</v>
      </c>
      <c r="AJ7" s="10">
        <v>210</v>
      </c>
      <c r="AK7" s="10">
        <v>96</v>
      </c>
      <c r="AL7" s="10">
        <v>151</v>
      </c>
      <c r="AM7" s="10">
        <v>53</v>
      </c>
      <c r="AN7" s="10">
        <v>70</v>
      </c>
      <c r="AO7" s="10"/>
      <c r="AP7" s="10">
        <v>567</v>
      </c>
      <c r="AQ7" s="10">
        <v>481</v>
      </c>
      <c r="AR7" s="10"/>
      <c r="AS7" s="10" t="s">
        <v>87</v>
      </c>
      <c r="AT7" s="10" t="s">
        <v>87</v>
      </c>
      <c r="AU7" s="10">
        <v>1050</v>
      </c>
      <c r="AV7" s="10"/>
      <c r="AW7" s="10">
        <v>753</v>
      </c>
      <c r="AX7" s="10">
        <v>210</v>
      </c>
      <c r="AY7" s="10"/>
      <c r="AZ7" s="10">
        <v>840</v>
      </c>
      <c r="BA7" s="10">
        <v>209</v>
      </c>
    </row>
    <row r="8" spans="2:53" ht="30" customHeight="1" x14ac:dyDescent="0.35">
      <c r="B8" s="11" t="s">
        <v>19</v>
      </c>
      <c r="C8" s="11">
        <v>1039</v>
      </c>
      <c r="D8" s="11">
        <v>519</v>
      </c>
      <c r="E8" s="11">
        <v>519</v>
      </c>
      <c r="F8" s="11"/>
      <c r="G8" s="11">
        <v>1</v>
      </c>
      <c r="H8" s="11">
        <v>85</v>
      </c>
      <c r="I8" s="11">
        <v>415</v>
      </c>
      <c r="J8" s="11">
        <v>388</v>
      </c>
      <c r="K8" s="11">
        <v>125</v>
      </c>
      <c r="L8" s="11">
        <v>25</v>
      </c>
      <c r="M8" s="11"/>
      <c r="N8" s="11">
        <v>298</v>
      </c>
      <c r="O8" s="11">
        <v>249</v>
      </c>
      <c r="P8" s="11">
        <v>260</v>
      </c>
      <c r="Q8" s="11">
        <v>227</v>
      </c>
      <c r="R8" s="11"/>
      <c r="S8" s="11">
        <v>162</v>
      </c>
      <c r="T8" s="11">
        <v>160</v>
      </c>
      <c r="U8" s="11">
        <v>93</v>
      </c>
      <c r="V8" s="11">
        <v>123</v>
      </c>
      <c r="W8" s="11">
        <v>98</v>
      </c>
      <c r="X8" s="11">
        <v>97</v>
      </c>
      <c r="Y8" s="11">
        <v>104</v>
      </c>
      <c r="Z8" s="11">
        <v>57</v>
      </c>
      <c r="AA8" s="11">
        <v>146</v>
      </c>
      <c r="AB8" s="11"/>
      <c r="AC8" s="11">
        <v>227</v>
      </c>
      <c r="AD8" s="11">
        <v>222</v>
      </c>
      <c r="AE8" s="11">
        <v>301</v>
      </c>
      <c r="AF8" s="11">
        <v>146</v>
      </c>
      <c r="AG8" s="11">
        <v>23</v>
      </c>
      <c r="AH8" s="11"/>
      <c r="AI8" s="11">
        <v>356</v>
      </c>
      <c r="AJ8" s="11">
        <v>198</v>
      </c>
      <c r="AK8" s="11">
        <v>86</v>
      </c>
      <c r="AL8" s="11">
        <v>169</v>
      </c>
      <c r="AM8" s="11">
        <v>47</v>
      </c>
      <c r="AN8" s="11">
        <v>76</v>
      </c>
      <c r="AO8" s="11"/>
      <c r="AP8" s="11">
        <v>559</v>
      </c>
      <c r="AQ8" s="11">
        <v>478</v>
      </c>
      <c r="AR8" s="11"/>
      <c r="AS8" s="11" t="s">
        <v>87</v>
      </c>
      <c r="AT8" s="11" t="s">
        <v>87</v>
      </c>
      <c r="AU8" s="11">
        <v>1039</v>
      </c>
      <c r="AV8" s="11"/>
      <c r="AW8" s="11">
        <v>767</v>
      </c>
      <c r="AX8" s="11">
        <v>170</v>
      </c>
      <c r="AY8" s="11"/>
      <c r="AZ8" s="11">
        <v>825</v>
      </c>
      <c r="BA8" s="11">
        <v>213</v>
      </c>
    </row>
    <row r="9" spans="2:53" x14ac:dyDescent="0.35">
      <c r="B9" s="15" t="s">
        <v>226</v>
      </c>
      <c r="C9" s="14">
        <v>0.19689938811320801</v>
      </c>
      <c r="D9" s="14">
        <v>0.237205000422645</v>
      </c>
      <c r="E9" s="14">
        <v>0.157007425749667</v>
      </c>
      <c r="F9" s="14"/>
      <c r="G9" s="14">
        <v>0</v>
      </c>
      <c r="H9" s="14">
        <v>0.35524198408430102</v>
      </c>
      <c r="I9" s="14">
        <v>0.21248255753895801</v>
      </c>
      <c r="J9" s="14">
        <v>0.162664384998365</v>
      </c>
      <c r="K9" s="14">
        <v>0.16822267657856299</v>
      </c>
      <c r="L9" s="14">
        <v>8.1432030959912305E-2</v>
      </c>
      <c r="M9" s="14"/>
      <c r="N9" s="14">
        <v>0.22163601537858299</v>
      </c>
      <c r="O9" s="14">
        <v>0.20810356534575999</v>
      </c>
      <c r="P9" s="14">
        <v>0.164624317262</v>
      </c>
      <c r="Q9" s="14">
        <v>0.187613994595417</v>
      </c>
      <c r="R9" s="14"/>
      <c r="S9" s="14">
        <v>0.31820762754940701</v>
      </c>
      <c r="T9" s="14">
        <v>0.170798811816855</v>
      </c>
      <c r="U9" s="14">
        <v>0.25328885628879499</v>
      </c>
      <c r="V9" s="14">
        <v>0.15921845167071499</v>
      </c>
      <c r="W9" s="14">
        <v>0.12594274023548599</v>
      </c>
      <c r="X9" s="14">
        <v>0.192093083352321</v>
      </c>
      <c r="Y9" s="14">
        <v>0.172793494992944</v>
      </c>
      <c r="Z9" s="14">
        <v>0.14493399710209301</v>
      </c>
      <c r="AA9" s="14">
        <v>0.17490282242997801</v>
      </c>
      <c r="AB9" s="14"/>
      <c r="AC9" s="14">
        <v>0.13807044100385499</v>
      </c>
      <c r="AD9" s="14">
        <v>0.164665644904612</v>
      </c>
      <c r="AE9" s="14">
        <v>0.19544531946375801</v>
      </c>
      <c r="AF9" s="14">
        <v>0.35022382567864102</v>
      </c>
      <c r="AG9" s="14">
        <v>0.39944962199239598</v>
      </c>
      <c r="AH9" s="14"/>
      <c r="AI9" s="14">
        <v>0.222432492137938</v>
      </c>
      <c r="AJ9" s="14">
        <v>0.24161449975933699</v>
      </c>
      <c r="AK9" s="14">
        <v>0.20204714448279501</v>
      </c>
      <c r="AL9" s="14">
        <v>0.188995838385489</v>
      </c>
      <c r="AM9" s="14">
        <v>0.15157296234548401</v>
      </c>
      <c r="AN9" s="14">
        <v>0.111708728233614</v>
      </c>
      <c r="AO9" s="14"/>
      <c r="AP9" s="14">
        <v>0.22915529712968</v>
      </c>
      <c r="AQ9" s="14">
        <v>0.158618336070072</v>
      </c>
      <c r="AR9" s="14"/>
      <c r="AS9" s="14" t="s">
        <v>88</v>
      </c>
      <c r="AT9" s="14" t="s">
        <v>88</v>
      </c>
      <c r="AU9" s="14">
        <v>0.19689938811320801</v>
      </c>
      <c r="AV9" s="14"/>
      <c r="AW9" s="14">
        <v>0.167900320845003</v>
      </c>
      <c r="AX9" s="14">
        <v>0.38257345140209598</v>
      </c>
      <c r="AY9" s="14"/>
      <c r="AZ9" s="14">
        <v>0.22619968547151501</v>
      </c>
      <c r="BA9" s="14">
        <v>8.4126924908275003E-2</v>
      </c>
    </row>
    <row r="10" spans="2:53" x14ac:dyDescent="0.35">
      <c r="B10" s="15" t="s">
        <v>227</v>
      </c>
      <c r="C10" s="14">
        <v>0.38774957905178498</v>
      </c>
      <c r="D10" s="14">
        <v>0.42330623655333499</v>
      </c>
      <c r="E10" s="14">
        <v>0.35297007906862399</v>
      </c>
      <c r="F10" s="14"/>
      <c r="G10" s="14">
        <v>1</v>
      </c>
      <c r="H10" s="14">
        <v>0.39451939765060801</v>
      </c>
      <c r="I10" s="14">
        <v>0.40449694845869799</v>
      </c>
      <c r="J10" s="14">
        <v>0.36282560021447102</v>
      </c>
      <c r="K10" s="14">
        <v>0.39200143788679997</v>
      </c>
      <c r="L10" s="14">
        <v>0.42183029713903802</v>
      </c>
      <c r="M10" s="14"/>
      <c r="N10" s="14">
        <v>0.427781934111373</v>
      </c>
      <c r="O10" s="14">
        <v>0.336387980037328</v>
      </c>
      <c r="P10" s="14">
        <v>0.44096168741327502</v>
      </c>
      <c r="Q10" s="14">
        <v>0.33929567855819098</v>
      </c>
      <c r="R10" s="14"/>
      <c r="S10" s="14">
        <v>0.43743156571733099</v>
      </c>
      <c r="T10" s="14">
        <v>0.37439043777180803</v>
      </c>
      <c r="U10" s="14">
        <v>0.34429495116724701</v>
      </c>
      <c r="V10" s="14">
        <v>0.31198749671003401</v>
      </c>
      <c r="W10" s="14">
        <v>0.45711288016315899</v>
      </c>
      <c r="X10" s="14">
        <v>0.37246102290954403</v>
      </c>
      <c r="Y10" s="14">
        <v>0.40878149256801299</v>
      </c>
      <c r="Z10" s="14">
        <v>0.42351130583251001</v>
      </c>
      <c r="AA10" s="14">
        <v>0.37358381911816402</v>
      </c>
      <c r="AB10" s="14"/>
      <c r="AC10" s="14">
        <v>0.33288657724071302</v>
      </c>
      <c r="AD10" s="14">
        <v>0.45373043183738399</v>
      </c>
      <c r="AE10" s="14">
        <v>0.42599196870600198</v>
      </c>
      <c r="AF10" s="14">
        <v>0.36929892891230898</v>
      </c>
      <c r="AG10" s="14">
        <v>0.44452503335692201</v>
      </c>
      <c r="AH10" s="14"/>
      <c r="AI10" s="14">
        <v>0.40815828103270002</v>
      </c>
      <c r="AJ10" s="14">
        <v>0.41500452349245198</v>
      </c>
      <c r="AK10" s="14">
        <v>0.40829740242152901</v>
      </c>
      <c r="AL10" s="14">
        <v>0.32586751403852399</v>
      </c>
      <c r="AM10" s="14">
        <v>0.31907233057517098</v>
      </c>
      <c r="AN10" s="14">
        <v>0.39248930072622701</v>
      </c>
      <c r="AO10" s="14"/>
      <c r="AP10" s="14">
        <v>0.43156602054198201</v>
      </c>
      <c r="AQ10" s="14">
        <v>0.33803949033634501</v>
      </c>
      <c r="AR10" s="14"/>
      <c r="AS10" s="14" t="s">
        <v>88</v>
      </c>
      <c r="AT10" s="14" t="s">
        <v>88</v>
      </c>
      <c r="AU10" s="14">
        <v>0.38774957905178498</v>
      </c>
      <c r="AV10" s="14"/>
      <c r="AW10" s="14">
        <v>0.38860846974248903</v>
      </c>
      <c r="AX10" s="14">
        <v>0.41377575443412401</v>
      </c>
      <c r="AY10" s="14"/>
      <c r="AZ10" s="14">
        <v>0.41625445546568401</v>
      </c>
      <c r="BA10" s="14">
        <v>0.27403819085379699</v>
      </c>
    </row>
    <row r="11" spans="2:53" x14ac:dyDescent="0.35">
      <c r="B11" s="15" t="s">
        <v>228</v>
      </c>
      <c r="C11" s="14">
        <v>0.25785448878821798</v>
      </c>
      <c r="D11" s="14">
        <v>0.22339961416825599</v>
      </c>
      <c r="E11" s="14">
        <v>0.29085060413743302</v>
      </c>
      <c r="F11" s="14"/>
      <c r="G11" s="14">
        <v>0</v>
      </c>
      <c r="H11" s="14">
        <v>0.144514363837731</v>
      </c>
      <c r="I11" s="14">
        <v>0.235223103817817</v>
      </c>
      <c r="J11" s="14">
        <v>0.301336222211044</v>
      </c>
      <c r="K11" s="14">
        <v>0.24177452284030401</v>
      </c>
      <c r="L11" s="14">
        <v>0.44188145990595101</v>
      </c>
      <c r="M11" s="14"/>
      <c r="N11" s="14">
        <v>0.20899704260021801</v>
      </c>
      <c r="O11" s="14">
        <v>0.29741636634347202</v>
      </c>
      <c r="P11" s="14">
        <v>0.25794119029981399</v>
      </c>
      <c r="Q11" s="14">
        <v>0.27165302524995</v>
      </c>
      <c r="R11" s="14"/>
      <c r="S11" s="14">
        <v>0.145483163042055</v>
      </c>
      <c r="T11" s="14">
        <v>0.30334148304399899</v>
      </c>
      <c r="U11" s="14">
        <v>0.258461987449987</v>
      </c>
      <c r="V11" s="14">
        <v>0.304635978703993</v>
      </c>
      <c r="W11" s="14">
        <v>0.25581905133781002</v>
      </c>
      <c r="X11" s="14">
        <v>0.28999864777886802</v>
      </c>
      <c r="Y11" s="14">
        <v>0.20408936628569799</v>
      </c>
      <c r="Z11" s="14">
        <v>0.30353620279397397</v>
      </c>
      <c r="AA11" s="14">
        <v>0.29344550715155998</v>
      </c>
      <c r="AB11" s="14"/>
      <c r="AC11" s="14">
        <v>0.33510570360859299</v>
      </c>
      <c r="AD11" s="14">
        <v>0.235846550592448</v>
      </c>
      <c r="AE11" s="14">
        <v>0.23308766320994401</v>
      </c>
      <c r="AF11" s="14">
        <v>0.19380326835029699</v>
      </c>
      <c r="AG11" s="14">
        <v>7.4171198556581705E-2</v>
      </c>
      <c r="AH11" s="14"/>
      <c r="AI11" s="14">
        <v>0.23163329579964101</v>
      </c>
      <c r="AJ11" s="14">
        <v>0.22066234478202901</v>
      </c>
      <c r="AK11" s="14">
        <v>0.20690497260787399</v>
      </c>
      <c r="AL11" s="14">
        <v>0.354747287321456</v>
      </c>
      <c r="AM11" s="14">
        <v>0.29022491071857598</v>
      </c>
      <c r="AN11" s="14">
        <v>0.29040730823799599</v>
      </c>
      <c r="AO11" s="14"/>
      <c r="AP11" s="14">
        <v>0.226886434930957</v>
      </c>
      <c r="AQ11" s="14">
        <v>0.29499687380699902</v>
      </c>
      <c r="AR11" s="14"/>
      <c r="AS11" s="14" t="s">
        <v>88</v>
      </c>
      <c r="AT11" s="14" t="s">
        <v>88</v>
      </c>
      <c r="AU11" s="14">
        <v>0.25785448878821798</v>
      </c>
      <c r="AV11" s="14"/>
      <c r="AW11" s="14">
        <v>0.28696368800858302</v>
      </c>
      <c r="AX11" s="14">
        <v>0.15088937100189301</v>
      </c>
      <c r="AY11" s="14"/>
      <c r="AZ11" s="14">
        <v>0.23026045072462301</v>
      </c>
      <c r="BA11" s="14">
        <v>0.36626597326101401</v>
      </c>
    </row>
    <row r="12" spans="2:53" x14ac:dyDescent="0.35">
      <c r="B12" s="15" t="s">
        <v>229</v>
      </c>
      <c r="C12" s="14">
        <v>0.12057497836973</v>
      </c>
      <c r="D12" s="14">
        <v>9.0389998405463606E-2</v>
      </c>
      <c r="E12" s="14">
        <v>0.15096638943828</v>
      </c>
      <c r="F12" s="14"/>
      <c r="G12" s="14">
        <v>0</v>
      </c>
      <c r="H12" s="14">
        <v>7.4581676106461395E-2</v>
      </c>
      <c r="I12" s="14">
        <v>0.118436387491466</v>
      </c>
      <c r="J12" s="14">
        <v>0.135646774725657</v>
      </c>
      <c r="K12" s="14">
        <v>0.126400731441703</v>
      </c>
      <c r="L12" s="14">
        <v>5.4856211995099401E-2</v>
      </c>
      <c r="M12" s="14"/>
      <c r="N12" s="14">
        <v>0.110226391779413</v>
      </c>
      <c r="O12" s="14">
        <v>0.115523100257985</v>
      </c>
      <c r="P12" s="14">
        <v>9.9912397118919902E-2</v>
      </c>
      <c r="Q12" s="14">
        <v>0.162176702433903</v>
      </c>
      <c r="R12" s="14"/>
      <c r="S12" s="14">
        <v>6.5728791358728306E-2</v>
      </c>
      <c r="T12" s="14">
        <v>0.12870843167346899</v>
      </c>
      <c r="U12" s="14">
        <v>0.10704468278669101</v>
      </c>
      <c r="V12" s="14">
        <v>0.14291011435012799</v>
      </c>
      <c r="W12" s="14">
        <v>0.12408419724537401</v>
      </c>
      <c r="X12" s="14">
        <v>0.10210418222053499</v>
      </c>
      <c r="Y12" s="14">
        <v>0.178239640028238</v>
      </c>
      <c r="Z12" s="14">
        <v>8.3619878082460602E-2</v>
      </c>
      <c r="AA12" s="14">
        <v>0.14549678197268001</v>
      </c>
      <c r="AB12" s="14"/>
      <c r="AC12" s="14">
        <v>0.130394983591093</v>
      </c>
      <c r="AD12" s="14">
        <v>0.12795094493050199</v>
      </c>
      <c r="AE12" s="14">
        <v>0.103226440106021</v>
      </c>
      <c r="AF12" s="14">
        <v>6.8890675753415301E-2</v>
      </c>
      <c r="AG12" s="14">
        <v>6.7639271478826299E-2</v>
      </c>
      <c r="AH12" s="14"/>
      <c r="AI12" s="14">
        <v>0.10541979285025101</v>
      </c>
      <c r="AJ12" s="14">
        <v>0.10267950053745099</v>
      </c>
      <c r="AK12" s="14">
        <v>0.118349100975919</v>
      </c>
      <c r="AL12" s="14">
        <v>9.5908034364143205E-2</v>
      </c>
      <c r="AM12" s="14">
        <v>0.21362931391273399</v>
      </c>
      <c r="AN12" s="14">
        <v>0.16581113203969799</v>
      </c>
      <c r="AO12" s="14"/>
      <c r="AP12" s="14">
        <v>8.4113633737670002E-2</v>
      </c>
      <c r="AQ12" s="14">
        <v>0.16118992534380799</v>
      </c>
      <c r="AR12" s="14"/>
      <c r="AS12" s="14" t="s">
        <v>88</v>
      </c>
      <c r="AT12" s="14" t="s">
        <v>88</v>
      </c>
      <c r="AU12" s="14">
        <v>0.12057497836973</v>
      </c>
      <c r="AV12" s="14"/>
      <c r="AW12" s="14">
        <v>0.11712689673360401</v>
      </c>
      <c r="AX12" s="14">
        <v>4.7488103317877998E-2</v>
      </c>
      <c r="AY12" s="14"/>
      <c r="AZ12" s="14">
        <v>0.100125400806847</v>
      </c>
      <c r="BA12" s="14">
        <v>0.20056634675054899</v>
      </c>
    </row>
    <row r="13" spans="2:53" x14ac:dyDescent="0.35">
      <c r="B13" s="15" t="s">
        <v>116</v>
      </c>
      <c r="C13" s="23">
        <v>3.6283660243710103E-2</v>
      </c>
      <c r="D13" s="23">
        <v>2.56991504503002E-2</v>
      </c>
      <c r="E13" s="23">
        <v>4.6929007165328898E-2</v>
      </c>
      <c r="F13" s="23"/>
      <c r="G13" s="23">
        <v>0</v>
      </c>
      <c r="H13" s="23">
        <v>3.1142578320898801E-2</v>
      </c>
      <c r="I13" s="23">
        <v>2.9361002693060401E-2</v>
      </c>
      <c r="J13" s="23">
        <v>3.5817614670972601E-2</v>
      </c>
      <c r="K13" s="23">
        <v>7.1600631252629901E-2</v>
      </c>
      <c r="L13" s="23">
        <v>0</v>
      </c>
      <c r="M13" s="23"/>
      <c r="N13" s="23">
        <v>2.9135724186609702E-2</v>
      </c>
      <c r="O13" s="23">
        <v>4.2568988015455E-2</v>
      </c>
      <c r="P13" s="23">
        <v>3.6560407905991597E-2</v>
      </c>
      <c r="Q13" s="23">
        <v>3.9260599162539003E-2</v>
      </c>
      <c r="R13" s="23"/>
      <c r="S13" s="23">
        <v>3.3148852332479502E-2</v>
      </c>
      <c r="T13" s="23">
        <v>2.27608356938689E-2</v>
      </c>
      <c r="U13" s="23">
        <v>3.6909522307280097E-2</v>
      </c>
      <c r="V13" s="23">
        <v>8.1247958565129896E-2</v>
      </c>
      <c r="W13" s="23">
        <v>3.0274032639591799E-2</v>
      </c>
      <c r="X13" s="23">
        <v>4.3343063738731598E-2</v>
      </c>
      <c r="Y13" s="23">
        <v>3.6096006125106501E-2</v>
      </c>
      <c r="Z13" s="23">
        <v>4.4398616188962597E-2</v>
      </c>
      <c r="AA13" s="23">
        <v>1.25710693276189E-2</v>
      </c>
      <c r="AB13" s="23"/>
      <c r="AC13" s="23">
        <v>6.3542294555746101E-2</v>
      </c>
      <c r="AD13" s="23">
        <v>1.7806427735054801E-2</v>
      </c>
      <c r="AE13" s="23">
        <v>4.2248608514274803E-2</v>
      </c>
      <c r="AF13" s="23">
        <v>1.32319691323917E-2</v>
      </c>
      <c r="AG13" s="23">
        <v>1.4214874615274599E-2</v>
      </c>
      <c r="AH13" s="23"/>
      <c r="AI13" s="23">
        <v>3.2356138179470403E-2</v>
      </c>
      <c r="AJ13" s="23">
        <v>2.0039131428730501E-2</v>
      </c>
      <c r="AK13" s="23">
        <v>5.6691936630975701E-2</v>
      </c>
      <c r="AL13" s="23">
        <v>3.4481325890388201E-2</v>
      </c>
      <c r="AM13" s="23">
        <v>2.5500482448035398E-2</v>
      </c>
      <c r="AN13" s="23">
        <v>3.9583530762465798E-2</v>
      </c>
      <c r="AO13" s="23"/>
      <c r="AP13" s="23">
        <v>2.8278613659711099E-2</v>
      </c>
      <c r="AQ13" s="23">
        <v>4.5770030833174297E-2</v>
      </c>
      <c r="AR13" s="23"/>
      <c r="AS13" s="23" t="s">
        <v>88</v>
      </c>
      <c r="AT13" s="23" t="s">
        <v>88</v>
      </c>
      <c r="AU13" s="23">
        <v>3.6283660243710103E-2</v>
      </c>
      <c r="AV13" s="23"/>
      <c r="AW13" s="23">
        <v>3.9400624670322001E-2</v>
      </c>
      <c r="AX13" s="23">
        <v>5.2733198440100002E-3</v>
      </c>
      <c r="AY13" s="23"/>
      <c r="AZ13" s="23">
        <v>2.6356972917922199E-2</v>
      </c>
      <c r="BA13" s="23">
        <v>7.5002564226363894E-2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1050</v>
      </c>
      <c r="D7" s="10">
        <v>430</v>
      </c>
      <c r="E7" s="10">
        <v>619</v>
      </c>
      <c r="F7" s="10"/>
      <c r="G7" s="10">
        <v>1</v>
      </c>
      <c r="H7" s="10">
        <v>93</v>
      </c>
      <c r="I7" s="10">
        <v>437</v>
      </c>
      <c r="J7" s="10">
        <v>381</v>
      </c>
      <c r="K7" s="10">
        <v>116</v>
      </c>
      <c r="L7" s="10">
        <v>22</v>
      </c>
      <c r="M7" s="10"/>
      <c r="N7" s="10">
        <v>476</v>
      </c>
      <c r="O7" s="10">
        <v>240</v>
      </c>
      <c r="P7" s="10">
        <v>169</v>
      </c>
      <c r="Q7" s="10">
        <v>160</v>
      </c>
      <c r="R7" s="10"/>
      <c r="S7" s="10">
        <v>192</v>
      </c>
      <c r="T7" s="10">
        <v>154</v>
      </c>
      <c r="U7" s="10">
        <v>76</v>
      </c>
      <c r="V7" s="10">
        <v>102</v>
      </c>
      <c r="W7" s="10">
        <v>89</v>
      </c>
      <c r="X7" s="10">
        <v>112</v>
      </c>
      <c r="Y7" s="10">
        <v>117</v>
      </c>
      <c r="Z7" s="10">
        <v>54</v>
      </c>
      <c r="AA7" s="10">
        <v>154</v>
      </c>
      <c r="AB7" s="10"/>
      <c r="AC7" s="10">
        <v>182</v>
      </c>
      <c r="AD7" s="10">
        <v>196</v>
      </c>
      <c r="AE7" s="10">
        <v>321</v>
      </c>
      <c r="AF7" s="10">
        <v>197</v>
      </c>
      <c r="AG7" s="10">
        <v>45</v>
      </c>
      <c r="AH7" s="10"/>
      <c r="AI7" s="10">
        <v>375</v>
      </c>
      <c r="AJ7" s="10">
        <v>210</v>
      </c>
      <c r="AK7" s="10">
        <v>96</v>
      </c>
      <c r="AL7" s="10">
        <v>151</v>
      </c>
      <c r="AM7" s="10">
        <v>53</v>
      </c>
      <c r="AN7" s="10">
        <v>70</v>
      </c>
      <c r="AO7" s="10"/>
      <c r="AP7" s="10">
        <v>567</v>
      </c>
      <c r="AQ7" s="10">
        <v>481</v>
      </c>
      <c r="AR7" s="10"/>
      <c r="AS7" s="10" t="s">
        <v>87</v>
      </c>
      <c r="AT7" s="10" t="s">
        <v>87</v>
      </c>
      <c r="AU7" s="10">
        <v>1050</v>
      </c>
      <c r="AV7" s="10"/>
      <c r="AW7" s="10">
        <v>753</v>
      </c>
      <c r="AX7" s="10">
        <v>210</v>
      </c>
      <c r="AY7" s="10"/>
      <c r="AZ7" s="10">
        <v>840</v>
      </c>
      <c r="BA7" s="10">
        <v>209</v>
      </c>
    </row>
    <row r="8" spans="2:53" ht="30" customHeight="1" x14ac:dyDescent="0.35">
      <c r="B8" s="11" t="s">
        <v>19</v>
      </c>
      <c r="C8" s="11">
        <v>1039</v>
      </c>
      <c r="D8" s="11">
        <v>519</v>
      </c>
      <c r="E8" s="11">
        <v>519</v>
      </c>
      <c r="F8" s="11"/>
      <c r="G8" s="11">
        <v>1</v>
      </c>
      <c r="H8" s="11">
        <v>85</v>
      </c>
      <c r="I8" s="11">
        <v>415</v>
      </c>
      <c r="J8" s="11">
        <v>388</v>
      </c>
      <c r="K8" s="11">
        <v>125</v>
      </c>
      <c r="L8" s="11">
        <v>25</v>
      </c>
      <c r="M8" s="11"/>
      <c r="N8" s="11">
        <v>298</v>
      </c>
      <c r="O8" s="11">
        <v>249</v>
      </c>
      <c r="P8" s="11">
        <v>260</v>
      </c>
      <c r="Q8" s="11">
        <v>227</v>
      </c>
      <c r="R8" s="11"/>
      <c r="S8" s="11">
        <v>162</v>
      </c>
      <c r="T8" s="11">
        <v>160</v>
      </c>
      <c r="U8" s="11">
        <v>93</v>
      </c>
      <c r="V8" s="11">
        <v>123</v>
      </c>
      <c r="W8" s="11">
        <v>98</v>
      </c>
      <c r="X8" s="11">
        <v>97</v>
      </c>
      <c r="Y8" s="11">
        <v>104</v>
      </c>
      <c r="Z8" s="11">
        <v>57</v>
      </c>
      <c r="AA8" s="11">
        <v>146</v>
      </c>
      <c r="AB8" s="11"/>
      <c r="AC8" s="11">
        <v>227</v>
      </c>
      <c r="AD8" s="11">
        <v>222</v>
      </c>
      <c r="AE8" s="11">
        <v>301</v>
      </c>
      <c r="AF8" s="11">
        <v>146</v>
      </c>
      <c r="AG8" s="11">
        <v>23</v>
      </c>
      <c r="AH8" s="11"/>
      <c r="AI8" s="11">
        <v>356</v>
      </c>
      <c r="AJ8" s="11">
        <v>198</v>
      </c>
      <c r="AK8" s="11">
        <v>86</v>
      </c>
      <c r="AL8" s="11">
        <v>169</v>
      </c>
      <c r="AM8" s="11">
        <v>47</v>
      </c>
      <c r="AN8" s="11">
        <v>76</v>
      </c>
      <c r="AO8" s="11"/>
      <c r="AP8" s="11">
        <v>559</v>
      </c>
      <c r="AQ8" s="11">
        <v>478</v>
      </c>
      <c r="AR8" s="11"/>
      <c r="AS8" s="11" t="s">
        <v>87</v>
      </c>
      <c r="AT8" s="11" t="s">
        <v>87</v>
      </c>
      <c r="AU8" s="11">
        <v>1039</v>
      </c>
      <c r="AV8" s="11"/>
      <c r="AW8" s="11">
        <v>767</v>
      </c>
      <c r="AX8" s="11">
        <v>170</v>
      </c>
      <c r="AY8" s="11"/>
      <c r="AZ8" s="11">
        <v>825</v>
      </c>
      <c r="BA8" s="11">
        <v>213</v>
      </c>
    </row>
    <row r="9" spans="2:53" ht="29" x14ac:dyDescent="0.35">
      <c r="B9" s="15" t="s">
        <v>231</v>
      </c>
      <c r="C9" s="14">
        <v>9.8680391442423396E-2</v>
      </c>
      <c r="D9" s="14">
        <v>9.2739704561882297E-2</v>
      </c>
      <c r="E9" s="14">
        <v>0.104806054829786</v>
      </c>
      <c r="F9" s="14"/>
      <c r="G9" s="14">
        <v>0</v>
      </c>
      <c r="H9" s="14">
        <v>0.155990591825245</v>
      </c>
      <c r="I9" s="14">
        <v>0.116083376583826</v>
      </c>
      <c r="J9" s="14">
        <v>8.9528943503420499E-2</v>
      </c>
      <c r="K9" s="14">
        <v>5.0805254680522799E-2</v>
      </c>
      <c r="L9" s="14">
        <v>0</v>
      </c>
      <c r="M9" s="14"/>
      <c r="N9" s="14">
        <v>9.6928947802870896E-2</v>
      </c>
      <c r="O9" s="14">
        <v>9.6652621249973203E-2</v>
      </c>
      <c r="P9" s="14">
        <v>0.12343039189911199</v>
      </c>
      <c r="Q9" s="14">
        <v>7.1339993254154604E-2</v>
      </c>
      <c r="R9" s="14"/>
      <c r="S9" s="14">
        <v>0.13620556162526901</v>
      </c>
      <c r="T9" s="14">
        <v>0.115450221481666</v>
      </c>
      <c r="U9" s="14">
        <v>0.14024481241960501</v>
      </c>
      <c r="V9" s="14">
        <v>7.0955178970712907E-2</v>
      </c>
      <c r="W9" s="14">
        <v>5.02927971346031E-2</v>
      </c>
      <c r="X9" s="14">
        <v>0.10551566598314301</v>
      </c>
      <c r="Y9" s="14">
        <v>8.6900263146595103E-2</v>
      </c>
      <c r="Z9" s="14">
        <v>7.5010540196460404E-2</v>
      </c>
      <c r="AA9" s="14">
        <v>8.1025982926580503E-2</v>
      </c>
      <c r="AB9" s="14"/>
      <c r="AC9" s="14">
        <v>0.133842892514036</v>
      </c>
      <c r="AD9" s="14">
        <v>7.1139011603001401E-2</v>
      </c>
      <c r="AE9" s="14">
        <v>6.60291331559935E-2</v>
      </c>
      <c r="AF9" s="14">
        <v>0.15452103627093</v>
      </c>
      <c r="AG9" s="14">
        <v>0.152714277504616</v>
      </c>
      <c r="AH9" s="14"/>
      <c r="AI9" s="14">
        <v>0.107901347744686</v>
      </c>
      <c r="AJ9" s="14">
        <v>9.0322924513044495E-2</v>
      </c>
      <c r="AK9" s="14">
        <v>0.114931813204002</v>
      </c>
      <c r="AL9" s="14">
        <v>4.3030142227473103E-2</v>
      </c>
      <c r="AM9" s="14">
        <v>9.8719736442831399E-2</v>
      </c>
      <c r="AN9" s="14">
        <v>0.12222999452299101</v>
      </c>
      <c r="AO9" s="14"/>
      <c r="AP9" s="14">
        <v>9.8782330039177496E-2</v>
      </c>
      <c r="AQ9" s="14">
        <v>9.8934029954526007E-2</v>
      </c>
      <c r="AR9" s="14"/>
      <c r="AS9" s="14" t="s">
        <v>88</v>
      </c>
      <c r="AT9" s="14" t="s">
        <v>88</v>
      </c>
      <c r="AU9" s="14">
        <v>9.8680391442423396E-2</v>
      </c>
      <c r="AV9" s="14"/>
      <c r="AW9" s="14">
        <v>8.5998916071468604E-2</v>
      </c>
      <c r="AX9" s="14">
        <v>0.12933363441542101</v>
      </c>
      <c r="AY9" s="14"/>
      <c r="AZ9" s="14">
        <v>9.9756033648289097E-2</v>
      </c>
      <c r="BA9" s="14">
        <v>9.4995544647716604E-2</v>
      </c>
    </row>
    <row r="10" spans="2:53" ht="29" x14ac:dyDescent="0.35">
      <c r="B10" s="15" t="s">
        <v>232</v>
      </c>
      <c r="C10" s="14">
        <v>0.75495935586614704</v>
      </c>
      <c r="D10" s="14">
        <v>0.77500344519096598</v>
      </c>
      <c r="E10" s="14">
        <v>0.73446045903127699</v>
      </c>
      <c r="F10" s="14"/>
      <c r="G10" s="14">
        <v>1</v>
      </c>
      <c r="H10" s="14">
        <v>0.66844945783812904</v>
      </c>
      <c r="I10" s="14">
        <v>0.69818176599801696</v>
      </c>
      <c r="J10" s="14">
        <v>0.80818593456185195</v>
      </c>
      <c r="K10" s="14">
        <v>0.81489895646312605</v>
      </c>
      <c r="L10" s="14">
        <v>0.85509124976545603</v>
      </c>
      <c r="M10" s="14"/>
      <c r="N10" s="14">
        <v>0.77993447860952403</v>
      </c>
      <c r="O10" s="14">
        <v>0.74402390854204303</v>
      </c>
      <c r="P10" s="14">
        <v>0.73043620767201001</v>
      </c>
      <c r="Q10" s="14">
        <v>0.76632574233513895</v>
      </c>
      <c r="R10" s="14"/>
      <c r="S10" s="14">
        <v>0.71929955320383698</v>
      </c>
      <c r="T10" s="14">
        <v>0.79269094519854999</v>
      </c>
      <c r="U10" s="14">
        <v>0.74010530961238896</v>
      </c>
      <c r="V10" s="14">
        <v>0.751442557411517</v>
      </c>
      <c r="W10" s="14">
        <v>0.71772365463665</v>
      </c>
      <c r="X10" s="14">
        <v>0.72536133153618199</v>
      </c>
      <c r="Y10" s="14">
        <v>0.79535423310679798</v>
      </c>
      <c r="Z10" s="14">
        <v>0.77260154274311699</v>
      </c>
      <c r="AA10" s="14">
        <v>0.77470852009373603</v>
      </c>
      <c r="AB10" s="14"/>
      <c r="AC10" s="14">
        <v>0.68792358984284696</v>
      </c>
      <c r="AD10" s="14">
        <v>0.82041998506876102</v>
      </c>
      <c r="AE10" s="14">
        <v>0.75176265586272395</v>
      </c>
      <c r="AF10" s="14">
        <v>0.71659424239552505</v>
      </c>
      <c r="AG10" s="14">
        <v>0.75245931995971005</v>
      </c>
      <c r="AH10" s="14"/>
      <c r="AI10" s="14">
        <v>0.73605328046278395</v>
      </c>
      <c r="AJ10" s="14">
        <v>0.78835017082720105</v>
      </c>
      <c r="AK10" s="14">
        <v>0.76565058015413001</v>
      </c>
      <c r="AL10" s="14">
        <v>0.826684567185482</v>
      </c>
      <c r="AM10" s="14">
        <v>0.780052409578184</v>
      </c>
      <c r="AN10" s="14">
        <v>0.614202727095428</v>
      </c>
      <c r="AO10" s="14"/>
      <c r="AP10" s="14">
        <v>0.77528452012605997</v>
      </c>
      <c r="AQ10" s="14">
        <v>0.73272025779989303</v>
      </c>
      <c r="AR10" s="14"/>
      <c r="AS10" s="14" t="s">
        <v>88</v>
      </c>
      <c r="AT10" s="14" t="s">
        <v>88</v>
      </c>
      <c r="AU10" s="14">
        <v>0.75495935586614704</v>
      </c>
      <c r="AV10" s="14"/>
      <c r="AW10" s="14">
        <v>0.76409912506549005</v>
      </c>
      <c r="AX10" s="14">
        <v>0.76335083550028004</v>
      </c>
      <c r="AY10" s="14"/>
      <c r="AZ10" s="14">
        <v>0.76147033146992305</v>
      </c>
      <c r="BA10" s="14">
        <v>0.728462308407128</v>
      </c>
    </row>
    <row r="11" spans="2:53" ht="29" x14ac:dyDescent="0.35">
      <c r="B11" s="15" t="s">
        <v>233</v>
      </c>
      <c r="C11" s="14">
        <v>8.5180979277539606E-2</v>
      </c>
      <c r="D11" s="14">
        <v>9.2704261986909495E-2</v>
      </c>
      <c r="E11" s="14">
        <v>7.7828176941112798E-2</v>
      </c>
      <c r="F11" s="14"/>
      <c r="G11" s="14">
        <v>0</v>
      </c>
      <c r="H11" s="14">
        <v>0.163568535782952</v>
      </c>
      <c r="I11" s="14">
        <v>0.123019024240398</v>
      </c>
      <c r="J11" s="14">
        <v>3.9322616583929097E-2</v>
      </c>
      <c r="K11" s="14">
        <v>5.6517312816085498E-2</v>
      </c>
      <c r="L11" s="14">
        <v>4.8846179429424701E-2</v>
      </c>
      <c r="M11" s="14"/>
      <c r="N11" s="14">
        <v>7.72869379414583E-2</v>
      </c>
      <c r="O11" s="14">
        <v>6.5610387268306494E-2</v>
      </c>
      <c r="P11" s="14">
        <v>9.3575707929417704E-2</v>
      </c>
      <c r="Q11" s="14">
        <v>0.109286048120842</v>
      </c>
      <c r="R11" s="14"/>
      <c r="S11" s="14">
        <v>7.0251068784250498E-2</v>
      </c>
      <c r="T11" s="14">
        <v>4.6363913851490697E-2</v>
      </c>
      <c r="U11" s="14">
        <v>2.21983708735915E-2</v>
      </c>
      <c r="V11" s="14">
        <v>0.11169719862963</v>
      </c>
      <c r="W11" s="14">
        <v>0.17718804286063899</v>
      </c>
      <c r="X11" s="14">
        <v>0.13040654028262</v>
      </c>
      <c r="Y11" s="14">
        <v>6.6382983005583596E-2</v>
      </c>
      <c r="Z11" s="14">
        <v>7.3793548920208396E-2</v>
      </c>
      <c r="AA11" s="14">
        <v>8.8112125223397397E-2</v>
      </c>
      <c r="AB11" s="14"/>
      <c r="AC11" s="14">
        <v>8.2282116524811502E-2</v>
      </c>
      <c r="AD11" s="14">
        <v>5.1929557058019001E-2</v>
      </c>
      <c r="AE11" s="14">
        <v>0.11737721991298</v>
      </c>
      <c r="AF11" s="14">
        <v>9.9842356556520698E-2</v>
      </c>
      <c r="AG11" s="14">
        <v>9.4826402535674398E-2</v>
      </c>
      <c r="AH11" s="14"/>
      <c r="AI11" s="14">
        <v>0.113876534111336</v>
      </c>
      <c r="AJ11" s="14">
        <v>9.4157008758670294E-2</v>
      </c>
      <c r="AK11" s="14">
        <v>8.4510974881313206E-2</v>
      </c>
      <c r="AL11" s="14">
        <v>4.0101671563185302E-2</v>
      </c>
      <c r="AM11" s="14">
        <v>7.2050057123580494E-2</v>
      </c>
      <c r="AN11" s="14">
        <v>8.1605549884241693E-2</v>
      </c>
      <c r="AO11" s="14"/>
      <c r="AP11" s="14">
        <v>8.1846703372157603E-2</v>
      </c>
      <c r="AQ11" s="14">
        <v>8.9396891515923504E-2</v>
      </c>
      <c r="AR11" s="14"/>
      <c r="AS11" s="14" t="s">
        <v>88</v>
      </c>
      <c r="AT11" s="14" t="s">
        <v>88</v>
      </c>
      <c r="AU11" s="14">
        <v>8.5180979277539606E-2</v>
      </c>
      <c r="AV11" s="14"/>
      <c r="AW11" s="14">
        <v>8.6464826558732E-2</v>
      </c>
      <c r="AX11" s="14">
        <v>7.4969233822829301E-2</v>
      </c>
      <c r="AY11" s="14"/>
      <c r="AZ11" s="14">
        <v>9.3183028474887006E-2</v>
      </c>
      <c r="BA11" s="14">
        <v>5.4538594251535802E-2</v>
      </c>
    </row>
    <row r="12" spans="2:53" x14ac:dyDescent="0.35">
      <c r="B12" s="15" t="s">
        <v>116</v>
      </c>
      <c r="C12" s="23">
        <v>6.1179273413890199E-2</v>
      </c>
      <c r="D12" s="23">
        <v>3.9552588260242001E-2</v>
      </c>
      <c r="E12" s="23">
        <v>8.2905309197824004E-2</v>
      </c>
      <c r="F12" s="23"/>
      <c r="G12" s="23">
        <v>0</v>
      </c>
      <c r="H12" s="23">
        <v>1.1991414553674499E-2</v>
      </c>
      <c r="I12" s="23">
        <v>6.27158331777595E-2</v>
      </c>
      <c r="J12" s="23">
        <v>6.2962505350798906E-2</v>
      </c>
      <c r="K12" s="23">
        <v>7.7778476040265707E-2</v>
      </c>
      <c r="L12" s="23">
        <v>9.6062570805119596E-2</v>
      </c>
      <c r="M12" s="23"/>
      <c r="N12" s="23">
        <v>4.5849635646146802E-2</v>
      </c>
      <c r="O12" s="23">
        <v>9.37130829396777E-2</v>
      </c>
      <c r="P12" s="23">
        <v>5.2557692499461003E-2</v>
      </c>
      <c r="Q12" s="23">
        <v>5.3048216289864697E-2</v>
      </c>
      <c r="R12" s="23"/>
      <c r="S12" s="23">
        <v>7.4243816386643499E-2</v>
      </c>
      <c r="T12" s="23">
        <v>4.5494919468292899E-2</v>
      </c>
      <c r="U12" s="23">
        <v>9.7451507094414802E-2</v>
      </c>
      <c r="V12" s="23">
        <v>6.5905064988140402E-2</v>
      </c>
      <c r="W12" s="23">
        <v>5.4795505368108899E-2</v>
      </c>
      <c r="X12" s="23">
        <v>3.8716462198055399E-2</v>
      </c>
      <c r="Y12" s="23">
        <v>5.1362520741023002E-2</v>
      </c>
      <c r="Z12" s="23">
        <v>7.8594368140213797E-2</v>
      </c>
      <c r="AA12" s="23">
        <v>5.6153371756285902E-2</v>
      </c>
      <c r="AB12" s="23"/>
      <c r="AC12" s="23">
        <v>9.5951401118305704E-2</v>
      </c>
      <c r="AD12" s="23">
        <v>5.6511446270218701E-2</v>
      </c>
      <c r="AE12" s="23">
        <v>6.4830991068303201E-2</v>
      </c>
      <c r="AF12" s="23">
        <v>2.9042364777025001E-2</v>
      </c>
      <c r="AG12" s="23">
        <v>0</v>
      </c>
      <c r="AH12" s="23"/>
      <c r="AI12" s="23">
        <v>4.2168837681194199E-2</v>
      </c>
      <c r="AJ12" s="23">
        <v>2.7169895901083801E-2</v>
      </c>
      <c r="AK12" s="23">
        <v>3.4906631760554203E-2</v>
      </c>
      <c r="AL12" s="23">
        <v>9.0183619023859907E-2</v>
      </c>
      <c r="AM12" s="23">
        <v>4.9177796855403903E-2</v>
      </c>
      <c r="AN12" s="23">
        <v>0.18196172849733899</v>
      </c>
      <c r="AO12" s="23"/>
      <c r="AP12" s="23">
        <v>4.4086446462605303E-2</v>
      </c>
      <c r="AQ12" s="23">
        <v>7.8948820729656893E-2</v>
      </c>
      <c r="AR12" s="23"/>
      <c r="AS12" s="23" t="s">
        <v>88</v>
      </c>
      <c r="AT12" s="23" t="s">
        <v>88</v>
      </c>
      <c r="AU12" s="23">
        <v>6.1179273413890199E-2</v>
      </c>
      <c r="AV12" s="23"/>
      <c r="AW12" s="23">
        <v>6.3437132304309002E-2</v>
      </c>
      <c r="AX12" s="23">
        <v>3.2346296261469801E-2</v>
      </c>
      <c r="AY12" s="23"/>
      <c r="AZ12" s="23">
        <v>4.5590606406900498E-2</v>
      </c>
      <c r="BA12" s="23">
        <v>0.122003552693619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B2:BA18"/>
  <sheetViews>
    <sheetView showGridLines="0" topLeftCell="A8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339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1050</v>
      </c>
      <c r="D7" s="10">
        <v>430</v>
      </c>
      <c r="E7" s="10">
        <v>619</v>
      </c>
      <c r="F7" s="10"/>
      <c r="G7" s="10">
        <v>1</v>
      </c>
      <c r="H7" s="10">
        <v>93</v>
      </c>
      <c r="I7" s="10">
        <v>437</v>
      </c>
      <c r="J7" s="10">
        <v>381</v>
      </c>
      <c r="K7" s="10">
        <v>116</v>
      </c>
      <c r="L7" s="10">
        <v>22</v>
      </c>
      <c r="M7" s="10"/>
      <c r="N7" s="10">
        <v>476</v>
      </c>
      <c r="O7" s="10">
        <v>240</v>
      </c>
      <c r="P7" s="10">
        <v>169</v>
      </c>
      <c r="Q7" s="10">
        <v>160</v>
      </c>
      <c r="R7" s="10"/>
      <c r="S7" s="10">
        <v>192</v>
      </c>
      <c r="T7" s="10">
        <v>154</v>
      </c>
      <c r="U7" s="10">
        <v>76</v>
      </c>
      <c r="V7" s="10">
        <v>102</v>
      </c>
      <c r="W7" s="10">
        <v>89</v>
      </c>
      <c r="X7" s="10">
        <v>112</v>
      </c>
      <c r="Y7" s="10">
        <v>117</v>
      </c>
      <c r="Z7" s="10">
        <v>54</v>
      </c>
      <c r="AA7" s="10">
        <v>154</v>
      </c>
      <c r="AB7" s="10"/>
      <c r="AC7" s="10">
        <v>182</v>
      </c>
      <c r="AD7" s="10">
        <v>196</v>
      </c>
      <c r="AE7" s="10">
        <v>321</v>
      </c>
      <c r="AF7" s="10">
        <v>197</v>
      </c>
      <c r="AG7" s="10">
        <v>45</v>
      </c>
      <c r="AH7" s="10"/>
      <c r="AI7" s="10">
        <v>375</v>
      </c>
      <c r="AJ7" s="10">
        <v>210</v>
      </c>
      <c r="AK7" s="10">
        <v>96</v>
      </c>
      <c r="AL7" s="10">
        <v>151</v>
      </c>
      <c r="AM7" s="10">
        <v>53</v>
      </c>
      <c r="AN7" s="10">
        <v>70</v>
      </c>
      <c r="AO7" s="10"/>
      <c r="AP7" s="10">
        <v>567</v>
      </c>
      <c r="AQ7" s="10">
        <v>481</v>
      </c>
      <c r="AR7" s="10"/>
      <c r="AS7" s="10" t="s">
        <v>87</v>
      </c>
      <c r="AT7" s="10" t="s">
        <v>87</v>
      </c>
      <c r="AU7" s="10">
        <v>1050</v>
      </c>
      <c r="AV7" s="10"/>
      <c r="AW7" s="10">
        <v>753</v>
      </c>
      <c r="AX7" s="10">
        <v>210</v>
      </c>
      <c r="AY7" s="10"/>
      <c r="AZ7" s="10">
        <v>840</v>
      </c>
      <c r="BA7" s="10">
        <v>209</v>
      </c>
    </row>
    <row r="8" spans="2:53" ht="30" customHeight="1" x14ac:dyDescent="0.35">
      <c r="B8" s="11" t="s">
        <v>19</v>
      </c>
      <c r="C8" s="11">
        <v>1039</v>
      </c>
      <c r="D8" s="11">
        <v>519</v>
      </c>
      <c r="E8" s="11">
        <v>519</v>
      </c>
      <c r="F8" s="11"/>
      <c r="G8" s="11">
        <v>1</v>
      </c>
      <c r="H8" s="11">
        <v>85</v>
      </c>
      <c r="I8" s="11">
        <v>415</v>
      </c>
      <c r="J8" s="11">
        <v>388</v>
      </c>
      <c r="K8" s="11">
        <v>125</v>
      </c>
      <c r="L8" s="11">
        <v>25</v>
      </c>
      <c r="M8" s="11"/>
      <c r="N8" s="11">
        <v>298</v>
      </c>
      <c r="O8" s="11">
        <v>249</v>
      </c>
      <c r="P8" s="11">
        <v>260</v>
      </c>
      <c r="Q8" s="11">
        <v>227</v>
      </c>
      <c r="R8" s="11"/>
      <c r="S8" s="11">
        <v>162</v>
      </c>
      <c r="T8" s="11">
        <v>160</v>
      </c>
      <c r="U8" s="11">
        <v>93</v>
      </c>
      <c r="V8" s="11">
        <v>123</v>
      </c>
      <c r="W8" s="11">
        <v>98</v>
      </c>
      <c r="X8" s="11">
        <v>97</v>
      </c>
      <c r="Y8" s="11">
        <v>104</v>
      </c>
      <c r="Z8" s="11">
        <v>57</v>
      </c>
      <c r="AA8" s="11">
        <v>146</v>
      </c>
      <c r="AB8" s="11"/>
      <c r="AC8" s="11">
        <v>227</v>
      </c>
      <c r="AD8" s="11">
        <v>222</v>
      </c>
      <c r="AE8" s="11">
        <v>301</v>
      </c>
      <c r="AF8" s="11">
        <v>146</v>
      </c>
      <c r="AG8" s="11">
        <v>23</v>
      </c>
      <c r="AH8" s="11"/>
      <c r="AI8" s="11">
        <v>356</v>
      </c>
      <c r="AJ8" s="11">
        <v>198</v>
      </c>
      <c r="AK8" s="11">
        <v>86</v>
      </c>
      <c r="AL8" s="11">
        <v>169</v>
      </c>
      <c r="AM8" s="11">
        <v>47</v>
      </c>
      <c r="AN8" s="11">
        <v>76</v>
      </c>
      <c r="AO8" s="11"/>
      <c r="AP8" s="11">
        <v>559</v>
      </c>
      <c r="AQ8" s="11">
        <v>478</v>
      </c>
      <c r="AR8" s="11"/>
      <c r="AS8" s="11" t="s">
        <v>87</v>
      </c>
      <c r="AT8" s="11" t="s">
        <v>87</v>
      </c>
      <c r="AU8" s="11">
        <v>1039</v>
      </c>
      <c r="AV8" s="11"/>
      <c r="AW8" s="11">
        <v>767</v>
      </c>
      <c r="AX8" s="11">
        <v>170</v>
      </c>
      <c r="AY8" s="11"/>
      <c r="AZ8" s="11">
        <v>825</v>
      </c>
      <c r="BA8" s="11">
        <v>213</v>
      </c>
    </row>
    <row r="9" spans="2:53" x14ac:dyDescent="0.35">
      <c r="B9" s="15" t="s">
        <v>235</v>
      </c>
      <c r="C9" s="14">
        <v>0.508525284947557</v>
      </c>
      <c r="D9" s="14">
        <v>0.53240321114645095</v>
      </c>
      <c r="E9" s="14">
        <v>0.48564714462966302</v>
      </c>
      <c r="F9" s="14"/>
      <c r="G9" s="14">
        <v>0</v>
      </c>
      <c r="H9" s="14">
        <v>0.56270911116712596</v>
      </c>
      <c r="I9" s="14">
        <v>0.48778192989230201</v>
      </c>
      <c r="J9" s="14">
        <v>0.502787008352791</v>
      </c>
      <c r="K9" s="14">
        <v>0.54552652763662302</v>
      </c>
      <c r="L9" s="14">
        <v>0.59840305549083805</v>
      </c>
      <c r="M9" s="14"/>
      <c r="N9" s="14">
        <v>0.59173599968065804</v>
      </c>
      <c r="O9" s="14">
        <v>0.54848312981923797</v>
      </c>
      <c r="P9" s="14">
        <v>0.40720407155568999</v>
      </c>
      <c r="Q9" s="14">
        <v>0.46420114961338199</v>
      </c>
      <c r="R9" s="14"/>
      <c r="S9" s="14">
        <v>0.63197378522827097</v>
      </c>
      <c r="T9" s="14">
        <v>0.51189627309194297</v>
      </c>
      <c r="U9" s="14">
        <v>0.57019158572005502</v>
      </c>
      <c r="V9" s="14">
        <v>0.39908075732024401</v>
      </c>
      <c r="W9" s="14">
        <v>0.47581717893097197</v>
      </c>
      <c r="X9" s="14">
        <v>0.39065912166234801</v>
      </c>
      <c r="Y9" s="14">
        <v>0.54625855776129995</v>
      </c>
      <c r="Z9" s="14">
        <v>0.45298872369231002</v>
      </c>
      <c r="AA9" s="14">
        <v>0.51587624913309904</v>
      </c>
      <c r="AB9" s="14"/>
      <c r="AC9" s="14">
        <v>0.45672896388669199</v>
      </c>
      <c r="AD9" s="14">
        <v>0.515976330996744</v>
      </c>
      <c r="AE9" s="14">
        <v>0.52535267751375103</v>
      </c>
      <c r="AF9" s="14">
        <v>0.56171191767663997</v>
      </c>
      <c r="AG9" s="14">
        <v>0.55532676722046603</v>
      </c>
      <c r="AH9" s="14"/>
      <c r="AI9" s="14">
        <v>0.54971845518348705</v>
      </c>
      <c r="AJ9" s="14">
        <v>0.51472292692102695</v>
      </c>
      <c r="AK9" s="14">
        <v>0.45961744421469403</v>
      </c>
      <c r="AL9" s="14">
        <v>0.47677977306348801</v>
      </c>
      <c r="AM9" s="14">
        <v>0.38401663064571301</v>
      </c>
      <c r="AN9" s="14">
        <v>0.55373693647813405</v>
      </c>
      <c r="AO9" s="14"/>
      <c r="AP9" s="14">
        <v>0.55110962326944102</v>
      </c>
      <c r="AQ9" s="14">
        <v>0.45935829704068298</v>
      </c>
      <c r="AR9" s="14"/>
      <c r="AS9" s="14" t="s">
        <v>88</v>
      </c>
      <c r="AT9" s="14" t="s">
        <v>88</v>
      </c>
      <c r="AU9" s="14">
        <v>0.508525284947557</v>
      </c>
      <c r="AV9" s="14"/>
      <c r="AW9" s="14">
        <v>0.49268100593719499</v>
      </c>
      <c r="AX9" s="14">
        <v>0.62139437597861003</v>
      </c>
      <c r="AY9" s="14"/>
      <c r="AZ9" s="14">
        <v>0.52961043669976304</v>
      </c>
      <c r="BA9" s="14">
        <v>0.429197341688138</v>
      </c>
    </row>
    <row r="10" spans="2:53" x14ac:dyDescent="0.35">
      <c r="B10" s="15" t="s">
        <v>236</v>
      </c>
      <c r="C10" s="14">
        <v>0.421598252224751</v>
      </c>
      <c r="D10" s="14">
        <v>0.413223179872998</v>
      </c>
      <c r="E10" s="14">
        <v>0.428852206007524</v>
      </c>
      <c r="F10" s="14"/>
      <c r="G10" s="14">
        <v>1</v>
      </c>
      <c r="H10" s="14">
        <v>0.38119181203894598</v>
      </c>
      <c r="I10" s="14">
        <v>0.45220890963882099</v>
      </c>
      <c r="J10" s="14">
        <v>0.41762678292662497</v>
      </c>
      <c r="K10" s="14">
        <v>0.37648551679048198</v>
      </c>
      <c r="L10" s="14">
        <v>0.308428175521893</v>
      </c>
      <c r="M10" s="14"/>
      <c r="N10" s="14">
        <v>0.36531446279758201</v>
      </c>
      <c r="O10" s="14">
        <v>0.40244837382844201</v>
      </c>
      <c r="P10" s="14">
        <v>0.49213333633579298</v>
      </c>
      <c r="Q10" s="14">
        <v>0.44140304613763098</v>
      </c>
      <c r="R10" s="14"/>
      <c r="S10" s="14">
        <v>0.31837872127502997</v>
      </c>
      <c r="T10" s="14">
        <v>0.40517754769426201</v>
      </c>
      <c r="U10" s="14">
        <v>0.3697690429571</v>
      </c>
      <c r="V10" s="14">
        <v>0.55454846452359197</v>
      </c>
      <c r="W10" s="14">
        <v>0.44579535623775601</v>
      </c>
      <c r="X10" s="14">
        <v>0.52669591516747505</v>
      </c>
      <c r="Y10" s="14">
        <v>0.384346140569301</v>
      </c>
      <c r="Z10" s="14">
        <v>0.42383751644516399</v>
      </c>
      <c r="AA10" s="14">
        <v>0.414618647529505</v>
      </c>
      <c r="AB10" s="14"/>
      <c r="AC10" s="14">
        <v>0.46325619516948802</v>
      </c>
      <c r="AD10" s="14">
        <v>0.41171311121611698</v>
      </c>
      <c r="AE10" s="14">
        <v>0.41954584067210599</v>
      </c>
      <c r="AF10" s="14">
        <v>0.36507224403250499</v>
      </c>
      <c r="AG10" s="14">
        <v>0.40012151283889302</v>
      </c>
      <c r="AH10" s="14"/>
      <c r="AI10" s="14">
        <v>0.407133407365108</v>
      </c>
      <c r="AJ10" s="14">
        <v>0.41109521924871401</v>
      </c>
      <c r="AK10" s="14">
        <v>0.49179571826116603</v>
      </c>
      <c r="AL10" s="14">
        <v>0.42079098890698902</v>
      </c>
      <c r="AM10" s="14">
        <v>0.53510954943611599</v>
      </c>
      <c r="AN10" s="14">
        <v>0.375657863137837</v>
      </c>
      <c r="AO10" s="14"/>
      <c r="AP10" s="14">
        <v>0.38119257169537701</v>
      </c>
      <c r="AQ10" s="14">
        <v>0.470381551948794</v>
      </c>
      <c r="AR10" s="14"/>
      <c r="AS10" s="14" t="s">
        <v>88</v>
      </c>
      <c r="AT10" s="14" t="s">
        <v>88</v>
      </c>
      <c r="AU10" s="14">
        <v>0.421598252224751</v>
      </c>
      <c r="AV10" s="14"/>
      <c r="AW10" s="14">
        <v>0.43630100906269798</v>
      </c>
      <c r="AX10" s="14">
        <v>0.35049384177632398</v>
      </c>
      <c r="AY10" s="14"/>
      <c r="AZ10" s="14">
        <v>0.41202600219183599</v>
      </c>
      <c r="BA10" s="14">
        <v>0.455881954574195</v>
      </c>
    </row>
    <row r="11" spans="2:53" x14ac:dyDescent="0.35">
      <c r="B11" s="15" t="s">
        <v>237</v>
      </c>
      <c r="C11" s="14">
        <v>5.5909129192895299E-2</v>
      </c>
      <c r="D11" s="14">
        <v>4.3110447918938401E-2</v>
      </c>
      <c r="E11" s="14">
        <v>6.8804553285874107E-2</v>
      </c>
      <c r="F11" s="14"/>
      <c r="G11" s="14">
        <v>0</v>
      </c>
      <c r="H11" s="14">
        <v>5.6099076793927602E-2</v>
      </c>
      <c r="I11" s="14">
        <v>5.0553541094727601E-2</v>
      </c>
      <c r="J11" s="14">
        <v>6.5376037911784299E-2</v>
      </c>
      <c r="K11" s="14">
        <v>3.7474376744785501E-2</v>
      </c>
      <c r="L11" s="14">
        <v>9.3168768987268599E-2</v>
      </c>
      <c r="M11" s="14"/>
      <c r="N11" s="14">
        <v>3.8179027938198599E-2</v>
      </c>
      <c r="O11" s="14">
        <v>3.5685008347042399E-2</v>
      </c>
      <c r="P11" s="14">
        <v>7.2533052151808303E-2</v>
      </c>
      <c r="Q11" s="14">
        <v>8.3590014118256006E-2</v>
      </c>
      <c r="R11" s="14"/>
      <c r="S11" s="14">
        <v>3.5251304548552499E-2</v>
      </c>
      <c r="T11" s="14">
        <v>6.7265694244797294E-2</v>
      </c>
      <c r="U11" s="14">
        <v>4.1208098046922603E-2</v>
      </c>
      <c r="V11" s="14">
        <v>3.56293246538779E-2</v>
      </c>
      <c r="W11" s="14">
        <v>7.8387464831272194E-2</v>
      </c>
      <c r="X11" s="14">
        <v>8.2644963170176805E-2</v>
      </c>
      <c r="Y11" s="14">
        <v>4.8852552840818401E-2</v>
      </c>
      <c r="Z11" s="14">
        <v>7.8775143673563405E-2</v>
      </c>
      <c r="AA11" s="14">
        <v>5.6105365056632099E-2</v>
      </c>
      <c r="AB11" s="14"/>
      <c r="AC11" s="14">
        <v>4.47631218046802E-2</v>
      </c>
      <c r="AD11" s="14">
        <v>7.2310557787139601E-2</v>
      </c>
      <c r="AE11" s="14">
        <v>3.5288335928841903E-2</v>
      </c>
      <c r="AF11" s="14">
        <v>7.3215838290854707E-2</v>
      </c>
      <c r="AG11" s="14">
        <v>4.4551719940640298E-2</v>
      </c>
      <c r="AH11" s="14"/>
      <c r="AI11" s="14">
        <v>4.0698262936737999E-2</v>
      </c>
      <c r="AJ11" s="14">
        <v>6.3742865156915199E-2</v>
      </c>
      <c r="AK11" s="14">
        <v>3.3239370432355399E-2</v>
      </c>
      <c r="AL11" s="14">
        <v>6.8111820416793104E-2</v>
      </c>
      <c r="AM11" s="14">
        <v>8.0873819918171205E-2</v>
      </c>
      <c r="AN11" s="14">
        <v>7.0605200384028496E-2</v>
      </c>
      <c r="AO11" s="14"/>
      <c r="AP11" s="14">
        <v>5.3974797440821197E-2</v>
      </c>
      <c r="AQ11" s="14">
        <v>5.5954709882350601E-2</v>
      </c>
      <c r="AR11" s="14"/>
      <c r="AS11" s="14" t="s">
        <v>88</v>
      </c>
      <c r="AT11" s="14" t="s">
        <v>88</v>
      </c>
      <c r="AU11" s="14">
        <v>5.5909129192895299E-2</v>
      </c>
      <c r="AV11" s="14"/>
      <c r="AW11" s="14">
        <v>5.4796391228604101E-2</v>
      </c>
      <c r="AX11" s="14">
        <v>2.8111782245066601E-2</v>
      </c>
      <c r="AY11" s="14"/>
      <c r="AZ11" s="14">
        <v>4.8521279300835503E-2</v>
      </c>
      <c r="BA11" s="14">
        <v>8.4869189863550798E-2</v>
      </c>
    </row>
    <row r="12" spans="2:53" x14ac:dyDescent="0.35">
      <c r="B12" s="15" t="s">
        <v>238</v>
      </c>
      <c r="C12" s="14">
        <v>2.0984296713220502E-3</v>
      </c>
      <c r="D12" s="14">
        <v>6.2426654815686295E-4</v>
      </c>
      <c r="E12" s="14">
        <v>3.5753747909444199E-3</v>
      </c>
      <c r="F12" s="14"/>
      <c r="G12" s="14">
        <v>0</v>
      </c>
      <c r="H12" s="14">
        <v>0</v>
      </c>
      <c r="I12" s="14">
        <v>3.28789679664061E-3</v>
      </c>
      <c r="J12" s="14">
        <v>2.1056115730888701E-3</v>
      </c>
      <c r="K12" s="14">
        <v>0</v>
      </c>
      <c r="L12" s="14">
        <v>0</v>
      </c>
      <c r="M12" s="14"/>
      <c r="N12" s="14">
        <v>1.08617122435457E-3</v>
      </c>
      <c r="O12" s="14">
        <v>3.2781143160933602E-3</v>
      </c>
      <c r="P12" s="14">
        <v>4.00671449752659E-3</v>
      </c>
      <c r="Q12" s="14">
        <v>0</v>
      </c>
      <c r="R12" s="14"/>
      <c r="S12" s="14">
        <v>2.00339841445425E-3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9.9902793714187494E-3</v>
      </c>
      <c r="Z12" s="14">
        <v>0</v>
      </c>
      <c r="AA12" s="14">
        <v>5.6041613517806401E-3</v>
      </c>
      <c r="AB12" s="14"/>
      <c r="AC12" s="14">
        <v>8.1777017188857104E-3</v>
      </c>
      <c r="AD12" s="14">
        <v>0</v>
      </c>
      <c r="AE12" s="14">
        <v>1.07655124523023E-3</v>
      </c>
      <c r="AF12" s="14">
        <v>0</v>
      </c>
      <c r="AG12" s="14">
        <v>0</v>
      </c>
      <c r="AH12" s="14"/>
      <c r="AI12" s="14">
        <v>9.0870009426318604E-4</v>
      </c>
      <c r="AJ12" s="14">
        <v>4.12474315042959E-3</v>
      </c>
      <c r="AK12" s="14">
        <v>0</v>
      </c>
      <c r="AL12" s="14">
        <v>6.1475045536590603E-3</v>
      </c>
      <c r="AM12" s="14">
        <v>0</v>
      </c>
      <c r="AN12" s="14">
        <v>0</v>
      </c>
      <c r="AO12" s="14"/>
      <c r="AP12" s="14">
        <v>3.3223341581263902E-3</v>
      </c>
      <c r="AQ12" s="14">
        <v>6.7692015745001604E-4</v>
      </c>
      <c r="AR12" s="14"/>
      <c r="AS12" s="14" t="s">
        <v>88</v>
      </c>
      <c r="AT12" s="14" t="s">
        <v>88</v>
      </c>
      <c r="AU12" s="14">
        <v>2.0984296713220502E-3</v>
      </c>
      <c r="AV12" s="14"/>
      <c r="AW12" s="14">
        <v>2.8445925322645401E-3</v>
      </c>
      <c r="AX12" s="14">
        <v>0</v>
      </c>
      <c r="AY12" s="14"/>
      <c r="AZ12" s="14">
        <v>2.6416323984338299E-3</v>
      </c>
      <c r="BA12" s="14">
        <v>0</v>
      </c>
    </row>
    <row r="13" spans="2:53" x14ac:dyDescent="0.35">
      <c r="B13" s="15" t="s">
        <v>116</v>
      </c>
      <c r="C13" s="23">
        <v>1.18689039634751E-2</v>
      </c>
      <c r="D13" s="23">
        <v>1.0638894513455399E-2</v>
      </c>
      <c r="E13" s="23">
        <v>1.31207212859943E-2</v>
      </c>
      <c r="F13" s="23"/>
      <c r="G13" s="23">
        <v>0</v>
      </c>
      <c r="H13" s="23">
        <v>0</v>
      </c>
      <c r="I13" s="23">
        <v>6.1677225775080896E-3</v>
      </c>
      <c r="J13" s="23">
        <v>1.21045592357104E-2</v>
      </c>
      <c r="K13" s="23">
        <v>4.0513578828109402E-2</v>
      </c>
      <c r="L13" s="23">
        <v>0</v>
      </c>
      <c r="M13" s="23"/>
      <c r="N13" s="23">
        <v>3.6843383592065899E-3</v>
      </c>
      <c r="O13" s="23">
        <v>1.01053736891834E-2</v>
      </c>
      <c r="P13" s="23">
        <v>2.4122825459183001E-2</v>
      </c>
      <c r="Q13" s="23">
        <v>1.0805790130730601E-2</v>
      </c>
      <c r="R13" s="23"/>
      <c r="S13" s="23">
        <v>1.2392790533691999E-2</v>
      </c>
      <c r="T13" s="23">
        <v>1.5660484968998498E-2</v>
      </c>
      <c r="U13" s="23">
        <v>1.8831273275922E-2</v>
      </c>
      <c r="V13" s="23">
        <v>1.07414535022865E-2</v>
      </c>
      <c r="W13" s="23">
        <v>0</v>
      </c>
      <c r="X13" s="23">
        <v>0</v>
      </c>
      <c r="Y13" s="23">
        <v>1.0552469457161401E-2</v>
      </c>
      <c r="Z13" s="23">
        <v>4.4398616188962597E-2</v>
      </c>
      <c r="AA13" s="23">
        <v>7.7955769289840696E-3</v>
      </c>
      <c r="AB13" s="23"/>
      <c r="AC13" s="23">
        <v>2.70740174202539E-2</v>
      </c>
      <c r="AD13" s="23">
        <v>0</v>
      </c>
      <c r="AE13" s="23">
        <v>1.8736594640070801E-2</v>
      </c>
      <c r="AF13" s="23">
        <v>0</v>
      </c>
      <c r="AG13" s="23">
        <v>0</v>
      </c>
      <c r="AH13" s="23"/>
      <c r="AI13" s="23">
        <v>1.54117442040408E-3</v>
      </c>
      <c r="AJ13" s="23">
        <v>6.31424552291481E-3</v>
      </c>
      <c r="AK13" s="23">
        <v>1.5347467091784301E-2</v>
      </c>
      <c r="AL13" s="23">
        <v>2.8169913059070701E-2</v>
      </c>
      <c r="AM13" s="23">
        <v>0</v>
      </c>
      <c r="AN13" s="23">
        <v>0</v>
      </c>
      <c r="AO13" s="23"/>
      <c r="AP13" s="23">
        <v>1.04006734362346E-2</v>
      </c>
      <c r="AQ13" s="23">
        <v>1.36285209707229E-2</v>
      </c>
      <c r="AR13" s="23"/>
      <c r="AS13" s="23" t="s">
        <v>88</v>
      </c>
      <c r="AT13" s="23" t="s">
        <v>88</v>
      </c>
      <c r="AU13" s="23">
        <v>1.18689039634751E-2</v>
      </c>
      <c r="AV13" s="23"/>
      <c r="AW13" s="23">
        <v>1.3377001239238601E-2</v>
      </c>
      <c r="AX13" s="23">
        <v>0</v>
      </c>
      <c r="AY13" s="23"/>
      <c r="AZ13" s="23">
        <v>7.2006494091315897E-3</v>
      </c>
      <c r="BA13" s="23">
        <v>3.0051513874116999E-2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B2:BA19"/>
  <sheetViews>
    <sheetView showGridLines="0" topLeftCell="A6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1050</v>
      </c>
      <c r="D7" s="10">
        <v>430</v>
      </c>
      <c r="E7" s="10">
        <v>619</v>
      </c>
      <c r="F7" s="10"/>
      <c r="G7" s="10">
        <v>1</v>
      </c>
      <c r="H7" s="10">
        <v>93</v>
      </c>
      <c r="I7" s="10">
        <v>437</v>
      </c>
      <c r="J7" s="10">
        <v>381</v>
      </c>
      <c r="K7" s="10">
        <v>116</v>
      </c>
      <c r="L7" s="10">
        <v>22</v>
      </c>
      <c r="M7" s="10"/>
      <c r="N7" s="10">
        <v>476</v>
      </c>
      <c r="O7" s="10">
        <v>240</v>
      </c>
      <c r="P7" s="10">
        <v>169</v>
      </c>
      <c r="Q7" s="10">
        <v>160</v>
      </c>
      <c r="R7" s="10"/>
      <c r="S7" s="10">
        <v>192</v>
      </c>
      <c r="T7" s="10">
        <v>154</v>
      </c>
      <c r="U7" s="10">
        <v>76</v>
      </c>
      <c r="V7" s="10">
        <v>102</v>
      </c>
      <c r="W7" s="10">
        <v>89</v>
      </c>
      <c r="X7" s="10">
        <v>112</v>
      </c>
      <c r="Y7" s="10">
        <v>117</v>
      </c>
      <c r="Z7" s="10">
        <v>54</v>
      </c>
      <c r="AA7" s="10">
        <v>154</v>
      </c>
      <c r="AB7" s="10"/>
      <c r="AC7" s="10">
        <v>182</v>
      </c>
      <c r="AD7" s="10">
        <v>196</v>
      </c>
      <c r="AE7" s="10">
        <v>321</v>
      </c>
      <c r="AF7" s="10">
        <v>197</v>
      </c>
      <c r="AG7" s="10">
        <v>45</v>
      </c>
      <c r="AH7" s="10"/>
      <c r="AI7" s="10">
        <v>375</v>
      </c>
      <c r="AJ7" s="10">
        <v>210</v>
      </c>
      <c r="AK7" s="10">
        <v>96</v>
      </c>
      <c r="AL7" s="10">
        <v>151</v>
      </c>
      <c r="AM7" s="10">
        <v>53</v>
      </c>
      <c r="AN7" s="10">
        <v>70</v>
      </c>
      <c r="AO7" s="10"/>
      <c r="AP7" s="10">
        <v>567</v>
      </c>
      <c r="AQ7" s="10">
        <v>481</v>
      </c>
      <c r="AR7" s="10"/>
      <c r="AS7" s="10" t="s">
        <v>87</v>
      </c>
      <c r="AT7" s="10" t="s">
        <v>87</v>
      </c>
      <c r="AU7" s="10">
        <v>1050</v>
      </c>
      <c r="AV7" s="10"/>
      <c r="AW7" s="10">
        <v>753</v>
      </c>
      <c r="AX7" s="10">
        <v>210</v>
      </c>
      <c r="AY7" s="10"/>
      <c r="AZ7" s="10">
        <v>840</v>
      </c>
      <c r="BA7" s="10">
        <v>209</v>
      </c>
    </row>
    <row r="8" spans="2:53" ht="30" customHeight="1" x14ac:dyDescent="0.35">
      <c r="B8" s="11" t="s">
        <v>19</v>
      </c>
      <c r="C8" s="11">
        <v>1039</v>
      </c>
      <c r="D8" s="11">
        <v>519</v>
      </c>
      <c r="E8" s="11">
        <v>519</v>
      </c>
      <c r="F8" s="11"/>
      <c r="G8" s="11">
        <v>1</v>
      </c>
      <c r="H8" s="11">
        <v>85</v>
      </c>
      <c r="I8" s="11">
        <v>415</v>
      </c>
      <c r="J8" s="11">
        <v>388</v>
      </c>
      <c r="K8" s="11">
        <v>125</v>
      </c>
      <c r="L8" s="11">
        <v>25</v>
      </c>
      <c r="M8" s="11"/>
      <c r="N8" s="11">
        <v>298</v>
      </c>
      <c r="O8" s="11">
        <v>249</v>
      </c>
      <c r="P8" s="11">
        <v>260</v>
      </c>
      <c r="Q8" s="11">
        <v>227</v>
      </c>
      <c r="R8" s="11"/>
      <c r="S8" s="11">
        <v>162</v>
      </c>
      <c r="T8" s="11">
        <v>160</v>
      </c>
      <c r="U8" s="11">
        <v>93</v>
      </c>
      <c r="V8" s="11">
        <v>123</v>
      </c>
      <c r="W8" s="11">
        <v>98</v>
      </c>
      <c r="X8" s="11">
        <v>97</v>
      </c>
      <c r="Y8" s="11">
        <v>104</v>
      </c>
      <c r="Z8" s="11">
        <v>57</v>
      </c>
      <c r="AA8" s="11">
        <v>146</v>
      </c>
      <c r="AB8" s="11"/>
      <c r="AC8" s="11">
        <v>227</v>
      </c>
      <c r="AD8" s="11">
        <v>222</v>
      </c>
      <c r="AE8" s="11">
        <v>301</v>
      </c>
      <c r="AF8" s="11">
        <v>146</v>
      </c>
      <c r="AG8" s="11">
        <v>23</v>
      </c>
      <c r="AH8" s="11"/>
      <c r="AI8" s="11">
        <v>356</v>
      </c>
      <c r="AJ8" s="11">
        <v>198</v>
      </c>
      <c r="AK8" s="11">
        <v>86</v>
      </c>
      <c r="AL8" s="11">
        <v>169</v>
      </c>
      <c r="AM8" s="11">
        <v>47</v>
      </c>
      <c r="AN8" s="11">
        <v>76</v>
      </c>
      <c r="AO8" s="11"/>
      <c r="AP8" s="11">
        <v>559</v>
      </c>
      <c r="AQ8" s="11">
        <v>478</v>
      </c>
      <c r="AR8" s="11"/>
      <c r="AS8" s="11" t="s">
        <v>87</v>
      </c>
      <c r="AT8" s="11" t="s">
        <v>87</v>
      </c>
      <c r="AU8" s="11">
        <v>1039</v>
      </c>
      <c r="AV8" s="11"/>
      <c r="AW8" s="11">
        <v>767</v>
      </c>
      <c r="AX8" s="11">
        <v>170</v>
      </c>
      <c r="AY8" s="11"/>
      <c r="AZ8" s="11">
        <v>825</v>
      </c>
      <c r="BA8" s="11">
        <v>213</v>
      </c>
    </row>
    <row r="9" spans="2:53" x14ac:dyDescent="0.35">
      <c r="B9" s="15" t="s">
        <v>220</v>
      </c>
      <c r="C9" s="14">
        <v>0.332855787593071</v>
      </c>
      <c r="D9" s="14">
        <v>0.39789908218232101</v>
      </c>
      <c r="E9" s="14">
        <v>0.26850912040229502</v>
      </c>
      <c r="F9" s="14"/>
      <c r="G9" s="14">
        <v>0</v>
      </c>
      <c r="H9" s="14">
        <v>0.46867803193607699</v>
      </c>
      <c r="I9" s="14">
        <v>0.36259782191110501</v>
      </c>
      <c r="J9" s="14">
        <v>0.29786555607836701</v>
      </c>
      <c r="K9" s="14">
        <v>0.29775701045266301</v>
      </c>
      <c r="L9" s="14">
        <v>0.10821273261322099</v>
      </c>
      <c r="M9" s="14"/>
      <c r="N9" s="14">
        <v>0.42065970279383202</v>
      </c>
      <c r="O9" s="14">
        <v>0.35302165967384203</v>
      </c>
      <c r="P9" s="14">
        <v>0.28884822746872102</v>
      </c>
      <c r="Q9" s="14">
        <v>0.24739163587805199</v>
      </c>
      <c r="R9" s="14"/>
      <c r="S9" s="14">
        <v>0.42463954998179299</v>
      </c>
      <c r="T9" s="14">
        <v>0.31674930294878401</v>
      </c>
      <c r="U9" s="14">
        <v>0.34065409790503898</v>
      </c>
      <c r="V9" s="14">
        <v>0.30020908266459501</v>
      </c>
      <c r="W9" s="14">
        <v>0.34877403851506</v>
      </c>
      <c r="X9" s="14">
        <v>0.32356546195114799</v>
      </c>
      <c r="Y9" s="14">
        <v>0.30780422324603501</v>
      </c>
      <c r="Z9" s="14">
        <v>0.266846647218412</v>
      </c>
      <c r="AA9" s="14">
        <v>0.31027897021251</v>
      </c>
      <c r="AB9" s="14"/>
      <c r="AC9" s="14">
        <v>0.249711653171062</v>
      </c>
      <c r="AD9" s="14">
        <v>0.29985208176559802</v>
      </c>
      <c r="AE9" s="14">
        <v>0.36559009469543202</v>
      </c>
      <c r="AF9" s="14">
        <v>0.48279645569308899</v>
      </c>
      <c r="AG9" s="14">
        <v>0.50777580215016105</v>
      </c>
      <c r="AH9" s="14"/>
      <c r="AI9" s="14">
        <v>0.37976882030585402</v>
      </c>
      <c r="AJ9" s="14">
        <v>0.364825507460114</v>
      </c>
      <c r="AK9" s="14">
        <v>0.35102114329755701</v>
      </c>
      <c r="AL9" s="14">
        <v>0.34655846465372903</v>
      </c>
      <c r="AM9" s="14">
        <v>0.25509684972393598</v>
      </c>
      <c r="AN9" s="14">
        <v>0.21196105818378499</v>
      </c>
      <c r="AO9" s="14"/>
      <c r="AP9" s="14">
        <v>0.36286254711307098</v>
      </c>
      <c r="AQ9" s="14">
        <v>0.29771506440665302</v>
      </c>
      <c r="AR9" s="14"/>
      <c r="AS9" s="14" t="s">
        <v>88</v>
      </c>
      <c r="AT9" s="14" t="s">
        <v>88</v>
      </c>
      <c r="AU9" s="14">
        <v>0.332855787593071</v>
      </c>
      <c r="AV9" s="14"/>
      <c r="AW9" s="14">
        <v>0.30706466707936397</v>
      </c>
      <c r="AX9" s="14">
        <v>0.51108964685783898</v>
      </c>
      <c r="AY9" s="14"/>
      <c r="AZ9" s="14">
        <v>0.39198034614891097</v>
      </c>
      <c r="BA9" s="14">
        <v>0.104973377481897</v>
      </c>
    </row>
    <row r="10" spans="2:53" x14ac:dyDescent="0.35">
      <c r="B10" s="15" t="s">
        <v>221</v>
      </c>
      <c r="C10" s="14">
        <v>0.471704190014262</v>
      </c>
      <c r="D10" s="14">
        <v>0.477616069553705</v>
      </c>
      <c r="E10" s="14">
        <v>0.46477989856447899</v>
      </c>
      <c r="F10" s="14"/>
      <c r="G10" s="14">
        <v>1</v>
      </c>
      <c r="H10" s="14">
        <v>0.38349924024311999</v>
      </c>
      <c r="I10" s="14">
        <v>0.43006464628653701</v>
      </c>
      <c r="J10" s="14">
        <v>0.51415831904884701</v>
      </c>
      <c r="K10" s="14">
        <v>0.52271386288016597</v>
      </c>
      <c r="L10" s="14">
        <v>0.52329708208034698</v>
      </c>
      <c r="M10" s="14"/>
      <c r="N10" s="14">
        <v>0.45254603830814799</v>
      </c>
      <c r="O10" s="14">
        <v>0.454568354642507</v>
      </c>
      <c r="P10" s="14">
        <v>0.472372199839456</v>
      </c>
      <c r="Q10" s="14">
        <v>0.51221380187751098</v>
      </c>
      <c r="R10" s="14"/>
      <c r="S10" s="14">
        <v>0.45231073656725002</v>
      </c>
      <c r="T10" s="14">
        <v>0.47519872642081001</v>
      </c>
      <c r="U10" s="14">
        <v>0.49287351786372902</v>
      </c>
      <c r="V10" s="14">
        <v>0.47620029539505498</v>
      </c>
      <c r="W10" s="14">
        <v>0.46750628783574999</v>
      </c>
      <c r="X10" s="14">
        <v>0.48332699481568903</v>
      </c>
      <c r="Y10" s="14">
        <v>0.38704894711935101</v>
      </c>
      <c r="Z10" s="14">
        <v>0.52392822077906198</v>
      </c>
      <c r="AA10" s="14">
        <v>0.50727885256313399</v>
      </c>
      <c r="AB10" s="14"/>
      <c r="AC10" s="14">
        <v>0.459755513791411</v>
      </c>
      <c r="AD10" s="14">
        <v>0.52725459459054103</v>
      </c>
      <c r="AE10" s="14">
        <v>0.46572663847746898</v>
      </c>
      <c r="AF10" s="14">
        <v>0.41308024194085002</v>
      </c>
      <c r="AG10" s="14">
        <v>0.44040810376010803</v>
      </c>
      <c r="AH10" s="14"/>
      <c r="AI10" s="14">
        <v>0.45298976306849098</v>
      </c>
      <c r="AJ10" s="14">
        <v>0.500008542166966</v>
      </c>
      <c r="AK10" s="14">
        <v>0.46603477097847601</v>
      </c>
      <c r="AL10" s="14">
        <v>0.443741706615085</v>
      </c>
      <c r="AM10" s="14">
        <v>0.48075567907383598</v>
      </c>
      <c r="AN10" s="14">
        <v>0.45592630297636</v>
      </c>
      <c r="AO10" s="14"/>
      <c r="AP10" s="14">
        <v>0.44717457308341402</v>
      </c>
      <c r="AQ10" s="14">
        <v>0.49970985666004097</v>
      </c>
      <c r="AR10" s="14"/>
      <c r="AS10" s="14" t="s">
        <v>88</v>
      </c>
      <c r="AT10" s="14" t="s">
        <v>88</v>
      </c>
      <c r="AU10" s="14">
        <v>0.471704190014262</v>
      </c>
      <c r="AV10" s="14"/>
      <c r="AW10" s="14">
        <v>0.47735122618229697</v>
      </c>
      <c r="AX10" s="14">
        <v>0.40984737701121499</v>
      </c>
      <c r="AY10" s="14"/>
      <c r="AZ10" s="14">
        <v>0.49973404978335201</v>
      </c>
      <c r="BA10" s="14">
        <v>0.36025478251366799</v>
      </c>
    </row>
    <row r="11" spans="2:53" x14ac:dyDescent="0.35">
      <c r="B11" s="15" t="s">
        <v>222</v>
      </c>
      <c r="C11" s="14">
        <v>0.14971310218409201</v>
      </c>
      <c r="D11" s="14">
        <v>0.103955790614826</v>
      </c>
      <c r="E11" s="14">
        <v>0.19571965884978601</v>
      </c>
      <c r="F11" s="14"/>
      <c r="G11" s="14">
        <v>0</v>
      </c>
      <c r="H11" s="14">
        <v>0.13641737139311799</v>
      </c>
      <c r="I11" s="14">
        <v>0.15394860385468401</v>
      </c>
      <c r="J11" s="14">
        <v>0.140908692743061</v>
      </c>
      <c r="K11" s="14">
        <v>0.14983348481869399</v>
      </c>
      <c r="L11" s="14">
        <v>0.27015033345438699</v>
      </c>
      <c r="M11" s="14"/>
      <c r="N11" s="14">
        <v>9.3748792890529398E-2</v>
      </c>
      <c r="O11" s="14">
        <v>0.14258048434464601</v>
      </c>
      <c r="P11" s="14">
        <v>0.19414153836315701</v>
      </c>
      <c r="Q11" s="14">
        <v>0.18352856822848501</v>
      </c>
      <c r="R11" s="14"/>
      <c r="S11" s="14">
        <v>9.8836402207136007E-2</v>
      </c>
      <c r="T11" s="14">
        <v>0.140248792735399</v>
      </c>
      <c r="U11" s="14">
        <v>0.12731620940340699</v>
      </c>
      <c r="V11" s="14">
        <v>0.19130400848141399</v>
      </c>
      <c r="W11" s="14">
        <v>0.127730381631384</v>
      </c>
      <c r="X11" s="14">
        <v>0.141574712180733</v>
      </c>
      <c r="Y11" s="14">
        <v>0.26360942576431501</v>
      </c>
      <c r="Z11" s="14">
        <v>0.125063404542123</v>
      </c>
      <c r="AA11" s="14">
        <v>0.14422837668274399</v>
      </c>
      <c r="AB11" s="14"/>
      <c r="AC11" s="14">
        <v>0.21573178986455299</v>
      </c>
      <c r="AD11" s="14">
        <v>0.133245632518701</v>
      </c>
      <c r="AE11" s="14">
        <v>0.13028144565407601</v>
      </c>
      <c r="AF11" s="14">
        <v>9.2177050724753601E-2</v>
      </c>
      <c r="AG11" s="14">
        <v>3.6605034954009498E-2</v>
      </c>
      <c r="AH11" s="14"/>
      <c r="AI11" s="14">
        <v>0.13293463347133599</v>
      </c>
      <c r="AJ11" s="14">
        <v>0.111829961548073</v>
      </c>
      <c r="AK11" s="14">
        <v>0.120480964169052</v>
      </c>
      <c r="AL11" s="14">
        <v>0.12520398771173999</v>
      </c>
      <c r="AM11" s="14">
        <v>0.216332096179262</v>
      </c>
      <c r="AN11" s="14">
        <v>0.298768622448779</v>
      </c>
      <c r="AO11" s="14"/>
      <c r="AP11" s="14">
        <v>0.15130933104345001</v>
      </c>
      <c r="AQ11" s="14">
        <v>0.148414254279744</v>
      </c>
      <c r="AR11" s="14"/>
      <c r="AS11" s="14" t="s">
        <v>88</v>
      </c>
      <c r="AT11" s="14" t="s">
        <v>88</v>
      </c>
      <c r="AU11" s="14">
        <v>0.14971310218409201</v>
      </c>
      <c r="AV11" s="14"/>
      <c r="AW11" s="14">
        <v>0.167003726726693</v>
      </c>
      <c r="AX11" s="14">
        <v>6.4989051261112998E-2</v>
      </c>
      <c r="AY11" s="14"/>
      <c r="AZ11" s="14">
        <v>8.4463356024646205E-2</v>
      </c>
      <c r="BA11" s="14">
        <v>0.40377694957343202</v>
      </c>
    </row>
    <row r="12" spans="2:53" x14ac:dyDescent="0.35">
      <c r="B12" s="15" t="s">
        <v>223</v>
      </c>
      <c r="C12" s="14">
        <v>3.0766713595212599E-2</v>
      </c>
      <c r="D12" s="14">
        <v>7.4283814127407604E-3</v>
      </c>
      <c r="E12" s="14">
        <v>5.4144361503155297E-2</v>
      </c>
      <c r="F12" s="14"/>
      <c r="G12" s="14">
        <v>0</v>
      </c>
      <c r="H12" s="14">
        <v>1.1405356427684201E-2</v>
      </c>
      <c r="I12" s="14">
        <v>4.1091655841532501E-2</v>
      </c>
      <c r="J12" s="14">
        <v>2.8069952393993899E-2</v>
      </c>
      <c r="K12" s="14">
        <v>5.1587021207633102E-3</v>
      </c>
      <c r="L12" s="14">
        <v>9.8339851852044899E-2</v>
      </c>
      <c r="M12" s="14"/>
      <c r="N12" s="14">
        <v>1.9978008609080701E-2</v>
      </c>
      <c r="O12" s="14">
        <v>2.9380394869982202E-2</v>
      </c>
      <c r="P12" s="14">
        <v>2.8213274561653401E-2</v>
      </c>
      <c r="Q12" s="14">
        <v>4.6780947858253097E-2</v>
      </c>
      <c r="R12" s="14"/>
      <c r="S12" s="14">
        <v>1.76682226193219E-2</v>
      </c>
      <c r="T12" s="14">
        <v>4.9073345260141801E-2</v>
      </c>
      <c r="U12" s="14">
        <v>2.0324901551903599E-2</v>
      </c>
      <c r="V12" s="14">
        <v>2.1545159956649199E-2</v>
      </c>
      <c r="W12" s="14">
        <v>4.3176138181788497E-2</v>
      </c>
      <c r="X12" s="14">
        <v>2.25734786542915E-2</v>
      </c>
      <c r="Y12" s="14">
        <v>2.3928524105301201E-2</v>
      </c>
      <c r="Z12" s="14">
        <v>3.9763111271440603E-2</v>
      </c>
      <c r="AA12" s="14">
        <v>3.8213800541613198E-2</v>
      </c>
      <c r="AB12" s="14"/>
      <c r="AC12" s="14">
        <v>5.6497592615998099E-2</v>
      </c>
      <c r="AD12" s="14">
        <v>3.9647691125159701E-2</v>
      </c>
      <c r="AE12" s="14">
        <v>5.9690414844283599E-3</v>
      </c>
      <c r="AF12" s="14">
        <v>7.4136948139179896E-3</v>
      </c>
      <c r="AG12" s="14">
        <v>1.52110591357217E-2</v>
      </c>
      <c r="AH12" s="14"/>
      <c r="AI12" s="14">
        <v>2.7735732804027399E-2</v>
      </c>
      <c r="AJ12" s="14">
        <v>1.34917612867986E-2</v>
      </c>
      <c r="AK12" s="14">
        <v>2.6880052848063701E-2</v>
      </c>
      <c r="AL12" s="14">
        <v>4.9540177172990897E-2</v>
      </c>
      <c r="AM12" s="14">
        <v>4.7815375022965602E-2</v>
      </c>
      <c r="AN12" s="14">
        <v>1.3398398742085101E-2</v>
      </c>
      <c r="AO12" s="14"/>
      <c r="AP12" s="14">
        <v>2.5862178986524799E-2</v>
      </c>
      <c r="AQ12" s="14">
        <v>3.6611066634666699E-2</v>
      </c>
      <c r="AR12" s="14"/>
      <c r="AS12" s="14" t="s">
        <v>88</v>
      </c>
      <c r="AT12" s="14" t="s">
        <v>88</v>
      </c>
      <c r="AU12" s="14">
        <v>3.0766713595212599E-2</v>
      </c>
      <c r="AV12" s="14"/>
      <c r="AW12" s="14">
        <v>3.4030609590777999E-2</v>
      </c>
      <c r="AX12" s="14">
        <v>1.4073924869833301E-2</v>
      </c>
      <c r="AY12" s="14"/>
      <c r="AZ12" s="14">
        <v>1.08148773766652E-2</v>
      </c>
      <c r="BA12" s="14">
        <v>0.108378744780578</v>
      </c>
    </row>
    <row r="13" spans="2:53" x14ac:dyDescent="0.35">
      <c r="B13" s="15" t="s">
        <v>116</v>
      </c>
      <c r="C13" s="18">
        <v>1.49602066133622E-2</v>
      </c>
      <c r="D13" s="18">
        <v>1.31006762364069E-2</v>
      </c>
      <c r="E13" s="18">
        <v>1.6846960680284701E-2</v>
      </c>
      <c r="F13" s="18"/>
      <c r="G13" s="18">
        <v>0</v>
      </c>
      <c r="H13" s="18">
        <v>0</v>
      </c>
      <c r="I13" s="18">
        <v>1.2297272106141999E-2</v>
      </c>
      <c r="J13" s="18">
        <v>1.8997479735731002E-2</v>
      </c>
      <c r="K13" s="18">
        <v>2.4536939727713401E-2</v>
      </c>
      <c r="L13" s="18">
        <v>0</v>
      </c>
      <c r="M13" s="18"/>
      <c r="N13" s="18">
        <v>1.30674573984102E-2</v>
      </c>
      <c r="O13" s="18">
        <v>2.0449106469022101E-2</v>
      </c>
      <c r="P13" s="18">
        <v>1.6424759767011899E-2</v>
      </c>
      <c r="Q13" s="18">
        <v>1.0085046157699E-2</v>
      </c>
      <c r="R13" s="18"/>
      <c r="S13" s="18">
        <v>6.5450886244987896E-3</v>
      </c>
      <c r="T13" s="18">
        <v>1.87298326348645E-2</v>
      </c>
      <c r="U13" s="18">
        <v>1.8831273275922E-2</v>
      </c>
      <c r="V13" s="18">
        <v>1.07414535022865E-2</v>
      </c>
      <c r="W13" s="18">
        <v>1.2813153836016999E-2</v>
      </c>
      <c r="X13" s="18">
        <v>2.8959352398138401E-2</v>
      </c>
      <c r="Y13" s="18">
        <v>1.76088797649981E-2</v>
      </c>
      <c r="Z13" s="18">
        <v>4.4398616188962597E-2</v>
      </c>
      <c r="AA13" s="18">
        <v>0</v>
      </c>
      <c r="AB13" s="18"/>
      <c r="AC13" s="18">
        <v>1.8303450556975302E-2</v>
      </c>
      <c r="AD13" s="18">
        <v>0</v>
      </c>
      <c r="AE13" s="18">
        <v>3.2432779688593899E-2</v>
      </c>
      <c r="AF13" s="18">
        <v>4.53255682739029E-3</v>
      </c>
      <c r="AG13" s="18">
        <v>0</v>
      </c>
      <c r="AH13" s="18"/>
      <c r="AI13" s="18">
        <v>6.5710503502915104E-3</v>
      </c>
      <c r="AJ13" s="18">
        <v>9.8442275380489202E-3</v>
      </c>
      <c r="AK13" s="18">
        <v>3.5583068706852398E-2</v>
      </c>
      <c r="AL13" s="18">
        <v>3.49556638464548E-2</v>
      </c>
      <c r="AM13" s="18">
        <v>0</v>
      </c>
      <c r="AN13" s="18">
        <v>1.9945617648990999E-2</v>
      </c>
      <c r="AO13" s="18"/>
      <c r="AP13" s="18">
        <v>1.2791369773540799E-2</v>
      </c>
      <c r="AQ13" s="18">
        <v>1.75497580188958E-2</v>
      </c>
      <c r="AR13" s="18"/>
      <c r="AS13" s="18" t="s">
        <v>88</v>
      </c>
      <c r="AT13" s="18" t="s">
        <v>88</v>
      </c>
      <c r="AU13" s="18">
        <v>1.49602066133622E-2</v>
      </c>
      <c r="AV13" s="18"/>
      <c r="AW13" s="18">
        <v>1.45497704208683E-2</v>
      </c>
      <c r="AX13" s="18">
        <v>0</v>
      </c>
      <c r="AY13" s="18"/>
      <c r="AZ13" s="18">
        <v>1.30073706664251E-2</v>
      </c>
      <c r="BA13" s="18">
        <v>2.2616145650424999E-2</v>
      </c>
    </row>
    <row r="14" spans="2:53" x14ac:dyDescent="0.35">
      <c r="B14" s="26" t="s">
        <v>224</v>
      </c>
      <c r="C14" s="27">
        <v>0.804559977607333</v>
      </c>
      <c r="D14" s="27">
        <v>0.87551515173602701</v>
      </c>
      <c r="E14" s="27">
        <v>0.73328901896677501</v>
      </c>
      <c r="F14" s="27"/>
      <c r="G14" s="27">
        <v>1</v>
      </c>
      <c r="H14" s="27">
        <v>0.85217727217919703</v>
      </c>
      <c r="I14" s="27">
        <v>0.79266246819764197</v>
      </c>
      <c r="J14" s="27">
        <v>0.81202387512721397</v>
      </c>
      <c r="K14" s="27">
        <v>0.82047087333282898</v>
      </c>
      <c r="L14" s="27">
        <v>0.63150981469356804</v>
      </c>
      <c r="M14" s="27"/>
      <c r="N14" s="27">
        <v>0.87320574110198002</v>
      </c>
      <c r="O14" s="27">
        <v>0.80759001431634903</v>
      </c>
      <c r="P14" s="27">
        <v>0.76122042730817796</v>
      </c>
      <c r="Q14" s="27">
        <v>0.759605437755563</v>
      </c>
      <c r="R14" s="27"/>
      <c r="S14" s="27">
        <v>0.87695028654904394</v>
      </c>
      <c r="T14" s="27">
        <v>0.79194802936959396</v>
      </c>
      <c r="U14" s="27">
        <v>0.83352761576876799</v>
      </c>
      <c r="V14" s="27">
        <v>0.77640937805965005</v>
      </c>
      <c r="W14" s="27">
        <v>0.81628032635081005</v>
      </c>
      <c r="X14" s="27">
        <v>0.80689245676683696</v>
      </c>
      <c r="Y14" s="27">
        <v>0.69485317036538596</v>
      </c>
      <c r="Z14" s="27">
        <v>0.79077486799747398</v>
      </c>
      <c r="AA14" s="27">
        <v>0.81755782277564304</v>
      </c>
      <c r="AB14" s="27"/>
      <c r="AC14" s="27">
        <v>0.70946716696247303</v>
      </c>
      <c r="AD14" s="27">
        <v>0.82710667635613899</v>
      </c>
      <c r="AE14" s="27">
        <v>0.831316733172901</v>
      </c>
      <c r="AF14" s="27">
        <v>0.89587669763393796</v>
      </c>
      <c r="AG14" s="27">
        <v>0.94818390591026902</v>
      </c>
      <c r="AH14" s="27"/>
      <c r="AI14" s="27">
        <v>0.83275858337434505</v>
      </c>
      <c r="AJ14" s="27">
        <v>0.86483404962707999</v>
      </c>
      <c r="AK14" s="27">
        <v>0.81705591427603197</v>
      </c>
      <c r="AL14" s="27">
        <v>0.79030017126881502</v>
      </c>
      <c r="AM14" s="27">
        <v>0.73585252879777197</v>
      </c>
      <c r="AN14" s="27">
        <v>0.66788736116014402</v>
      </c>
      <c r="AO14" s="27"/>
      <c r="AP14" s="27">
        <v>0.810037120196484</v>
      </c>
      <c r="AQ14" s="27">
        <v>0.79742492106669405</v>
      </c>
      <c r="AR14" s="27"/>
      <c r="AS14" s="27" t="s">
        <v>88</v>
      </c>
      <c r="AT14" s="27" t="s">
        <v>88</v>
      </c>
      <c r="AU14" s="27">
        <v>0.804559977607333</v>
      </c>
      <c r="AV14" s="27"/>
      <c r="AW14" s="27">
        <v>0.78441589326166095</v>
      </c>
      <c r="AX14" s="27">
        <v>0.92093702386905396</v>
      </c>
      <c r="AY14" s="27"/>
      <c r="AZ14" s="27">
        <v>0.89171439593226398</v>
      </c>
      <c r="BA14" s="27">
        <v>0.46522815999556499</v>
      </c>
    </row>
    <row r="15" spans="2:53" x14ac:dyDescent="0.35">
      <c r="B15" s="16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B2:BA16"/>
  <sheetViews>
    <sheetView showGridLines="0" workbookViewId="0">
      <pane xSplit="2" topLeftCell="C1" activePane="topRight" state="frozen"/>
      <selection pane="topRight" activeCell="C15" sqref="C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154</v>
      </c>
      <c r="C9" s="14">
        <v>0.68309723843463999</v>
      </c>
      <c r="D9" s="14">
        <v>0.69304037485167502</v>
      </c>
      <c r="E9" s="14">
        <v>0.67428250221206498</v>
      </c>
      <c r="F9" s="14"/>
      <c r="G9" s="14">
        <v>0.81714198225865298</v>
      </c>
      <c r="H9" s="14">
        <v>0.63177879477508403</v>
      </c>
      <c r="I9" s="14">
        <v>0.70635281466057898</v>
      </c>
      <c r="J9" s="14">
        <v>0.67028778798370203</v>
      </c>
      <c r="K9" s="14">
        <v>0.69432244790406294</v>
      </c>
      <c r="L9" s="14">
        <v>0.60586885828311898</v>
      </c>
      <c r="M9" s="14"/>
      <c r="N9" s="14">
        <v>0.74498798144947198</v>
      </c>
      <c r="O9" s="14">
        <v>0.68036105119423895</v>
      </c>
      <c r="P9" s="14">
        <v>0.69259943035736804</v>
      </c>
      <c r="Q9" s="14">
        <v>0.60996140342040905</v>
      </c>
      <c r="R9" s="14"/>
      <c r="S9" s="14">
        <v>0.73003800774858896</v>
      </c>
      <c r="T9" s="14">
        <v>0.69945049094745304</v>
      </c>
      <c r="U9" s="14">
        <v>0.70952864938348104</v>
      </c>
      <c r="V9" s="14">
        <v>0.65369706404486505</v>
      </c>
      <c r="W9" s="14">
        <v>0.66341562289352696</v>
      </c>
      <c r="X9" s="14">
        <v>0.65839850720771198</v>
      </c>
      <c r="Y9" s="14">
        <v>0.58386233942700005</v>
      </c>
      <c r="Z9" s="14">
        <v>0.75720924320909999</v>
      </c>
      <c r="AA9" s="14">
        <v>0.69781590577953401</v>
      </c>
      <c r="AB9" s="14"/>
      <c r="AC9" s="14">
        <v>0.59315831222036197</v>
      </c>
      <c r="AD9" s="14">
        <v>0.686608706139195</v>
      </c>
      <c r="AE9" s="14">
        <v>0.73724571316357501</v>
      </c>
      <c r="AF9" s="14">
        <v>0.71501943880494001</v>
      </c>
      <c r="AG9" s="14">
        <v>0.82442363901787896</v>
      </c>
      <c r="AH9" s="14"/>
      <c r="AI9" s="14">
        <v>0.70557174516522303</v>
      </c>
      <c r="AJ9" s="14">
        <v>0.70007027412674905</v>
      </c>
      <c r="AK9" s="14">
        <v>0.68258945176633001</v>
      </c>
      <c r="AL9" s="14">
        <v>0.65841181536759497</v>
      </c>
      <c r="AM9" s="14">
        <v>0.73358334963922001</v>
      </c>
      <c r="AN9" s="14">
        <v>0.62474626492860896</v>
      </c>
      <c r="AO9" s="14"/>
      <c r="AP9" s="14">
        <v>0.71058739075778798</v>
      </c>
      <c r="AQ9" s="14">
        <v>0.65192090816890502</v>
      </c>
      <c r="AR9" s="14"/>
      <c r="AS9" s="14" t="s">
        <v>88</v>
      </c>
      <c r="AT9" s="14" t="s">
        <v>88</v>
      </c>
      <c r="AU9" s="14">
        <v>0.68309723843463999</v>
      </c>
      <c r="AV9" s="14"/>
      <c r="AW9" s="14">
        <v>0.67846161912638303</v>
      </c>
      <c r="AX9" s="14">
        <v>0.772330570754025</v>
      </c>
      <c r="AY9" s="14"/>
      <c r="AZ9" s="14">
        <v>0.71527778579146195</v>
      </c>
      <c r="BA9" s="14">
        <v>0.56992007396681799</v>
      </c>
    </row>
    <row r="10" spans="2:53" x14ac:dyDescent="0.35">
      <c r="B10" s="15" t="s">
        <v>155</v>
      </c>
      <c r="C10" s="14">
        <v>0.13843279869726699</v>
      </c>
      <c r="D10" s="14">
        <v>0.142471801407038</v>
      </c>
      <c r="E10" s="14">
        <v>0.133132752468198</v>
      </c>
      <c r="F10" s="14"/>
      <c r="G10" s="14">
        <v>0.182858017741347</v>
      </c>
      <c r="H10" s="14">
        <v>0.212189597408525</v>
      </c>
      <c r="I10" s="14">
        <v>0.131046797044681</v>
      </c>
      <c r="J10" s="14">
        <v>0.13438031722958299</v>
      </c>
      <c r="K10" s="14">
        <v>0.117945152471577</v>
      </c>
      <c r="L10" s="14">
        <v>0.179761665871874</v>
      </c>
      <c r="M10" s="14"/>
      <c r="N10" s="14">
        <v>0.139581877380591</v>
      </c>
      <c r="O10" s="14">
        <v>0.117555971871885</v>
      </c>
      <c r="P10" s="14">
        <v>0.154006035954944</v>
      </c>
      <c r="Q10" s="14">
        <v>0.14556988620042799</v>
      </c>
      <c r="R10" s="14"/>
      <c r="S10" s="14">
        <v>0.147670481121147</v>
      </c>
      <c r="T10" s="14">
        <v>0.12892351193246099</v>
      </c>
      <c r="U10" s="14">
        <v>0.14865934922084301</v>
      </c>
      <c r="V10" s="14">
        <v>7.8671791061979898E-2</v>
      </c>
      <c r="W10" s="14">
        <v>0.153747193264405</v>
      </c>
      <c r="X10" s="14">
        <v>0.126803109186408</v>
      </c>
      <c r="Y10" s="14">
        <v>0.19988000190776101</v>
      </c>
      <c r="Z10" s="14">
        <v>0.11564202716701601</v>
      </c>
      <c r="AA10" s="14">
        <v>0.14022827848165501</v>
      </c>
      <c r="AB10" s="14"/>
      <c r="AC10" s="14">
        <v>0.14508347123363999</v>
      </c>
      <c r="AD10" s="14">
        <v>0.135027935010883</v>
      </c>
      <c r="AE10" s="14">
        <v>0.145899930078291</v>
      </c>
      <c r="AF10" s="14">
        <v>0.190123130509112</v>
      </c>
      <c r="AG10" s="14">
        <v>0.13853177069821199</v>
      </c>
      <c r="AH10" s="14"/>
      <c r="AI10" s="14">
        <v>0.13254717476177599</v>
      </c>
      <c r="AJ10" s="14">
        <v>0.20756170845635</v>
      </c>
      <c r="AK10" s="14">
        <v>0.120059508910274</v>
      </c>
      <c r="AL10" s="14">
        <v>0.109023029247139</v>
      </c>
      <c r="AM10" s="14">
        <v>0.196356079407221</v>
      </c>
      <c r="AN10" s="14">
        <v>5.2243086628022697E-2</v>
      </c>
      <c r="AO10" s="14"/>
      <c r="AP10" s="14">
        <v>0.13524437561755001</v>
      </c>
      <c r="AQ10" s="14">
        <v>0.14278571458011699</v>
      </c>
      <c r="AR10" s="14"/>
      <c r="AS10" s="14" t="s">
        <v>88</v>
      </c>
      <c r="AT10" s="14" t="s">
        <v>88</v>
      </c>
      <c r="AU10" s="14">
        <v>0.13843279869726699</v>
      </c>
      <c r="AV10" s="14"/>
      <c r="AW10" s="14">
        <v>0.13382657030643499</v>
      </c>
      <c r="AX10" s="14">
        <v>0.13152034988723901</v>
      </c>
      <c r="AY10" s="14"/>
      <c r="AZ10" s="14">
        <v>0.144981755261366</v>
      </c>
      <c r="BA10" s="14">
        <v>0.116152306783309</v>
      </c>
    </row>
    <row r="11" spans="2:53" x14ac:dyDescent="0.35">
      <c r="B11" s="15" t="s">
        <v>116</v>
      </c>
      <c r="C11" s="23">
        <v>0.178469962868093</v>
      </c>
      <c r="D11" s="23">
        <v>0.16448782374128601</v>
      </c>
      <c r="E11" s="23">
        <v>0.19258474531973699</v>
      </c>
      <c r="F11" s="23"/>
      <c r="G11" s="23">
        <v>0</v>
      </c>
      <c r="H11" s="23">
        <v>0.156031607816391</v>
      </c>
      <c r="I11" s="23">
        <v>0.16260038829473999</v>
      </c>
      <c r="J11" s="23">
        <v>0.19533189478671401</v>
      </c>
      <c r="K11" s="23">
        <v>0.18773239962436</v>
      </c>
      <c r="L11" s="23">
        <v>0.21436947584500701</v>
      </c>
      <c r="M11" s="23"/>
      <c r="N11" s="23">
        <v>0.115430141169937</v>
      </c>
      <c r="O11" s="23">
        <v>0.202082976933876</v>
      </c>
      <c r="P11" s="23">
        <v>0.15339453368768799</v>
      </c>
      <c r="Q11" s="23">
        <v>0.24446871037916301</v>
      </c>
      <c r="R11" s="23"/>
      <c r="S11" s="23">
        <v>0.122291511130265</v>
      </c>
      <c r="T11" s="23">
        <v>0.171625997120086</v>
      </c>
      <c r="U11" s="23">
        <v>0.14181200139567601</v>
      </c>
      <c r="V11" s="23">
        <v>0.26763114489315498</v>
      </c>
      <c r="W11" s="23">
        <v>0.18283718384206801</v>
      </c>
      <c r="X11" s="23">
        <v>0.21479838360587999</v>
      </c>
      <c r="Y11" s="23">
        <v>0.21625765866523899</v>
      </c>
      <c r="Z11" s="23">
        <v>0.12714872962388399</v>
      </c>
      <c r="AA11" s="23">
        <v>0.16195581573880999</v>
      </c>
      <c r="AB11" s="23"/>
      <c r="AC11" s="23">
        <v>0.26175821654599701</v>
      </c>
      <c r="AD11" s="23">
        <v>0.17836335884992199</v>
      </c>
      <c r="AE11" s="23">
        <v>0.11685435675813401</v>
      </c>
      <c r="AF11" s="23">
        <v>9.4857430685947694E-2</v>
      </c>
      <c r="AG11" s="23">
        <v>3.70445902839091E-2</v>
      </c>
      <c r="AH11" s="23"/>
      <c r="AI11" s="23">
        <v>0.161881080073001</v>
      </c>
      <c r="AJ11" s="23">
        <v>9.2368017416900705E-2</v>
      </c>
      <c r="AK11" s="23">
        <v>0.19735103932339601</v>
      </c>
      <c r="AL11" s="23">
        <v>0.23256515538526701</v>
      </c>
      <c r="AM11" s="23">
        <v>7.0060570953559304E-2</v>
      </c>
      <c r="AN11" s="23">
        <v>0.32301064844336902</v>
      </c>
      <c r="AO11" s="23"/>
      <c r="AP11" s="23">
        <v>0.154168233624662</v>
      </c>
      <c r="AQ11" s="23">
        <v>0.20529337725097799</v>
      </c>
      <c r="AR11" s="23"/>
      <c r="AS11" s="23" t="s">
        <v>88</v>
      </c>
      <c r="AT11" s="23" t="s">
        <v>88</v>
      </c>
      <c r="AU11" s="23">
        <v>0.178469962868093</v>
      </c>
      <c r="AV11" s="23"/>
      <c r="AW11" s="23">
        <v>0.187711810567182</v>
      </c>
      <c r="AX11" s="23">
        <v>9.6149079358736303E-2</v>
      </c>
      <c r="AY11" s="23"/>
      <c r="AZ11" s="23">
        <v>0.13974045894717199</v>
      </c>
      <c r="BA11" s="23">
        <v>0.313927619249873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B2:BA18"/>
  <sheetViews>
    <sheetView showGridLines="0" topLeftCell="A4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927</v>
      </c>
      <c r="D7" s="10">
        <v>390</v>
      </c>
      <c r="E7" s="10">
        <v>537</v>
      </c>
      <c r="F7" s="10"/>
      <c r="G7" s="10">
        <v>2</v>
      </c>
      <c r="H7" s="10">
        <v>79</v>
      </c>
      <c r="I7" s="10">
        <v>390</v>
      </c>
      <c r="J7" s="10">
        <v>333</v>
      </c>
      <c r="K7" s="10">
        <v>107</v>
      </c>
      <c r="L7" s="10">
        <v>16</v>
      </c>
      <c r="M7" s="10"/>
      <c r="N7" s="10">
        <v>441</v>
      </c>
      <c r="O7" s="10">
        <v>210</v>
      </c>
      <c r="P7" s="10">
        <v>138</v>
      </c>
      <c r="Q7" s="10">
        <v>136</v>
      </c>
      <c r="R7" s="10"/>
      <c r="S7" s="10">
        <v>181</v>
      </c>
      <c r="T7" s="10">
        <v>135</v>
      </c>
      <c r="U7" s="10">
        <v>74</v>
      </c>
      <c r="V7" s="10">
        <v>83</v>
      </c>
      <c r="W7" s="10">
        <v>75</v>
      </c>
      <c r="X7" s="10">
        <v>107</v>
      </c>
      <c r="Y7" s="10">
        <v>91</v>
      </c>
      <c r="Z7" s="10">
        <v>54</v>
      </c>
      <c r="AA7" s="10">
        <v>127</v>
      </c>
      <c r="AB7" s="10"/>
      <c r="AC7" s="10">
        <v>150</v>
      </c>
      <c r="AD7" s="10">
        <v>166</v>
      </c>
      <c r="AE7" s="10">
        <v>291</v>
      </c>
      <c r="AF7" s="10">
        <v>179</v>
      </c>
      <c r="AG7" s="10">
        <v>44</v>
      </c>
      <c r="AH7" s="10"/>
      <c r="AI7" s="10">
        <v>343</v>
      </c>
      <c r="AJ7" s="10">
        <v>179</v>
      </c>
      <c r="AK7" s="10">
        <v>94</v>
      </c>
      <c r="AL7" s="10">
        <v>132</v>
      </c>
      <c r="AM7" s="10">
        <v>49</v>
      </c>
      <c r="AN7" s="10">
        <v>57</v>
      </c>
      <c r="AO7" s="10"/>
      <c r="AP7" s="10">
        <v>516</v>
      </c>
      <c r="AQ7" s="10">
        <v>409</v>
      </c>
      <c r="AR7" s="10"/>
      <c r="AS7" s="10" t="s">
        <v>87</v>
      </c>
      <c r="AT7" s="10" t="s">
        <v>87</v>
      </c>
      <c r="AU7" s="10">
        <v>927</v>
      </c>
      <c r="AV7" s="10"/>
      <c r="AW7" s="10">
        <v>660</v>
      </c>
      <c r="AX7" s="10">
        <v>199</v>
      </c>
      <c r="AY7" s="10"/>
      <c r="AZ7" s="10">
        <v>766</v>
      </c>
      <c r="BA7" s="10">
        <v>160</v>
      </c>
    </row>
    <row r="8" spans="2:53" ht="30" customHeight="1" x14ac:dyDescent="0.35">
      <c r="B8" s="11" t="s">
        <v>19</v>
      </c>
      <c r="C8" s="11">
        <v>901</v>
      </c>
      <c r="D8" s="11">
        <v>455</v>
      </c>
      <c r="E8" s="11">
        <v>447</v>
      </c>
      <c r="F8" s="11"/>
      <c r="G8" s="11">
        <v>2</v>
      </c>
      <c r="H8" s="11">
        <v>68</v>
      </c>
      <c r="I8" s="11">
        <v>362</v>
      </c>
      <c r="J8" s="11">
        <v>339</v>
      </c>
      <c r="K8" s="11">
        <v>113</v>
      </c>
      <c r="L8" s="11">
        <v>17</v>
      </c>
      <c r="M8" s="11"/>
      <c r="N8" s="11">
        <v>272</v>
      </c>
      <c r="O8" s="11">
        <v>221</v>
      </c>
      <c r="P8" s="11">
        <v>212</v>
      </c>
      <c r="Q8" s="11">
        <v>194</v>
      </c>
      <c r="R8" s="11"/>
      <c r="S8" s="11">
        <v>147</v>
      </c>
      <c r="T8" s="11">
        <v>142</v>
      </c>
      <c r="U8" s="11">
        <v>91</v>
      </c>
      <c r="V8" s="11">
        <v>96</v>
      </c>
      <c r="W8" s="11">
        <v>85</v>
      </c>
      <c r="X8" s="11">
        <v>89</v>
      </c>
      <c r="Y8" s="11">
        <v>80</v>
      </c>
      <c r="Z8" s="11">
        <v>52</v>
      </c>
      <c r="AA8" s="11">
        <v>119</v>
      </c>
      <c r="AB8" s="11"/>
      <c r="AC8" s="11">
        <v>183</v>
      </c>
      <c r="AD8" s="11">
        <v>190</v>
      </c>
      <c r="AE8" s="11">
        <v>267</v>
      </c>
      <c r="AF8" s="11">
        <v>128</v>
      </c>
      <c r="AG8" s="11">
        <v>23</v>
      </c>
      <c r="AH8" s="11"/>
      <c r="AI8" s="11">
        <v>319</v>
      </c>
      <c r="AJ8" s="11">
        <v>165</v>
      </c>
      <c r="AK8" s="11">
        <v>83</v>
      </c>
      <c r="AL8" s="11">
        <v>144</v>
      </c>
      <c r="AM8" s="11">
        <v>48</v>
      </c>
      <c r="AN8" s="11">
        <v>61</v>
      </c>
      <c r="AO8" s="11"/>
      <c r="AP8" s="11">
        <v>499</v>
      </c>
      <c r="AQ8" s="11">
        <v>400</v>
      </c>
      <c r="AR8" s="11"/>
      <c r="AS8" s="11" t="s">
        <v>87</v>
      </c>
      <c r="AT8" s="11" t="s">
        <v>87</v>
      </c>
      <c r="AU8" s="11">
        <v>901</v>
      </c>
      <c r="AV8" s="11"/>
      <c r="AW8" s="11">
        <v>661</v>
      </c>
      <c r="AX8" s="11">
        <v>161</v>
      </c>
      <c r="AY8" s="11"/>
      <c r="AZ8" s="11">
        <v>739</v>
      </c>
      <c r="BA8" s="11">
        <v>162</v>
      </c>
    </row>
    <row r="9" spans="2:53" x14ac:dyDescent="0.35">
      <c r="B9" s="15" t="s">
        <v>214</v>
      </c>
      <c r="C9" s="14">
        <v>0.17447857519132201</v>
      </c>
      <c r="D9" s="14">
        <v>0.19549316437286601</v>
      </c>
      <c r="E9" s="14">
        <v>0.153090643518452</v>
      </c>
      <c r="F9" s="14"/>
      <c r="G9" s="14">
        <v>0</v>
      </c>
      <c r="H9" s="14">
        <v>0.25582518265631499</v>
      </c>
      <c r="I9" s="14">
        <v>0.22487996290352799</v>
      </c>
      <c r="J9" s="14">
        <v>0.11111663894625901</v>
      </c>
      <c r="K9" s="14">
        <v>0.15586210187687799</v>
      </c>
      <c r="L9" s="14">
        <v>0.18984460238898701</v>
      </c>
      <c r="M9" s="14"/>
      <c r="N9" s="14">
        <v>0.179871511530039</v>
      </c>
      <c r="O9" s="14">
        <v>0.15935187408439599</v>
      </c>
      <c r="P9" s="14">
        <v>0.16551083456868401</v>
      </c>
      <c r="Q9" s="14">
        <v>0.195786815853634</v>
      </c>
      <c r="R9" s="14"/>
      <c r="S9" s="14">
        <v>0.26168416133862499</v>
      </c>
      <c r="T9" s="14">
        <v>0.11235508827172699</v>
      </c>
      <c r="U9" s="14">
        <v>0.120979002994223</v>
      </c>
      <c r="V9" s="14">
        <v>0.18004487350332801</v>
      </c>
      <c r="W9" s="14">
        <v>0.116566842216351</v>
      </c>
      <c r="X9" s="14">
        <v>0.246961107496177</v>
      </c>
      <c r="Y9" s="14">
        <v>0.15927347325324701</v>
      </c>
      <c r="Z9" s="14">
        <v>0.21676888433849101</v>
      </c>
      <c r="AA9" s="14">
        <v>0.15687249070876499</v>
      </c>
      <c r="AB9" s="14"/>
      <c r="AC9" s="14">
        <v>0.180047156410339</v>
      </c>
      <c r="AD9" s="14">
        <v>9.74384032404952E-2</v>
      </c>
      <c r="AE9" s="14">
        <v>0.16998539077931901</v>
      </c>
      <c r="AF9" s="14">
        <v>0.27945159331208103</v>
      </c>
      <c r="AG9" s="14">
        <v>0.35308211600532702</v>
      </c>
      <c r="AH9" s="14"/>
      <c r="AI9" s="14">
        <v>0.23268088658432801</v>
      </c>
      <c r="AJ9" s="14">
        <v>0.18448634154163901</v>
      </c>
      <c r="AK9" s="14">
        <v>0.14712382620669701</v>
      </c>
      <c r="AL9" s="14">
        <v>0.13513339069629701</v>
      </c>
      <c r="AM9" s="14">
        <v>9.1853658018295398E-2</v>
      </c>
      <c r="AN9" s="14">
        <v>9.2071849533071598E-2</v>
      </c>
      <c r="AO9" s="14"/>
      <c r="AP9" s="14">
        <v>0.19417166635208499</v>
      </c>
      <c r="AQ9" s="14">
        <v>0.150776864648414</v>
      </c>
      <c r="AR9" s="14"/>
      <c r="AS9" s="14" t="s">
        <v>88</v>
      </c>
      <c r="AT9" s="14" t="s">
        <v>88</v>
      </c>
      <c r="AU9" s="14">
        <v>0.17447857519132201</v>
      </c>
      <c r="AV9" s="14"/>
      <c r="AW9" s="14">
        <v>0.16435800721105501</v>
      </c>
      <c r="AX9" s="14">
        <v>0.235366376076526</v>
      </c>
      <c r="AY9" s="14"/>
      <c r="AZ9" s="14">
        <v>0.18961995679865601</v>
      </c>
      <c r="BA9" s="14">
        <v>0.106536151818687</v>
      </c>
    </row>
    <row r="10" spans="2:53" x14ac:dyDescent="0.35">
      <c r="B10" s="15" t="s">
        <v>215</v>
      </c>
      <c r="C10" s="14">
        <v>0.58479248217481306</v>
      </c>
      <c r="D10" s="14">
        <v>0.57826553720943796</v>
      </c>
      <c r="E10" s="14">
        <v>0.59143538400582396</v>
      </c>
      <c r="F10" s="14"/>
      <c r="G10" s="14">
        <v>0.53755186374684905</v>
      </c>
      <c r="H10" s="14">
        <v>0.58141380870954595</v>
      </c>
      <c r="I10" s="14">
        <v>0.56998398698336605</v>
      </c>
      <c r="J10" s="14">
        <v>0.60920798472775695</v>
      </c>
      <c r="K10" s="14">
        <v>0.54906329828138201</v>
      </c>
      <c r="L10" s="14">
        <v>0.67207143161326199</v>
      </c>
      <c r="M10" s="14"/>
      <c r="N10" s="14">
        <v>0.60214132400940201</v>
      </c>
      <c r="O10" s="14">
        <v>0.57609117069485205</v>
      </c>
      <c r="P10" s="14">
        <v>0.59285073370343899</v>
      </c>
      <c r="Q10" s="14">
        <v>0.56119940759666598</v>
      </c>
      <c r="R10" s="14"/>
      <c r="S10" s="14">
        <v>0.56157987906723605</v>
      </c>
      <c r="T10" s="14">
        <v>0.58009648864511898</v>
      </c>
      <c r="U10" s="14">
        <v>0.56411560189648802</v>
      </c>
      <c r="V10" s="14">
        <v>0.57354256049933605</v>
      </c>
      <c r="W10" s="14">
        <v>0.62791130870288503</v>
      </c>
      <c r="X10" s="14">
        <v>0.50360934598819196</v>
      </c>
      <c r="Y10" s="14">
        <v>0.63324763867164102</v>
      </c>
      <c r="Z10" s="14">
        <v>0.63032040539185996</v>
      </c>
      <c r="AA10" s="14">
        <v>0.62107586156845795</v>
      </c>
      <c r="AB10" s="14"/>
      <c r="AC10" s="14">
        <v>0.53951171918173602</v>
      </c>
      <c r="AD10" s="14">
        <v>0.69002624950068503</v>
      </c>
      <c r="AE10" s="14">
        <v>0.60895302734259105</v>
      </c>
      <c r="AF10" s="14">
        <v>0.516415077620616</v>
      </c>
      <c r="AG10" s="14">
        <v>0.48822612878395699</v>
      </c>
      <c r="AH10" s="14"/>
      <c r="AI10" s="14">
        <v>0.52908566445485405</v>
      </c>
      <c r="AJ10" s="14">
        <v>0.58253597091610998</v>
      </c>
      <c r="AK10" s="14">
        <v>0.61491271205264098</v>
      </c>
      <c r="AL10" s="14">
        <v>0.61765266830747301</v>
      </c>
      <c r="AM10" s="14">
        <v>0.66315583465192696</v>
      </c>
      <c r="AN10" s="14">
        <v>0.61631565393232901</v>
      </c>
      <c r="AO10" s="14"/>
      <c r="AP10" s="14">
        <v>0.58233407203811505</v>
      </c>
      <c r="AQ10" s="14">
        <v>0.58911515229710598</v>
      </c>
      <c r="AR10" s="14"/>
      <c r="AS10" s="14" t="s">
        <v>88</v>
      </c>
      <c r="AT10" s="14" t="s">
        <v>88</v>
      </c>
      <c r="AU10" s="14">
        <v>0.58479248217481306</v>
      </c>
      <c r="AV10" s="14"/>
      <c r="AW10" s="14">
        <v>0.58769254804377802</v>
      </c>
      <c r="AX10" s="14">
        <v>0.59902544031428795</v>
      </c>
      <c r="AY10" s="14"/>
      <c r="AZ10" s="14">
        <v>0.59128154687040602</v>
      </c>
      <c r="BA10" s="14">
        <v>0.55247146718975304</v>
      </c>
    </row>
    <row r="11" spans="2:53" x14ac:dyDescent="0.35">
      <c r="B11" s="15" t="s">
        <v>216</v>
      </c>
      <c r="C11" s="14">
        <v>0.10354268707608801</v>
      </c>
      <c r="D11" s="14">
        <v>9.1681141674833294E-2</v>
      </c>
      <c r="E11" s="14">
        <v>0.115614963168904</v>
      </c>
      <c r="F11" s="14"/>
      <c r="G11" s="14">
        <v>0.46244813625315101</v>
      </c>
      <c r="H11" s="14">
        <v>8.3894450832145306E-2</v>
      </c>
      <c r="I11" s="14">
        <v>9.3970729608018194E-2</v>
      </c>
      <c r="J11" s="14">
        <v>0.12611286385735501</v>
      </c>
      <c r="K11" s="14">
        <v>8.6367735572809107E-2</v>
      </c>
      <c r="L11" s="14">
        <v>0</v>
      </c>
      <c r="M11" s="14"/>
      <c r="N11" s="14">
        <v>8.1440127483729793E-2</v>
      </c>
      <c r="O11" s="14">
        <v>9.2836627739790095E-2</v>
      </c>
      <c r="P11" s="14">
        <v>0.13516746056461401</v>
      </c>
      <c r="Q11" s="14">
        <v>0.113229646278607</v>
      </c>
      <c r="R11" s="14"/>
      <c r="S11" s="14">
        <v>5.2692130132471197E-2</v>
      </c>
      <c r="T11" s="14">
        <v>0.142462951108836</v>
      </c>
      <c r="U11" s="14">
        <v>8.4633765199468997E-2</v>
      </c>
      <c r="V11" s="14">
        <v>0.121458472215883</v>
      </c>
      <c r="W11" s="14">
        <v>6.6295901688677397E-2</v>
      </c>
      <c r="X11" s="14">
        <v>0.13470216924284301</v>
      </c>
      <c r="Y11" s="14">
        <v>0.12640883391822799</v>
      </c>
      <c r="Z11" s="14">
        <v>4.4320332482169697E-2</v>
      </c>
      <c r="AA11" s="14">
        <v>0.13372385958517599</v>
      </c>
      <c r="AB11" s="14"/>
      <c r="AC11" s="14">
        <v>9.7772168179810201E-2</v>
      </c>
      <c r="AD11" s="14">
        <v>0.121137568957914</v>
      </c>
      <c r="AE11" s="14">
        <v>8.9219721193193394E-2</v>
      </c>
      <c r="AF11" s="14">
        <v>0.107978816105711</v>
      </c>
      <c r="AG11" s="14">
        <v>2.3784902860441399E-2</v>
      </c>
      <c r="AH11" s="14"/>
      <c r="AI11" s="14">
        <v>0.134291923218603</v>
      </c>
      <c r="AJ11" s="14">
        <v>9.7382573950325402E-2</v>
      </c>
      <c r="AK11" s="14">
        <v>8.19385059142793E-2</v>
      </c>
      <c r="AL11" s="14">
        <v>9.6928615448176103E-2</v>
      </c>
      <c r="AM11" s="14">
        <v>2.9993659730281199E-2</v>
      </c>
      <c r="AN11" s="14">
        <v>8.4320929956929497E-2</v>
      </c>
      <c r="AO11" s="14"/>
      <c r="AP11" s="14">
        <v>9.1499586223471902E-2</v>
      </c>
      <c r="AQ11" s="14">
        <v>0.11907013680013</v>
      </c>
      <c r="AR11" s="14"/>
      <c r="AS11" s="14" t="s">
        <v>88</v>
      </c>
      <c r="AT11" s="14" t="s">
        <v>88</v>
      </c>
      <c r="AU11" s="14">
        <v>0.10354268707608801</v>
      </c>
      <c r="AV11" s="14"/>
      <c r="AW11" s="14">
        <v>0.100003177433912</v>
      </c>
      <c r="AX11" s="14">
        <v>6.5160320582678302E-2</v>
      </c>
      <c r="AY11" s="14"/>
      <c r="AZ11" s="14">
        <v>9.8829553379826907E-2</v>
      </c>
      <c r="BA11" s="14">
        <v>0.12572343727910701</v>
      </c>
    </row>
    <row r="12" spans="2:53" x14ac:dyDescent="0.35">
      <c r="B12" s="15" t="s">
        <v>217</v>
      </c>
      <c r="C12" s="14">
        <v>1.14841328522993E-2</v>
      </c>
      <c r="D12" s="14">
        <v>1.43966096578195E-2</v>
      </c>
      <c r="E12" s="14">
        <v>8.5199133580636001E-3</v>
      </c>
      <c r="F12" s="14"/>
      <c r="G12" s="14">
        <v>0</v>
      </c>
      <c r="H12" s="14">
        <v>1.03204032746972E-2</v>
      </c>
      <c r="I12" s="14">
        <v>4.7552412931950103E-3</v>
      </c>
      <c r="J12" s="14">
        <v>1.22838989052148E-2</v>
      </c>
      <c r="K12" s="14">
        <v>3.31891546050515E-2</v>
      </c>
      <c r="L12" s="14">
        <v>0</v>
      </c>
      <c r="M12" s="14"/>
      <c r="N12" s="14">
        <v>6.7543077624461299E-3</v>
      </c>
      <c r="O12" s="14">
        <v>2.0127537857177798E-2</v>
      </c>
      <c r="P12" s="14">
        <v>5.9142387214386003E-3</v>
      </c>
      <c r="Q12" s="14">
        <v>1.03769329347987E-2</v>
      </c>
      <c r="R12" s="14"/>
      <c r="S12" s="14">
        <v>1.6846832694503499E-2</v>
      </c>
      <c r="T12" s="14">
        <v>2.20009588388764E-2</v>
      </c>
      <c r="U12" s="14">
        <v>0</v>
      </c>
      <c r="V12" s="14">
        <v>0</v>
      </c>
      <c r="W12" s="14">
        <v>3.8426078352961697E-2</v>
      </c>
      <c r="X12" s="14">
        <v>7.8862003610779708E-3</v>
      </c>
      <c r="Y12" s="14">
        <v>2.1027376295606999E-3</v>
      </c>
      <c r="Z12" s="14">
        <v>0</v>
      </c>
      <c r="AA12" s="14">
        <v>5.1300083390555303E-3</v>
      </c>
      <c r="AB12" s="14"/>
      <c r="AC12" s="14">
        <v>2.2246487728537701E-2</v>
      </c>
      <c r="AD12" s="14">
        <v>4.6577623762908502E-3</v>
      </c>
      <c r="AE12" s="14">
        <v>1.19030160650276E-2</v>
      </c>
      <c r="AF12" s="14">
        <v>6.1023900477953598E-3</v>
      </c>
      <c r="AG12" s="14">
        <v>0</v>
      </c>
      <c r="AH12" s="14"/>
      <c r="AI12" s="14">
        <v>1.04018585745623E-2</v>
      </c>
      <c r="AJ12" s="14">
        <v>1.5138715374916401E-2</v>
      </c>
      <c r="AK12" s="14">
        <v>1.70408787971532E-2</v>
      </c>
      <c r="AL12" s="14">
        <v>5.5776199079683002E-3</v>
      </c>
      <c r="AM12" s="14">
        <v>6.3353882378102801E-3</v>
      </c>
      <c r="AN12" s="14">
        <v>0</v>
      </c>
      <c r="AO12" s="14"/>
      <c r="AP12" s="14">
        <v>1.1405653930037099E-2</v>
      </c>
      <c r="AQ12" s="14">
        <v>1.16384238763656E-2</v>
      </c>
      <c r="AR12" s="14"/>
      <c r="AS12" s="14" t="s">
        <v>88</v>
      </c>
      <c r="AT12" s="14" t="s">
        <v>88</v>
      </c>
      <c r="AU12" s="14">
        <v>1.14841328522993E-2</v>
      </c>
      <c r="AV12" s="14"/>
      <c r="AW12" s="14">
        <v>9.5636074937706494E-3</v>
      </c>
      <c r="AX12" s="14">
        <v>1.7272126526076601E-2</v>
      </c>
      <c r="AY12" s="14"/>
      <c r="AZ12" s="14">
        <v>8.3913190807845799E-3</v>
      </c>
      <c r="BA12" s="14">
        <v>2.56702814586749E-2</v>
      </c>
    </row>
    <row r="13" spans="2:53" x14ac:dyDescent="0.35">
      <c r="B13" s="15" t="s">
        <v>116</v>
      </c>
      <c r="C13" s="23">
        <v>5.8360141230945399E-2</v>
      </c>
      <c r="D13" s="23">
        <v>3.8083997840274698E-2</v>
      </c>
      <c r="E13" s="23">
        <v>7.8996507979901695E-2</v>
      </c>
      <c r="F13" s="23"/>
      <c r="G13" s="23">
        <v>0</v>
      </c>
      <c r="H13" s="23">
        <v>0</v>
      </c>
      <c r="I13" s="23">
        <v>5.5617329856479103E-2</v>
      </c>
      <c r="J13" s="23">
        <v>6.8262568717675901E-2</v>
      </c>
      <c r="K13" s="23">
        <v>6.9205476465487303E-2</v>
      </c>
      <c r="L13" s="23">
        <v>8.7466368307799594E-2</v>
      </c>
      <c r="M13" s="23"/>
      <c r="N13" s="23">
        <v>4.6280945032020203E-2</v>
      </c>
      <c r="O13" s="23">
        <v>0.101682967793624</v>
      </c>
      <c r="P13" s="23">
        <v>3.8985243845811701E-2</v>
      </c>
      <c r="Q13" s="23">
        <v>4.7879144661841101E-2</v>
      </c>
      <c r="R13" s="23"/>
      <c r="S13" s="23">
        <v>6.3257443501552199E-2</v>
      </c>
      <c r="T13" s="23">
        <v>6.3197502296087102E-2</v>
      </c>
      <c r="U13" s="23">
        <v>9.3836114315268004E-2</v>
      </c>
      <c r="V13" s="23">
        <v>5.5542098671371998E-2</v>
      </c>
      <c r="W13" s="23">
        <v>7.1073605974026594E-2</v>
      </c>
      <c r="X13" s="23">
        <v>6.50072644182772E-2</v>
      </c>
      <c r="Y13" s="23">
        <v>1.9649628075423201E-2</v>
      </c>
      <c r="Z13" s="23">
        <v>6.4790939848293594E-2</v>
      </c>
      <c r="AA13" s="23">
        <v>3.0801879087544701E-2</v>
      </c>
      <c r="AB13" s="23"/>
      <c r="AC13" s="23">
        <v>6.5935739669729307E-2</v>
      </c>
      <c r="AD13" s="23">
        <v>4.5634755240124003E-2</v>
      </c>
      <c r="AE13" s="23">
        <v>6.2542355428581997E-2</v>
      </c>
      <c r="AF13" s="23">
        <v>3.7603297981535298E-2</v>
      </c>
      <c r="AG13" s="23">
        <v>7.4577132913559302E-2</v>
      </c>
      <c r="AH13" s="23"/>
      <c r="AI13" s="23">
        <v>4.8323455979000098E-2</v>
      </c>
      <c r="AJ13" s="23">
        <v>4.9512022147900403E-2</v>
      </c>
      <c r="AK13" s="23">
        <v>6.0219680056269098E-2</v>
      </c>
      <c r="AL13" s="23">
        <v>5.7233065593896001E-2</v>
      </c>
      <c r="AM13" s="23">
        <v>4.6043727394270401E-2</v>
      </c>
      <c r="AN13" s="23">
        <v>0.11330378482737399</v>
      </c>
      <c r="AO13" s="23"/>
      <c r="AP13" s="23">
        <v>4.7602857137498497E-2</v>
      </c>
      <c r="AQ13" s="23">
        <v>6.8765355917189394E-2</v>
      </c>
      <c r="AR13" s="23"/>
      <c r="AS13" s="23" t="s">
        <v>88</v>
      </c>
      <c r="AT13" s="23" t="s">
        <v>88</v>
      </c>
      <c r="AU13" s="23">
        <v>5.8360141230945399E-2</v>
      </c>
      <c r="AV13" s="23"/>
      <c r="AW13" s="23">
        <v>6.7287076914061703E-2</v>
      </c>
      <c r="AX13" s="23">
        <v>1.98092293170598E-2</v>
      </c>
      <c r="AY13" s="23"/>
      <c r="AZ13" s="23">
        <v>4.3602516522126898E-2</v>
      </c>
      <c r="BA13" s="23">
        <v>0.12607385003820101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B2:BA19"/>
  <sheetViews>
    <sheetView showGridLines="0" workbookViewId="0">
      <pane xSplit="2" topLeftCell="C1" activePane="topRight" state="frozen"/>
      <selection pane="topRight" activeCell="G8" sqref="G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927</v>
      </c>
      <c r="D7" s="10">
        <v>390</v>
      </c>
      <c r="E7" s="10">
        <v>537</v>
      </c>
      <c r="F7" s="10"/>
      <c r="G7" s="10">
        <v>2</v>
      </c>
      <c r="H7" s="10">
        <v>79</v>
      </c>
      <c r="I7" s="10">
        <v>390</v>
      </c>
      <c r="J7" s="10">
        <v>333</v>
      </c>
      <c r="K7" s="10">
        <v>107</v>
      </c>
      <c r="L7" s="10">
        <v>16</v>
      </c>
      <c r="M7" s="10"/>
      <c r="N7" s="10">
        <v>441</v>
      </c>
      <c r="O7" s="10">
        <v>210</v>
      </c>
      <c r="P7" s="10">
        <v>138</v>
      </c>
      <c r="Q7" s="10">
        <v>136</v>
      </c>
      <c r="R7" s="10"/>
      <c r="S7" s="10">
        <v>181</v>
      </c>
      <c r="T7" s="10">
        <v>135</v>
      </c>
      <c r="U7" s="10">
        <v>74</v>
      </c>
      <c r="V7" s="10">
        <v>83</v>
      </c>
      <c r="W7" s="10">
        <v>75</v>
      </c>
      <c r="X7" s="10">
        <v>107</v>
      </c>
      <c r="Y7" s="10">
        <v>91</v>
      </c>
      <c r="Z7" s="10">
        <v>54</v>
      </c>
      <c r="AA7" s="10">
        <v>127</v>
      </c>
      <c r="AB7" s="10"/>
      <c r="AC7" s="10">
        <v>150</v>
      </c>
      <c r="AD7" s="10">
        <v>166</v>
      </c>
      <c r="AE7" s="10">
        <v>291</v>
      </c>
      <c r="AF7" s="10">
        <v>179</v>
      </c>
      <c r="AG7" s="10">
        <v>44</v>
      </c>
      <c r="AH7" s="10"/>
      <c r="AI7" s="10">
        <v>343</v>
      </c>
      <c r="AJ7" s="10">
        <v>179</v>
      </c>
      <c r="AK7" s="10">
        <v>94</v>
      </c>
      <c r="AL7" s="10">
        <v>132</v>
      </c>
      <c r="AM7" s="10">
        <v>49</v>
      </c>
      <c r="AN7" s="10">
        <v>57</v>
      </c>
      <c r="AO7" s="10"/>
      <c r="AP7" s="10">
        <v>516</v>
      </c>
      <c r="AQ7" s="10">
        <v>409</v>
      </c>
      <c r="AR7" s="10"/>
      <c r="AS7" s="10" t="s">
        <v>87</v>
      </c>
      <c r="AT7" s="10" t="s">
        <v>87</v>
      </c>
      <c r="AU7" s="10">
        <v>927</v>
      </c>
      <c r="AV7" s="10"/>
      <c r="AW7" s="10">
        <v>660</v>
      </c>
      <c r="AX7" s="10">
        <v>199</v>
      </c>
      <c r="AY7" s="10"/>
      <c r="AZ7" s="10">
        <v>766</v>
      </c>
      <c r="BA7" s="10">
        <v>160</v>
      </c>
    </row>
    <row r="8" spans="2:53" ht="30" customHeight="1" x14ac:dyDescent="0.35">
      <c r="B8" s="11" t="s">
        <v>19</v>
      </c>
      <c r="C8" s="11">
        <v>901</v>
      </c>
      <c r="D8" s="11">
        <v>455</v>
      </c>
      <c r="E8" s="11">
        <v>447</v>
      </c>
      <c r="F8" s="11"/>
      <c r="G8" s="11">
        <v>2</v>
      </c>
      <c r="H8" s="11">
        <v>68</v>
      </c>
      <c r="I8" s="11">
        <v>362</v>
      </c>
      <c r="J8" s="11">
        <v>339</v>
      </c>
      <c r="K8" s="11">
        <v>113</v>
      </c>
      <c r="L8" s="11">
        <v>17</v>
      </c>
      <c r="M8" s="11"/>
      <c r="N8" s="11">
        <v>272</v>
      </c>
      <c r="O8" s="11">
        <v>221</v>
      </c>
      <c r="P8" s="11">
        <v>212</v>
      </c>
      <c r="Q8" s="11">
        <v>194</v>
      </c>
      <c r="R8" s="11"/>
      <c r="S8" s="11">
        <v>147</v>
      </c>
      <c r="T8" s="11">
        <v>142</v>
      </c>
      <c r="U8" s="11">
        <v>91</v>
      </c>
      <c r="V8" s="11">
        <v>96</v>
      </c>
      <c r="W8" s="11">
        <v>85</v>
      </c>
      <c r="X8" s="11">
        <v>89</v>
      </c>
      <c r="Y8" s="11">
        <v>80</v>
      </c>
      <c r="Z8" s="11">
        <v>52</v>
      </c>
      <c r="AA8" s="11">
        <v>119</v>
      </c>
      <c r="AB8" s="11"/>
      <c r="AC8" s="11">
        <v>183</v>
      </c>
      <c r="AD8" s="11">
        <v>190</v>
      </c>
      <c r="AE8" s="11">
        <v>267</v>
      </c>
      <c r="AF8" s="11">
        <v>128</v>
      </c>
      <c r="AG8" s="11">
        <v>23</v>
      </c>
      <c r="AH8" s="11"/>
      <c r="AI8" s="11">
        <v>319</v>
      </c>
      <c r="AJ8" s="11">
        <v>165</v>
      </c>
      <c r="AK8" s="11">
        <v>83</v>
      </c>
      <c r="AL8" s="11">
        <v>144</v>
      </c>
      <c r="AM8" s="11">
        <v>48</v>
      </c>
      <c r="AN8" s="11">
        <v>61</v>
      </c>
      <c r="AO8" s="11"/>
      <c r="AP8" s="11">
        <v>499</v>
      </c>
      <c r="AQ8" s="11">
        <v>400</v>
      </c>
      <c r="AR8" s="11"/>
      <c r="AS8" s="11" t="s">
        <v>87</v>
      </c>
      <c r="AT8" s="11" t="s">
        <v>87</v>
      </c>
      <c r="AU8" s="11">
        <v>901</v>
      </c>
      <c r="AV8" s="11"/>
      <c r="AW8" s="11">
        <v>661</v>
      </c>
      <c r="AX8" s="11">
        <v>161</v>
      </c>
      <c r="AY8" s="11"/>
      <c r="AZ8" s="11">
        <v>739</v>
      </c>
      <c r="BA8" s="11">
        <v>162</v>
      </c>
    </row>
    <row r="9" spans="2:53" x14ac:dyDescent="0.35">
      <c r="B9" s="15" t="s">
        <v>220</v>
      </c>
      <c r="C9" s="14">
        <v>0.23682646800823501</v>
      </c>
      <c r="D9" s="14">
        <v>0.27807733542037899</v>
      </c>
      <c r="E9" s="14">
        <v>0.19484274298578999</v>
      </c>
      <c r="F9" s="14"/>
      <c r="G9" s="14">
        <v>0</v>
      </c>
      <c r="H9" s="14">
        <v>0.32808771183918001</v>
      </c>
      <c r="I9" s="14">
        <v>0.23350670234771101</v>
      </c>
      <c r="J9" s="14">
        <v>0.213684913295099</v>
      </c>
      <c r="K9" s="14">
        <v>0.239975051054787</v>
      </c>
      <c r="L9" s="14">
        <v>0.41838477419188103</v>
      </c>
      <c r="M9" s="14"/>
      <c r="N9" s="14">
        <v>0.29365383686194801</v>
      </c>
      <c r="O9" s="14">
        <v>0.192040755332475</v>
      </c>
      <c r="P9" s="14">
        <v>0.22721639068747099</v>
      </c>
      <c r="Q9" s="14">
        <v>0.21444381563466799</v>
      </c>
      <c r="R9" s="14"/>
      <c r="S9" s="14">
        <v>0.34379599906767</v>
      </c>
      <c r="T9" s="14">
        <v>0.209030497125714</v>
      </c>
      <c r="U9" s="14">
        <v>0.201275185691702</v>
      </c>
      <c r="V9" s="14">
        <v>0.31064876836285599</v>
      </c>
      <c r="W9" s="14">
        <v>0.15743272007669501</v>
      </c>
      <c r="X9" s="14">
        <v>0.23480685524776401</v>
      </c>
      <c r="Y9" s="14">
        <v>0.22441662783445601</v>
      </c>
      <c r="Z9" s="14">
        <v>0.18953603984537101</v>
      </c>
      <c r="AA9" s="14">
        <v>0.19302581337074401</v>
      </c>
      <c r="AB9" s="14"/>
      <c r="AC9" s="14">
        <v>0.214079756715092</v>
      </c>
      <c r="AD9" s="14">
        <v>0.192964990024516</v>
      </c>
      <c r="AE9" s="14">
        <v>0.206849804819563</v>
      </c>
      <c r="AF9" s="14">
        <v>0.34976419933851299</v>
      </c>
      <c r="AG9" s="14">
        <v>0.413433972243061</v>
      </c>
      <c r="AH9" s="14"/>
      <c r="AI9" s="14">
        <v>0.26157961963536702</v>
      </c>
      <c r="AJ9" s="14">
        <v>0.27201408167104901</v>
      </c>
      <c r="AK9" s="14">
        <v>0.21870144673374101</v>
      </c>
      <c r="AL9" s="14">
        <v>0.20892933345350001</v>
      </c>
      <c r="AM9" s="14">
        <v>0.205535004608388</v>
      </c>
      <c r="AN9" s="14">
        <v>0.14340428819384399</v>
      </c>
      <c r="AO9" s="14"/>
      <c r="AP9" s="14">
        <v>0.28917554791606898</v>
      </c>
      <c r="AQ9" s="14">
        <v>0.171090097641938</v>
      </c>
      <c r="AR9" s="14"/>
      <c r="AS9" s="14" t="s">
        <v>88</v>
      </c>
      <c r="AT9" s="14" t="s">
        <v>88</v>
      </c>
      <c r="AU9" s="14">
        <v>0.23682646800823501</v>
      </c>
      <c r="AV9" s="14"/>
      <c r="AW9" s="14">
        <v>0.21788205747786901</v>
      </c>
      <c r="AX9" s="14">
        <v>0.36812943045329499</v>
      </c>
      <c r="AY9" s="14"/>
      <c r="AZ9" s="14">
        <v>0.25429654852158701</v>
      </c>
      <c r="BA9" s="14">
        <v>0.15866687571910401</v>
      </c>
    </row>
    <row r="10" spans="2:53" x14ac:dyDescent="0.35">
      <c r="B10" s="15" t="s">
        <v>221</v>
      </c>
      <c r="C10" s="14">
        <v>0.51083447101697799</v>
      </c>
      <c r="D10" s="14">
        <v>0.52281718049641701</v>
      </c>
      <c r="E10" s="14">
        <v>0.49863887826053199</v>
      </c>
      <c r="F10" s="14"/>
      <c r="G10" s="14">
        <v>0</v>
      </c>
      <c r="H10" s="14">
        <v>0.48630418304449102</v>
      </c>
      <c r="I10" s="14">
        <v>0.51002034512653605</v>
      </c>
      <c r="J10" s="14">
        <v>0.51790668288285102</v>
      </c>
      <c r="K10" s="14">
        <v>0.51638070806566405</v>
      </c>
      <c r="L10" s="14">
        <v>0.51797346218814999</v>
      </c>
      <c r="M10" s="14"/>
      <c r="N10" s="14">
        <v>0.48753357180449802</v>
      </c>
      <c r="O10" s="14">
        <v>0.55373857779458702</v>
      </c>
      <c r="P10" s="14">
        <v>0.49422494741531803</v>
      </c>
      <c r="Q10" s="14">
        <v>0.51843271221679599</v>
      </c>
      <c r="R10" s="14"/>
      <c r="S10" s="14">
        <v>0.49411697918192699</v>
      </c>
      <c r="T10" s="14">
        <v>0.54336663037327904</v>
      </c>
      <c r="U10" s="14">
        <v>0.50132098941043801</v>
      </c>
      <c r="V10" s="14">
        <v>0.44245486505113202</v>
      </c>
      <c r="W10" s="14">
        <v>0.57514127202174403</v>
      </c>
      <c r="X10" s="14">
        <v>0.50715997035893701</v>
      </c>
      <c r="Y10" s="14">
        <v>0.47223439069117001</v>
      </c>
      <c r="Z10" s="14">
        <v>0.52262525042183405</v>
      </c>
      <c r="AA10" s="14">
        <v>0.53265392528344502</v>
      </c>
      <c r="AB10" s="14"/>
      <c r="AC10" s="14">
        <v>0.49389480307161998</v>
      </c>
      <c r="AD10" s="14">
        <v>0.57374370872556302</v>
      </c>
      <c r="AE10" s="14">
        <v>0.55980053929893903</v>
      </c>
      <c r="AF10" s="14">
        <v>0.45043134650718197</v>
      </c>
      <c r="AG10" s="14">
        <v>0.42549106975733297</v>
      </c>
      <c r="AH10" s="14"/>
      <c r="AI10" s="14">
        <v>0.53340161473408498</v>
      </c>
      <c r="AJ10" s="14">
        <v>0.51646423687169896</v>
      </c>
      <c r="AK10" s="14">
        <v>0.50536571314163903</v>
      </c>
      <c r="AL10" s="14">
        <v>0.53052487190066899</v>
      </c>
      <c r="AM10" s="14">
        <v>0.40300340768715898</v>
      </c>
      <c r="AN10" s="14">
        <v>0.539061178487941</v>
      </c>
      <c r="AO10" s="14"/>
      <c r="AP10" s="14">
        <v>0.499679742348491</v>
      </c>
      <c r="AQ10" s="14">
        <v>0.52725506240869102</v>
      </c>
      <c r="AR10" s="14"/>
      <c r="AS10" s="14" t="s">
        <v>88</v>
      </c>
      <c r="AT10" s="14" t="s">
        <v>88</v>
      </c>
      <c r="AU10" s="14">
        <v>0.51083447101697799</v>
      </c>
      <c r="AV10" s="14"/>
      <c r="AW10" s="14">
        <v>0.52246572291190596</v>
      </c>
      <c r="AX10" s="14">
        <v>0.48567776213115599</v>
      </c>
      <c r="AY10" s="14"/>
      <c r="AZ10" s="14">
        <v>0.52215992424570101</v>
      </c>
      <c r="BA10" s="14">
        <v>0.45596376198770699</v>
      </c>
    </row>
    <row r="11" spans="2:53" x14ac:dyDescent="0.35">
      <c r="B11" s="15" t="s">
        <v>222</v>
      </c>
      <c r="C11" s="14">
        <v>0.146111344936663</v>
      </c>
      <c r="D11" s="14">
        <v>0.111698344337629</v>
      </c>
      <c r="E11" s="14">
        <v>0.181135722482763</v>
      </c>
      <c r="F11" s="14"/>
      <c r="G11" s="14">
        <v>1</v>
      </c>
      <c r="H11" s="14">
        <v>0.13027457742825399</v>
      </c>
      <c r="I11" s="14">
        <v>0.133368082985659</v>
      </c>
      <c r="J11" s="14">
        <v>0.161285058422595</v>
      </c>
      <c r="K11" s="14">
        <v>0.14555650893828401</v>
      </c>
      <c r="L11" s="14">
        <v>6.3641763619969496E-2</v>
      </c>
      <c r="M11" s="14"/>
      <c r="N11" s="14">
        <v>0.11393329140406599</v>
      </c>
      <c r="O11" s="14">
        <v>0.14227611468486001</v>
      </c>
      <c r="P11" s="14">
        <v>0.16104982054063799</v>
      </c>
      <c r="Q11" s="14">
        <v>0.176659854989584</v>
      </c>
      <c r="R11" s="14"/>
      <c r="S11" s="14">
        <v>0.10321558569465999</v>
      </c>
      <c r="T11" s="14">
        <v>0.164427541858154</v>
      </c>
      <c r="U11" s="14">
        <v>0.11618190311964301</v>
      </c>
      <c r="V11" s="14">
        <v>0.117612823210528</v>
      </c>
      <c r="W11" s="14">
        <v>0.13871841642630101</v>
      </c>
      <c r="X11" s="14">
        <v>0.19532618936082899</v>
      </c>
      <c r="Y11" s="14">
        <v>0.184674196969902</v>
      </c>
      <c r="Z11" s="14">
        <v>0.16577028801844801</v>
      </c>
      <c r="AA11" s="14">
        <v>0.15727045763999301</v>
      </c>
      <c r="AB11" s="14"/>
      <c r="AC11" s="14">
        <v>0.169367911832004</v>
      </c>
      <c r="AD11" s="14">
        <v>0.15879162329822</v>
      </c>
      <c r="AE11" s="14">
        <v>0.13850716873337901</v>
      </c>
      <c r="AF11" s="14">
        <v>0.11810097066693399</v>
      </c>
      <c r="AG11" s="14">
        <v>0.13793829546311001</v>
      </c>
      <c r="AH11" s="14"/>
      <c r="AI11" s="14">
        <v>0.113662646647902</v>
      </c>
      <c r="AJ11" s="14">
        <v>0.12326045860932899</v>
      </c>
      <c r="AK11" s="14">
        <v>0.15077444871899501</v>
      </c>
      <c r="AL11" s="14">
        <v>0.151356409760521</v>
      </c>
      <c r="AM11" s="14">
        <v>0.27503764076235598</v>
      </c>
      <c r="AN11" s="14">
        <v>0.15144533762031401</v>
      </c>
      <c r="AO11" s="14"/>
      <c r="AP11" s="14">
        <v>0.102838400850063</v>
      </c>
      <c r="AQ11" s="14">
        <v>0.20079414128435399</v>
      </c>
      <c r="AR11" s="14"/>
      <c r="AS11" s="14" t="s">
        <v>88</v>
      </c>
      <c r="AT11" s="14" t="s">
        <v>88</v>
      </c>
      <c r="AU11" s="14">
        <v>0.146111344936663</v>
      </c>
      <c r="AV11" s="14"/>
      <c r="AW11" s="14">
        <v>0.144142882398022</v>
      </c>
      <c r="AX11" s="14">
        <v>0.10067732189749901</v>
      </c>
      <c r="AY11" s="14"/>
      <c r="AZ11" s="14">
        <v>0.13157936403607701</v>
      </c>
      <c r="BA11" s="14">
        <v>0.21336922196386199</v>
      </c>
    </row>
    <row r="12" spans="2:53" x14ac:dyDescent="0.35">
      <c r="B12" s="15" t="s">
        <v>223</v>
      </c>
      <c r="C12" s="14">
        <v>1.21130825618393E-2</v>
      </c>
      <c r="D12" s="14">
        <v>5.8448121953427103E-3</v>
      </c>
      <c r="E12" s="14">
        <v>1.8492714214284299E-2</v>
      </c>
      <c r="F12" s="14"/>
      <c r="G12" s="14">
        <v>0</v>
      </c>
      <c r="H12" s="14">
        <v>0</v>
      </c>
      <c r="I12" s="14">
        <v>2.8173911799935801E-2</v>
      </c>
      <c r="J12" s="14">
        <v>2.13255608681037E-3</v>
      </c>
      <c r="K12" s="14">
        <v>0</v>
      </c>
      <c r="L12" s="14">
        <v>0</v>
      </c>
      <c r="M12" s="14"/>
      <c r="N12" s="14">
        <v>6.8224257753852604E-3</v>
      </c>
      <c r="O12" s="14">
        <v>1.8912416097662098E-2</v>
      </c>
      <c r="P12" s="14">
        <v>1.7690144286580198E-2</v>
      </c>
      <c r="Q12" s="14">
        <v>5.8432124393479499E-3</v>
      </c>
      <c r="R12" s="14"/>
      <c r="S12" s="14">
        <v>9.6393076664278692E-3</v>
      </c>
      <c r="T12" s="14">
        <v>0</v>
      </c>
      <c r="U12" s="14">
        <v>0</v>
      </c>
      <c r="V12" s="14">
        <v>1.39567358266633E-2</v>
      </c>
      <c r="W12" s="14">
        <v>1.4739172506804E-2</v>
      </c>
      <c r="X12" s="14">
        <v>1.37828873083977E-2</v>
      </c>
      <c r="Y12" s="14">
        <v>6.8696291055587904E-3</v>
      </c>
      <c r="Z12" s="14">
        <v>2.7221731739068201E-2</v>
      </c>
      <c r="AA12" s="14">
        <v>3.12067182040652E-2</v>
      </c>
      <c r="AB12" s="14"/>
      <c r="AC12" s="14">
        <v>7.7935109011013403E-3</v>
      </c>
      <c r="AD12" s="14">
        <v>5.9921718254742004E-3</v>
      </c>
      <c r="AE12" s="14">
        <v>8.5846526690197406E-3</v>
      </c>
      <c r="AF12" s="14">
        <v>1.3816272352766799E-2</v>
      </c>
      <c r="AG12" s="14">
        <v>0</v>
      </c>
      <c r="AH12" s="14"/>
      <c r="AI12" s="14">
        <v>1.67394623066538E-2</v>
      </c>
      <c r="AJ12" s="14">
        <v>8.1490157586216992E-3</v>
      </c>
      <c r="AK12" s="14">
        <v>0</v>
      </c>
      <c r="AL12" s="14">
        <v>4.2497222614585302E-3</v>
      </c>
      <c r="AM12" s="14">
        <v>2.3541132138438801E-2</v>
      </c>
      <c r="AN12" s="14">
        <v>0</v>
      </c>
      <c r="AO12" s="14"/>
      <c r="AP12" s="14">
        <v>1.3325267086932401E-2</v>
      </c>
      <c r="AQ12" s="14">
        <v>1.0660899110221099E-2</v>
      </c>
      <c r="AR12" s="14"/>
      <c r="AS12" s="14" t="s">
        <v>88</v>
      </c>
      <c r="AT12" s="14" t="s">
        <v>88</v>
      </c>
      <c r="AU12" s="14">
        <v>1.21130825618393E-2</v>
      </c>
      <c r="AV12" s="14"/>
      <c r="AW12" s="14">
        <v>1.2634925563837799E-2</v>
      </c>
      <c r="AX12" s="14">
        <v>7.7211322503758202E-3</v>
      </c>
      <c r="AY12" s="14"/>
      <c r="AZ12" s="14">
        <v>8.0596086939655493E-3</v>
      </c>
      <c r="BA12" s="14">
        <v>3.0686388158930301E-2</v>
      </c>
    </row>
    <row r="13" spans="2:53" x14ac:dyDescent="0.35">
      <c r="B13" s="15" t="s">
        <v>116</v>
      </c>
      <c r="C13" s="18">
        <v>3.0464478744186799E-2</v>
      </c>
      <c r="D13" s="18">
        <v>1.68125288659253E-2</v>
      </c>
      <c r="E13" s="18">
        <v>4.4358967409906101E-2</v>
      </c>
      <c r="F13" s="18"/>
      <c r="G13" s="18">
        <v>0</v>
      </c>
      <c r="H13" s="18">
        <v>0</v>
      </c>
      <c r="I13" s="18">
        <v>5.0059491513818298E-2</v>
      </c>
      <c r="J13" s="18">
        <v>2.7558448577983799E-2</v>
      </c>
      <c r="K13" s="18">
        <v>0</v>
      </c>
      <c r="L13" s="18">
        <v>0</v>
      </c>
      <c r="M13" s="18"/>
      <c r="N13" s="18">
        <v>1.9501438456204001E-2</v>
      </c>
      <c r="O13" s="18">
        <v>2.8211880148062501E-2</v>
      </c>
      <c r="P13" s="18">
        <v>3.9128724370978002E-2</v>
      </c>
      <c r="Q13" s="18">
        <v>3.9237869122640497E-2</v>
      </c>
      <c r="R13" s="18"/>
      <c r="S13" s="18">
        <v>1.4706265273221501E-2</v>
      </c>
      <c r="T13" s="18">
        <v>2.8086212177037901E-2</v>
      </c>
      <c r="U13" s="18">
        <v>6.0308071108571802E-2</v>
      </c>
      <c r="V13" s="18">
        <v>4.5927964358538E-2</v>
      </c>
      <c r="W13" s="18">
        <v>3.4242155903357399E-2</v>
      </c>
      <c r="X13" s="18">
        <v>0</v>
      </c>
      <c r="Y13" s="18">
        <v>3.6302849460121203E-2</v>
      </c>
      <c r="Z13" s="18">
        <v>1.45998125387597E-2</v>
      </c>
      <c r="AA13" s="18">
        <v>4.0332960660434999E-2</v>
      </c>
      <c r="AB13" s="18"/>
      <c r="AC13" s="18">
        <v>4.0421011616018097E-2</v>
      </c>
      <c r="AD13" s="18">
        <v>2.66225553064902E-2</v>
      </c>
      <c r="AE13" s="18">
        <v>1.8692761769956899E-2</v>
      </c>
      <c r="AF13" s="18">
        <v>1.7974125200845899E-2</v>
      </c>
      <c r="AG13" s="18">
        <v>0</v>
      </c>
      <c r="AH13" s="18"/>
      <c r="AI13" s="18">
        <v>2.5326380436819899E-2</v>
      </c>
      <c r="AJ13" s="18">
        <v>1.2833581529117099E-2</v>
      </c>
      <c r="AK13" s="18">
        <v>4.71654151115736E-2</v>
      </c>
      <c r="AL13" s="18">
        <v>2.1823444910411199E-2</v>
      </c>
      <c r="AM13" s="18">
        <v>1.4701863184440601E-2</v>
      </c>
      <c r="AN13" s="18">
        <v>7.5633700498525205E-2</v>
      </c>
      <c r="AO13" s="18"/>
      <c r="AP13" s="18">
        <v>2.4297547284795301E-2</v>
      </c>
      <c r="AQ13" s="18">
        <v>3.8304825669800598E-2</v>
      </c>
      <c r="AR13" s="18"/>
      <c r="AS13" s="18" t="s">
        <v>88</v>
      </c>
      <c r="AT13" s="18" t="s">
        <v>88</v>
      </c>
      <c r="AU13" s="18">
        <v>3.0464478744186799E-2</v>
      </c>
      <c r="AV13" s="18"/>
      <c r="AW13" s="18">
        <v>3.3414466247472303E-2</v>
      </c>
      <c r="AX13" s="18">
        <v>0</v>
      </c>
      <c r="AY13" s="18"/>
      <c r="AZ13" s="18">
        <v>2.1204359360084801E-2</v>
      </c>
      <c r="BA13" s="18">
        <v>7.2913258978020701E-2</v>
      </c>
    </row>
    <row r="14" spans="2:53" x14ac:dyDescent="0.35">
      <c r="B14" s="26" t="s">
        <v>224</v>
      </c>
      <c r="C14" s="27">
        <v>0.74766093902521202</v>
      </c>
      <c r="D14" s="27">
        <v>0.80089451591679695</v>
      </c>
      <c r="E14" s="27">
        <v>0.69348162124632196</v>
      </c>
      <c r="F14" s="27"/>
      <c r="G14" s="27">
        <v>0</v>
      </c>
      <c r="H14" s="27">
        <v>0.81439189488367103</v>
      </c>
      <c r="I14" s="27">
        <v>0.74352704747424703</v>
      </c>
      <c r="J14" s="27">
        <v>0.73159159617795</v>
      </c>
      <c r="K14" s="27">
        <v>0.75635575912045105</v>
      </c>
      <c r="L14" s="27">
        <v>0.93635823638003102</v>
      </c>
      <c r="M14" s="27"/>
      <c r="N14" s="27">
        <v>0.78118740866644698</v>
      </c>
      <c r="O14" s="27">
        <v>0.74577933312706302</v>
      </c>
      <c r="P14" s="27">
        <v>0.72144133810278999</v>
      </c>
      <c r="Q14" s="27">
        <v>0.73287652785146395</v>
      </c>
      <c r="R14" s="27"/>
      <c r="S14" s="27">
        <v>0.83791297824959698</v>
      </c>
      <c r="T14" s="27">
        <v>0.75239712749899301</v>
      </c>
      <c r="U14" s="27">
        <v>0.70259617510214001</v>
      </c>
      <c r="V14" s="27">
        <v>0.75310363341398801</v>
      </c>
      <c r="W14" s="27">
        <v>0.73257399209843899</v>
      </c>
      <c r="X14" s="27">
        <v>0.74196682560670102</v>
      </c>
      <c r="Y14" s="27">
        <v>0.69665101852562605</v>
      </c>
      <c r="Z14" s="27">
        <v>0.71216129026720498</v>
      </c>
      <c r="AA14" s="27">
        <v>0.72567973865419</v>
      </c>
      <c r="AB14" s="27"/>
      <c r="AC14" s="27">
        <v>0.70797455978671198</v>
      </c>
      <c r="AD14" s="27">
        <v>0.76670869875007897</v>
      </c>
      <c r="AE14" s="27">
        <v>0.76665034411850297</v>
      </c>
      <c r="AF14" s="27">
        <v>0.80019554584569497</v>
      </c>
      <c r="AG14" s="27">
        <v>0.83892504200039397</v>
      </c>
      <c r="AH14" s="27"/>
      <c r="AI14" s="27">
        <v>0.79498123436945201</v>
      </c>
      <c r="AJ14" s="27">
        <v>0.78847831854274697</v>
      </c>
      <c r="AK14" s="27">
        <v>0.72406715987537995</v>
      </c>
      <c r="AL14" s="27">
        <v>0.73945420535416895</v>
      </c>
      <c r="AM14" s="27">
        <v>0.60853841229554795</v>
      </c>
      <c r="AN14" s="27">
        <v>0.68246546668178498</v>
      </c>
      <c r="AO14" s="27"/>
      <c r="AP14" s="27">
        <v>0.78885529026456003</v>
      </c>
      <c r="AQ14" s="27">
        <v>0.69834516005062897</v>
      </c>
      <c r="AR14" s="27"/>
      <c r="AS14" s="27" t="s">
        <v>88</v>
      </c>
      <c r="AT14" s="27" t="s">
        <v>88</v>
      </c>
      <c r="AU14" s="27">
        <v>0.74766093902521202</v>
      </c>
      <c r="AV14" s="27"/>
      <c r="AW14" s="27">
        <v>0.740347780389775</v>
      </c>
      <c r="AX14" s="27">
        <v>0.85380719258445104</v>
      </c>
      <c r="AY14" s="27"/>
      <c r="AZ14" s="27">
        <v>0.77645647276728802</v>
      </c>
      <c r="BA14" s="27">
        <v>0.61463063770681103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B2:BA18"/>
  <sheetViews>
    <sheetView showGridLines="0" workbookViewId="0">
      <pane xSplit="2" topLeftCell="C1" activePane="topRight" state="frozen"/>
      <selection pane="topRight" activeCell="D16" sqref="D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927</v>
      </c>
      <c r="D7" s="10">
        <v>390</v>
      </c>
      <c r="E7" s="10">
        <v>537</v>
      </c>
      <c r="F7" s="10"/>
      <c r="G7" s="10">
        <v>2</v>
      </c>
      <c r="H7" s="10">
        <v>79</v>
      </c>
      <c r="I7" s="10">
        <v>390</v>
      </c>
      <c r="J7" s="10">
        <v>333</v>
      </c>
      <c r="K7" s="10">
        <v>107</v>
      </c>
      <c r="L7" s="10">
        <v>16</v>
      </c>
      <c r="M7" s="10"/>
      <c r="N7" s="10">
        <v>441</v>
      </c>
      <c r="O7" s="10">
        <v>210</v>
      </c>
      <c r="P7" s="10">
        <v>138</v>
      </c>
      <c r="Q7" s="10">
        <v>136</v>
      </c>
      <c r="R7" s="10"/>
      <c r="S7" s="10">
        <v>181</v>
      </c>
      <c r="T7" s="10">
        <v>135</v>
      </c>
      <c r="U7" s="10">
        <v>74</v>
      </c>
      <c r="V7" s="10">
        <v>83</v>
      </c>
      <c r="W7" s="10">
        <v>75</v>
      </c>
      <c r="X7" s="10">
        <v>107</v>
      </c>
      <c r="Y7" s="10">
        <v>91</v>
      </c>
      <c r="Z7" s="10">
        <v>54</v>
      </c>
      <c r="AA7" s="10">
        <v>127</v>
      </c>
      <c r="AB7" s="10"/>
      <c r="AC7" s="10">
        <v>150</v>
      </c>
      <c r="AD7" s="10">
        <v>166</v>
      </c>
      <c r="AE7" s="10">
        <v>291</v>
      </c>
      <c r="AF7" s="10">
        <v>179</v>
      </c>
      <c r="AG7" s="10">
        <v>44</v>
      </c>
      <c r="AH7" s="10"/>
      <c r="AI7" s="10">
        <v>343</v>
      </c>
      <c r="AJ7" s="10">
        <v>179</v>
      </c>
      <c r="AK7" s="10">
        <v>94</v>
      </c>
      <c r="AL7" s="10">
        <v>132</v>
      </c>
      <c r="AM7" s="10">
        <v>49</v>
      </c>
      <c r="AN7" s="10">
        <v>57</v>
      </c>
      <c r="AO7" s="10"/>
      <c r="AP7" s="10">
        <v>516</v>
      </c>
      <c r="AQ7" s="10">
        <v>409</v>
      </c>
      <c r="AR7" s="10"/>
      <c r="AS7" s="10" t="s">
        <v>87</v>
      </c>
      <c r="AT7" s="10" t="s">
        <v>87</v>
      </c>
      <c r="AU7" s="10">
        <v>927</v>
      </c>
      <c r="AV7" s="10"/>
      <c r="AW7" s="10">
        <v>660</v>
      </c>
      <c r="AX7" s="10">
        <v>199</v>
      </c>
      <c r="AY7" s="10"/>
      <c r="AZ7" s="10">
        <v>766</v>
      </c>
      <c r="BA7" s="10">
        <v>160</v>
      </c>
    </row>
    <row r="8" spans="2:53" ht="30" customHeight="1" x14ac:dyDescent="0.35">
      <c r="B8" s="11" t="s">
        <v>19</v>
      </c>
      <c r="C8" s="11">
        <v>901</v>
      </c>
      <c r="D8" s="11">
        <v>455</v>
      </c>
      <c r="E8" s="11">
        <v>447</v>
      </c>
      <c r="F8" s="11"/>
      <c r="G8" s="11">
        <v>2</v>
      </c>
      <c r="H8" s="11">
        <v>68</v>
      </c>
      <c r="I8" s="11">
        <v>362</v>
      </c>
      <c r="J8" s="11">
        <v>339</v>
      </c>
      <c r="K8" s="11">
        <v>113</v>
      </c>
      <c r="L8" s="11">
        <v>17</v>
      </c>
      <c r="M8" s="11"/>
      <c r="N8" s="11">
        <v>272</v>
      </c>
      <c r="O8" s="11">
        <v>221</v>
      </c>
      <c r="P8" s="11">
        <v>212</v>
      </c>
      <c r="Q8" s="11">
        <v>194</v>
      </c>
      <c r="R8" s="11"/>
      <c r="S8" s="11">
        <v>147</v>
      </c>
      <c r="T8" s="11">
        <v>142</v>
      </c>
      <c r="U8" s="11">
        <v>91</v>
      </c>
      <c r="V8" s="11">
        <v>96</v>
      </c>
      <c r="W8" s="11">
        <v>85</v>
      </c>
      <c r="X8" s="11">
        <v>89</v>
      </c>
      <c r="Y8" s="11">
        <v>80</v>
      </c>
      <c r="Z8" s="11">
        <v>52</v>
      </c>
      <c r="AA8" s="11">
        <v>119</v>
      </c>
      <c r="AB8" s="11"/>
      <c r="AC8" s="11">
        <v>183</v>
      </c>
      <c r="AD8" s="11">
        <v>190</v>
      </c>
      <c r="AE8" s="11">
        <v>267</v>
      </c>
      <c r="AF8" s="11">
        <v>128</v>
      </c>
      <c r="AG8" s="11">
        <v>23</v>
      </c>
      <c r="AH8" s="11"/>
      <c r="AI8" s="11">
        <v>319</v>
      </c>
      <c r="AJ8" s="11">
        <v>165</v>
      </c>
      <c r="AK8" s="11">
        <v>83</v>
      </c>
      <c r="AL8" s="11">
        <v>144</v>
      </c>
      <c r="AM8" s="11">
        <v>48</v>
      </c>
      <c r="AN8" s="11">
        <v>61</v>
      </c>
      <c r="AO8" s="11"/>
      <c r="AP8" s="11">
        <v>499</v>
      </c>
      <c r="AQ8" s="11">
        <v>400</v>
      </c>
      <c r="AR8" s="11"/>
      <c r="AS8" s="11" t="s">
        <v>87</v>
      </c>
      <c r="AT8" s="11" t="s">
        <v>87</v>
      </c>
      <c r="AU8" s="11">
        <v>901</v>
      </c>
      <c r="AV8" s="11"/>
      <c r="AW8" s="11">
        <v>661</v>
      </c>
      <c r="AX8" s="11">
        <v>161</v>
      </c>
      <c r="AY8" s="11"/>
      <c r="AZ8" s="11">
        <v>739</v>
      </c>
      <c r="BA8" s="11">
        <v>162</v>
      </c>
    </row>
    <row r="9" spans="2:53" x14ac:dyDescent="0.35">
      <c r="B9" s="15" t="s">
        <v>226</v>
      </c>
      <c r="C9" s="14">
        <v>0.18018540036144901</v>
      </c>
      <c r="D9" s="14">
        <v>0.22529880939383701</v>
      </c>
      <c r="E9" s="14">
        <v>0.13427051230061701</v>
      </c>
      <c r="F9" s="14"/>
      <c r="G9" s="14">
        <v>0</v>
      </c>
      <c r="H9" s="14">
        <v>0.25353840649020998</v>
      </c>
      <c r="I9" s="14">
        <v>0.198461853472953</v>
      </c>
      <c r="J9" s="14">
        <v>0.158952600702432</v>
      </c>
      <c r="K9" s="14">
        <v>0.145798967306981</v>
      </c>
      <c r="L9" s="14">
        <v>0.176809378576189</v>
      </c>
      <c r="M9" s="14"/>
      <c r="N9" s="14">
        <v>0.20848189090164801</v>
      </c>
      <c r="O9" s="14">
        <v>0.16536889006913999</v>
      </c>
      <c r="P9" s="14">
        <v>0.18056801319514201</v>
      </c>
      <c r="Q9" s="14">
        <v>0.15893699400546099</v>
      </c>
      <c r="R9" s="14"/>
      <c r="S9" s="14">
        <v>0.30432454069157699</v>
      </c>
      <c r="T9" s="14">
        <v>0.13376715976629999</v>
      </c>
      <c r="U9" s="14">
        <v>0.13542899365243699</v>
      </c>
      <c r="V9" s="14">
        <v>0.24121178215262501</v>
      </c>
      <c r="W9" s="14">
        <v>0.171970257641233</v>
      </c>
      <c r="X9" s="14">
        <v>0.122040100634112</v>
      </c>
      <c r="Y9" s="14">
        <v>0.13636399267782401</v>
      </c>
      <c r="Z9" s="14">
        <v>0.22961561407249301</v>
      </c>
      <c r="AA9" s="14">
        <v>0.124558816412579</v>
      </c>
      <c r="AB9" s="14"/>
      <c r="AC9" s="14">
        <v>0.15619092492332101</v>
      </c>
      <c r="AD9" s="14">
        <v>0.151789926011348</v>
      </c>
      <c r="AE9" s="14">
        <v>0.15701929245249699</v>
      </c>
      <c r="AF9" s="14">
        <v>0.29118418122609102</v>
      </c>
      <c r="AG9" s="14">
        <v>0.41327246000032603</v>
      </c>
      <c r="AH9" s="14"/>
      <c r="AI9" s="14">
        <v>0.230638848705637</v>
      </c>
      <c r="AJ9" s="14">
        <v>0.212243376462044</v>
      </c>
      <c r="AK9" s="14">
        <v>0.15687534435436501</v>
      </c>
      <c r="AL9" s="14">
        <v>0.12771285889251699</v>
      </c>
      <c r="AM9" s="14">
        <v>0.176622857600647</v>
      </c>
      <c r="AN9" s="14">
        <v>3.49531674507636E-2</v>
      </c>
      <c r="AO9" s="14"/>
      <c r="AP9" s="14">
        <v>0.209130514089655</v>
      </c>
      <c r="AQ9" s="14">
        <v>0.14335744290159499</v>
      </c>
      <c r="AR9" s="14"/>
      <c r="AS9" s="14" t="s">
        <v>88</v>
      </c>
      <c r="AT9" s="14" t="s">
        <v>88</v>
      </c>
      <c r="AU9" s="14">
        <v>0.18018540036144901</v>
      </c>
      <c r="AV9" s="14"/>
      <c r="AW9" s="14">
        <v>0.16195147391784101</v>
      </c>
      <c r="AX9" s="14">
        <v>0.28717427976458798</v>
      </c>
      <c r="AY9" s="14"/>
      <c r="AZ9" s="14">
        <v>0.20289923091418499</v>
      </c>
      <c r="BA9" s="14">
        <v>7.7730722946599107E-2</v>
      </c>
    </row>
    <row r="10" spans="2:53" x14ac:dyDescent="0.35">
      <c r="B10" s="15" t="s">
        <v>227</v>
      </c>
      <c r="C10" s="14">
        <v>0.39638562183943798</v>
      </c>
      <c r="D10" s="14">
        <v>0.449788703397627</v>
      </c>
      <c r="E10" s="14">
        <v>0.34203378799581502</v>
      </c>
      <c r="F10" s="14"/>
      <c r="G10" s="14">
        <v>0</v>
      </c>
      <c r="H10" s="14">
        <v>0.42171435453344902</v>
      </c>
      <c r="I10" s="14">
        <v>0.40243377452196</v>
      </c>
      <c r="J10" s="14">
        <v>0.378603754987411</v>
      </c>
      <c r="K10" s="14">
        <v>0.41401927027443802</v>
      </c>
      <c r="L10" s="14">
        <v>0.45860409508916899</v>
      </c>
      <c r="M10" s="14"/>
      <c r="N10" s="14">
        <v>0.411864182167679</v>
      </c>
      <c r="O10" s="14">
        <v>0.383258369482946</v>
      </c>
      <c r="P10" s="14">
        <v>0.41559000705495602</v>
      </c>
      <c r="Q10" s="14">
        <v>0.366218057221399</v>
      </c>
      <c r="R10" s="14"/>
      <c r="S10" s="14">
        <v>0.41060477260133699</v>
      </c>
      <c r="T10" s="14">
        <v>0.42877660654898198</v>
      </c>
      <c r="U10" s="14">
        <v>0.36508215272525302</v>
      </c>
      <c r="V10" s="14">
        <v>0.31358792804487601</v>
      </c>
      <c r="W10" s="14">
        <v>0.347818452178632</v>
      </c>
      <c r="X10" s="14">
        <v>0.44642709421861099</v>
      </c>
      <c r="Y10" s="14">
        <v>0.41277583250223099</v>
      </c>
      <c r="Z10" s="14">
        <v>0.35228473165840501</v>
      </c>
      <c r="AA10" s="14">
        <v>0.436806458690017</v>
      </c>
      <c r="AB10" s="14"/>
      <c r="AC10" s="14">
        <v>0.36586321740930799</v>
      </c>
      <c r="AD10" s="14">
        <v>0.41602383375093799</v>
      </c>
      <c r="AE10" s="14">
        <v>0.42011443431553103</v>
      </c>
      <c r="AF10" s="14">
        <v>0.46093013568216801</v>
      </c>
      <c r="AG10" s="14">
        <v>0.392588934708896</v>
      </c>
      <c r="AH10" s="14"/>
      <c r="AI10" s="14">
        <v>0.405919912393848</v>
      </c>
      <c r="AJ10" s="14">
        <v>0.42831994420956798</v>
      </c>
      <c r="AK10" s="14">
        <v>0.40662226458126799</v>
      </c>
      <c r="AL10" s="14">
        <v>0.43146545978329398</v>
      </c>
      <c r="AM10" s="14">
        <v>0.24076613805977801</v>
      </c>
      <c r="AN10" s="14">
        <v>0.405835603388217</v>
      </c>
      <c r="AO10" s="14"/>
      <c r="AP10" s="14">
        <v>0.421109908759773</v>
      </c>
      <c r="AQ10" s="14">
        <v>0.36749981683331601</v>
      </c>
      <c r="AR10" s="14"/>
      <c r="AS10" s="14" t="s">
        <v>88</v>
      </c>
      <c r="AT10" s="14" t="s">
        <v>88</v>
      </c>
      <c r="AU10" s="14">
        <v>0.39638562183943798</v>
      </c>
      <c r="AV10" s="14"/>
      <c r="AW10" s="14">
        <v>0.39161091264627301</v>
      </c>
      <c r="AX10" s="14">
        <v>0.45722558159094401</v>
      </c>
      <c r="AY10" s="14"/>
      <c r="AZ10" s="14">
        <v>0.40764752284489397</v>
      </c>
      <c r="BA10" s="14">
        <v>0.341056659466905</v>
      </c>
    </row>
    <row r="11" spans="2:53" x14ac:dyDescent="0.35">
      <c r="B11" s="15" t="s">
        <v>228</v>
      </c>
      <c r="C11" s="14">
        <v>0.252790457426458</v>
      </c>
      <c r="D11" s="14">
        <v>0.20213847746511299</v>
      </c>
      <c r="E11" s="14">
        <v>0.30434231395574501</v>
      </c>
      <c r="F11" s="14"/>
      <c r="G11" s="14">
        <v>0.46244813625315101</v>
      </c>
      <c r="H11" s="14">
        <v>0.24961645753647699</v>
      </c>
      <c r="I11" s="14">
        <v>0.23873769166417</v>
      </c>
      <c r="J11" s="14">
        <v>0.27258083611093098</v>
      </c>
      <c r="K11" s="14">
        <v>0.219416581657953</v>
      </c>
      <c r="L11" s="14">
        <v>0.364586526334642</v>
      </c>
      <c r="M11" s="14"/>
      <c r="N11" s="14">
        <v>0.20575176941609999</v>
      </c>
      <c r="O11" s="14">
        <v>0.27016757002735903</v>
      </c>
      <c r="P11" s="14">
        <v>0.25252319829575098</v>
      </c>
      <c r="Q11" s="14">
        <v>0.29782176401327998</v>
      </c>
      <c r="R11" s="14"/>
      <c r="S11" s="14">
        <v>0.15791273048309201</v>
      </c>
      <c r="T11" s="14">
        <v>0.23697127698786699</v>
      </c>
      <c r="U11" s="14">
        <v>0.38002259478832201</v>
      </c>
      <c r="V11" s="14">
        <v>0.26724876385140101</v>
      </c>
      <c r="W11" s="14">
        <v>0.302887445239507</v>
      </c>
      <c r="X11" s="14">
        <v>0.221203617230184</v>
      </c>
      <c r="Y11" s="14">
        <v>0.30823428856745999</v>
      </c>
      <c r="Z11" s="14">
        <v>0.21575775291041799</v>
      </c>
      <c r="AA11" s="14">
        <v>0.246084724185516</v>
      </c>
      <c r="AB11" s="14"/>
      <c r="AC11" s="14">
        <v>0.30590968237803401</v>
      </c>
      <c r="AD11" s="14">
        <v>0.26462033843986199</v>
      </c>
      <c r="AE11" s="14">
        <v>0.25655788563118798</v>
      </c>
      <c r="AF11" s="14">
        <v>0.132089614372843</v>
      </c>
      <c r="AG11" s="14">
        <v>6.0628906643178403E-2</v>
      </c>
      <c r="AH11" s="14"/>
      <c r="AI11" s="14">
        <v>0.21380653121099299</v>
      </c>
      <c r="AJ11" s="14">
        <v>0.22794895957237901</v>
      </c>
      <c r="AK11" s="14">
        <v>0.18443459309776999</v>
      </c>
      <c r="AL11" s="14">
        <v>0.27200803236878102</v>
      </c>
      <c r="AM11" s="14">
        <v>0.31562474454594602</v>
      </c>
      <c r="AN11" s="14">
        <v>0.33034811810784698</v>
      </c>
      <c r="AO11" s="14"/>
      <c r="AP11" s="14">
        <v>0.23804215415968499</v>
      </c>
      <c r="AQ11" s="14">
        <v>0.27242477019609102</v>
      </c>
      <c r="AR11" s="14"/>
      <c r="AS11" s="14" t="s">
        <v>88</v>
      </c>
      <c r="AT11" s="14" t="s">
        <v>88</v>
      </c>
      <c r="AU11" s="14">
        <v>0.252790457426458</v>
      </c>
      <c r="AV11" s="14"/>
      <c r="AW11" s="14">
        <v>0.26743590533852202</v>
      </c>
      <c r="AX11" s="14">
        <v>0.159685919595392</v>
      </c>
      <c r="AY11" s="14"/>
      <c r="AZ11" s="14">
        <v>0.24354197345811501</v>
      </c>
      <c r="BA11" s="14">
        <v>0.29663961302658498</v>
      </c>
    </row>
    <row r="12" spans="2:53" x14ac:dyDescent="0.35">
      <c r="B12" s="15" t="s">
        <v>229</v>
      </c>
      <c r="C12" s="14">
        <v>9.7421045716472296E-2</v>
      </c>
      <c r="D12" s="14">
        <v>5.4509549267730703E-2</v>
      </c>
      <c r="E12" s="14">
        <v>0.14109490229761201</v>
      </c>
      <c r="F12" s="14"/>
      <c r="G12" s="14">
        <v>0.53755186374684905</v>
      </c>
      <c r="H12" s="14">
        <v>3.9424923316747303E-2</v>
      </c>
      <c r="I12" s="14">
        <v>9.1785450746817501E-2</v>
      </c>
      <c r="J12" s="14">
        <v>0.118992230002748</v>
      </c>
      <c r="K12" s="14">
        <v>9.0975357584469396E-2</v>
      </c>
      <c r="L12" s="14">
        <v>0</v>
      </c>
      <c r="M12" s="14"/>
      <c r="N12" s="14">
        <v>8.1900011921438795E-2</v>
      </c>
      <c r="O12" s="14">
        <v>9.7252952650111593E-2</v>
      </c>
      <c r="P12" s="14">
        <v>0.102465489500523</v>
      </c>
      <c r="Q12" s="14">
        <v>0.11488764990120499</v>
      </c>
      <c r="R12" s="14"/>
      <c r="S12" s="14">
        <v>8.6889439097600996E-2</v>
      </c>
      <c r="T12" s="14">
        <v>0.114278998933225</v>
      </c>
      <c r="U12" s="14">
        <v>4.0214306813018803E-2</v>
      </c>
      <c r="V12" s="14">
        <v>0.106010312540919</v>
      </c>
      <c r="W12" s="14">
        <v>9.4455575760561503E-2</v>
      </c>
      <c r="X12" s="14">
        <v>9.8788055817677703E-2</v>
      </c>
      <c r="Y12" s="14">
        <v>8.6826648245681703E-2</v>
      </c>
      <c r="Z12" s="14">
        <v>0.138477139830082</v>
      </c>
      <c r="AA12" s="14">
        <v>0.117448277834516</v>
      </c>
      <c r="AB12" s="14"/>
      <c r="AC12" s="14">
        <v>0.109934557431483</v>
      </c>
      <c r="AD12" s="14">
        <v>0.104592450587568</v>
      </c>
      <c r="AE12" s="14">
        <v>9.1860807335597303E-2</v>
      </c>
      <c r="AF12" s="14">
        <v>3.2473498788070203E-2</v>
      </c>
      <c r="AG12" s="14">
        <v>4.5106319502634398E-2</v>
      </c>
      <c r="AH12" s="14"/>
      <c r="AI12" s="14">
        <v>9.6905089860890498E-2</v>
      </c>
      <c r="AJ12" s="14">
        <v>4.67716317009155E-2</v>
      </c>
      <c r="AK12" s="14">
        <v>0.102573594967168</v>
      </c>
      <c r="AL12" s="14">
        <v>0.107353603194972</v>
      </c>
      <c r="AM12" s="14">
        <v>0.17200851705626</v>
      </c>
      <c r="AN12" s="14">
        <v>0.118648700279624</v>
      </c>
      <c r="AO12" s="14"/>
      <c r="AP12" s="14">
        <v>6.0430019513311499E-2</v>
      </c>
      <c r="AQ12" s="14">
        <v>0.14073382054797801</v>
      </c>
      <c r="AR12" s="14"/>
      <c r="AS12" s="14" t="s">
        <v>88</v>
      </c>
      <c r="AT12" s="14" t="s">
        <v>88</v>
      </c>
      <c r="AU12" s="14">
        <v>9.7421045716472296E-2</v>
      </c>
      <c r="AV12" s="14"/>
      <c r="AW12" s="14">
        <v>0.100204513054372</v>
      </c>
      <c r="AX12" s="14">
        <v>3.8703510497015099E-2</v>
      </c>
      <c r="AY12" s="14"/>
      <c r="AZ12" s="14">
        <v>7.44400003801199E-2</v>
      </c>
      <c r="BA12" s="14">
        <v>0.202909759878313</v>
      </c>
    </row>
    <row r="13" spans="2:53" x14ac:dyDescent="0.35">
      <c r="B13" s="15" t="s">
        <v>116</v>
      </c>
      <c r="C13" s="23">
        <v>2.9586006535001701E-2</v>
      </c>
      <c r="D13" s="23">
        <v>1.5982832931850099E-2</v>
      </c>
      <c r="E13" s="23">
        <v>4.3430852372574602E-2</v>
      </c>
      <c r="F13" s="23"/>
      <c r="G13" s="23">
        <v>0</v>
      </c>
      <c r="H13" s="23">
        <v>0</v>
      </c>
      <c r="I13" s="23">
        <v>3.8854897175302001E-2</v>
      </c>
      <c r="J13" s="23">
        <v>2.7167160311847099E-2</v>
      </c>
      <c r="K13" s="23">
        <v>2.9918869460196701E-2</v>
      </c>
      <c r="L13" s="23">
        <v>0</v>
      </c>
      <c r="M13" s="23"/>
      <c r="N13" s="23">
        <v>3.9049349997468799E-2</v>
      </c>
      <c r="O13" s="23">
        <v>3.7259457770053003E-2</v>
      </c>
      <c r="P13" s="23">
        <v>2.7403738176585E-2</v>
      </c>
      <c r="Q13" s="23">
        <v>1.0334127987198599E-2</v>
      </c>
      <c r="R13" s="23"/>
      <c r="S13" s="23">
        <v>2.3494025389210901E-2</v>
      </c>
      <c r="T13" s="23">
        <v>2.8982352445586002E-2</v>
      </c>
      <c r="U13" s="23">
        <v>1.6668068080895101E-2</v>
      </c>
      <c r="V13" s="23">
        <v>4.59279644681009E-2</v>
      </c>
      <c r="W13" s="23">
        <v>2.72501934325361E-2</v>
      </c>
      <c r="X13" s="23">
        <v>3.9359151120970999E-2</v>
      </c>
      <c r="Y13" s="23">
        <v>4.3172478901540599E-2</v>
      </c>
      <c r="Z13" s="23">
        <v>2.0065323589416699E-2</v>
      </c>
      <c r="AA13" s="23">
        <v>2.39500810130664E-2</v>
      </c>
      <c r="AB13" s="23"/>
      <c r="AC13" s="23">
        <v>9.2914432128808205E-3</v>
      </c>
      <c r="AD13" s="23">
        <v>2.9543141532927499E-2</v>
      </c>
      <c r="AE13" s="23">
        <v>3.2832665156810298E-2</v>
      </c>
      <c r="AF13" s="23">
        <v>3.6892365321131902E-2</v>
      </c>
      <c r="AG13" s="23">
        <v>7.4577132913559302E-2</v>
      </c>
      <c r="AH13" s="23"/>
      <c r="AI13" s="23">
        <v>2.11340617592575E-2</v>
      </c>
      <c r="AJ13" s="23">
        <v>4.1799226190451497E-2</v>
      </c>
      <c r="AK13" s="23">
        <v>5.5114348951135997E-2</v>
      </c>
      <c r="AL13" s="23">
        <v>1.7619284742890599E-2</v>
      </c>
      <c r="AM13" s="23">
        <v>1.4701863184440601E-2</v>
      </c>
      <c r="AN13" s="23">
        <v>7.2596772421617606E-2</v>
      </c>
      <c r="AO13" s="23"/>
      <c r="AP13" s="23">
        <v>2.4098994729213698E-2</v>
      </c>
      <c r="AQ13" s="23">
        <v>3.6574121279469102E-2</v>
      </c>
      <c r="AR13" s="23"/>
      <c r="AS13" s="23" t="s">
        <v>88</v>
      </c>
      <c r="AT13" s="23" t="s">
        <v>88</v>
      </c>
      <c r="AU13" s="23">
        <v>2.9586006535001701E-2</v>
      </c>
      <c r="AV13" s="23"/>
      <c r="AW13" s="23">
        <v>3.0862609956195001E-2</v>
      </c>
      <c r="AX13" s="23">
        <v>1.08341854477678E-2</v>
      </c>
      <c r="AY13" s="23"/>
      <c r="AZ13" s="23">
        <v>2.4839542935907E-2</v>
      </c>
      <c r="BA13" s="23">
        <v>5.1435331697709002E-2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927</v>
      </c>
      <c r="D7" s="10">
        <v>390</v>
      </c>
      <c r="E7" s="10">
        <v>537</v>
      </c>
      <c r="F7" s="10"/>
      <c r="G7" s="10">
        <v>2</v>
      </c>
      <c r="H7" s="10">
        <v>79</v>
      </c>
      <c r="I7" s="10">
        <v>390</v>
      </c>
      <c r="J7" s="10">
        <v>333</v>
      </c>
      <c r="K7" s="10">
        <v>107</v>
      </c>
      <c r="L7" s="10">
        <v>16</v>
      </c>
      <c r="M7" s="10"/>
      <c r="N7" s="10">
        <v>441</v>
      </c>
      <c r="O7" s="10">
        <v>210</v>
      </c>
      <c r="P7" s="10">
        <v>138</v>
      </c>
      <c r="Q7" s="10">
        <v>136</v>
      </c>
      <c r="R7" s="10"/>
      <c r="S7" s="10">
        <v>181</v>
      </c>
      <c r="T7" s="10">
        <v>135</v>
      </c>
      <c r="U7" s="10">
        <v>74</v>
      </c>
      <c r="V7" s="10">
        <v>83</v>
      </c>
      <c r="W7" s="10">
        <v>75</v>
      </c>
      <c r="X7" s="10">
        <v>107</v>
      </c>
      <c r="Y7" s="10">
        <v>91</v>
      </c>
      <c r="Z7" s="10">
        <v>54</v>
      </c>
      <c r="AA7" s="10">
        <v>127</v>
      </c>
      <c r="AB7" s="10"/>
      <c r="AC7" s="10">
        <v>150</v>
      </c>
      <c r="AD7" s="10">
        <v>166</v>
      </c>
      <c r="AE7" s="10">
        <v>291</v>
      </c>
      <c r="AF7" s="10">
        <v>179</v>
      </c>
      <c r="AG7" s="10">
        <v>44</v>
      </c>
      <c r="AH7" s="10"/>
      <c r="AI7" s="10">
        <v>343</v>
      </c>
      <c r="AJ7" s="10">
        <v>179</v>
      </c>
      <c r="AK7" s="10">
        <v>94</v>
      </c>
      <c r="AL7" s="10">
        <v>132</v>
      </c>
      <c r="AM7" s="10">
        <v>49</v>
      </c>
      <c r="AN7" s="10">
        <v>57</v>
      </c>
      <c r="AO7" s="10"/>
      <c r="AP7" s="10">
        <v>516</v>
      </c>
      <c r="AQ7" s="10">
        <v>409</v>
      </c>
      <c r="AR7" s="10"/>
      <c r="AS7" s="10" t="s">
        <v>87</v>
      </c>
      <c r="AT7" s="10" t="s">
        <v>87</v>
      </c>
      <c r="AU7" s="10">
        <v>927</v>
      </c>
      <c r="AV7" s="10"/>
      <c r="AW7" s="10">
        <v>660</v>
      </c>
      <c r="AX7" s="10">
        <v>199</v>
      </c>
      <c r="AY7" s="10"/>
      <c r="AZ7" s="10">
        <v>766</v>
      </c>
      <c r="BA7" s="10">
        <v>160</v>
      </c>
    </row>
    <row r="8" spans="2:53" ht="30" customHeight="1" x14ac:dyDescent="0.35">
      <c r="B8" s="11" t="s">
        <v>19</v>
      </c>
      <c r="C8" s="11">
        <v>901</v>
      </c>
      <c r="D8" s="11">
        <v>455</v>
      </c>
      <c r="E8" s="11">
        <v>447</v>
      </c>
      <c r="F8" s="11"/>
      <c r="G8" s="11">
        <v>2</v>
      </c>
      <c r="H8" s="11">
        <v>68</v>
      </c>
      <c r="I8" s="11">
        <v>362</v>
      </c>
      <c r="J8" s="11">
        <v>339</v>
      </c>
      <c r="K8" s="11">
        <v>113</v>
      </c>
      <c r="L8" s="11">
        <v>17</v>
      </c>
      <c r="M8" s="11"/>
      <c r="N8" s="11">
        <v>272</v>
      </c>
      <c r="O8" s="11">
        <v>221</v>
      </c>
      <c r="P8" s="11">
        <v>212</v>
      </c>
      <c r="Q8" s="11">
        <v>194</v>
      </c>
      <c r="R8" s="11"/>
      <c r="S8" s="11">
        <v>147</v>
      </c>
      <c r="T8" s="11">
        <v>142</v>
      </c>
      <c r="U8" s="11">
        <v>91</v>
      </c>
      <c r="V8" s="11">
        <v>96</v>
      </c>
      <c r="W8" s="11">
        <v>85</v>
      </c>
      <c r="X8" s="11">
        <v>89</v>
      </c>
      <c r="Y8" s="11">
        <v>80</v>
      </c>
      <c r="Z8" s="11">
        <v>52</v>
      </c>
      <c r="AA8" s="11">
        <v>119</v>
      </c>
      <c r="AB8" s="11"/>
      <c r="AC8" s="11">
        <v>183</v>
      </c>
      <c r="AD8" s="11">
        <v>190</v>
      </c>
      <c r="AE8" s="11">
        <v>267</v>
      </c>
      <c r="AF8" s="11">
        <v>128</v>
      </c>
      <c r="AG8" s="11">
        <v>23</v>
      </c>
      <c r="AH8" s="11"/>
      <c r="AI8" s="11">
        <v>319</v>
      </c>
      <c r="AJ8" s="11">
        <v>165</v>
      </c>
      <c r="AK8" s="11">
        <v>83</v>
      </c>
      <c r="AL8" s="11">
        <v>144</v>
      </c>
      <c r="AM8" s="11">
        <v>48</v>
      </c>
      <c r="AN8" s="11">
        <v>61</v>
      </c>
      <c r="AO8" s="11"/>
      <c r="AP8" s="11">
        <v>499</v>
      </c>
      <c r="AQ8" s="11">
        <v>400</v>
      </c>
      <c r="AR8" s="11"/>
      <c r="AS8" s="11" t="s">
        <v>87</v>
      </c>
      <c r="AT8" s="11" t="s">
        <v>87</v>
      </c>
      <c r="AU8" s="11">
        <v>901</v>
      </c>
      <c r="AV8" s="11"/>
      <c r="AW8" s="11">
        <v>661</v>
      </c>
      <c r="AX8" s="11">
        <v>161</v>
      </c>
      <c r="AY8" s="11"/>
      <c r="AZ8" s="11">
        <v>739</v>
      </c>
      <c r="BA8" s="11">
        <v>162</v>
      </c>
    </row>
    <row r="9" spans="2:53" ht="29" x14ac:dyDescent="0.35">
      <c r="B9" s="15" t="s">
        <v>231</v>
      </c>
      <c r="C9" s="14">
        <v>0.117708657483918</v>
      </c>
      <c r="D9" s="14">
        <v>0.11936662751518801</v>
      </c>
      <c r="E9" s="14">
        <v>0.11602123217009799</v>
      </c>
      <c r="F9" s="14"/>
      <c r="G9" s="14">
        <v>0.53755186374684905</v>
      </c>
      <c r="H9" s="14">
        <v>0.170651863526847</v>
      </c>
      <c r="I9" s="14">
        <v>0.14139557296629801</v>
      </c>
      <c r="J9" s="14">
        <v>8.0771213520080903E-2</v>
      </c>
      <c r="K9" s="14">
        <v>0.101592941370496</v>
      </c>
      <c r="L9" s="14">
        <v>0.18984460238898701</v>
      </c>
      <c r="M9" s="14"/>
      <c r="N9" s="14">
        <v>9.7767142407711796E-2</v>
      </c>
      <c r="O9" s="14">
        <v>0.11981853959151401</v>
      </c>
      <c r="P9" s="14">
        <v>0.162917434976277</v>
      </c>
      <c r="Q9" s="14">
        <v>8.8404001332428706E-2</v>
      </c>
      <c r="R9" s="14"/>
      <c r="S9" s="14">
        <v>0.15328318223533199</v>
      </c>
      <c r="T9" s="14">
        <v>0.10885716796448899</v>
      </c>
      <c r="U9" s="14">
        <v>8.9395963431979197E-2</v>
      </c>
      <c r="V9" s="14">
        <v>0.132804556190039</v>
      </c>
      <c r="W9" s="14">
        <v>0.13099741945569299</v>
      </c>
      <c r="X9" s="14">
        <v>9.4511802789773003E-2</v>
      </c>
      <c r="Y9" s="14">
        <v>8.2113304155203501E-2</v>
      </c>
      <c r="Z9" s="14">
        <v>0.13900152211463301</v>
      </c>
      <c r="AA9" s="14">
        <v>0.116278400818967</v>
      </c>
      <c r="AB9" s="14"/>
      <c r="AC9" s="14">
        <v>9.5683499757756293E-2</v>
      </c>
      <c r="AD9" s="14">
        <v>7.7105107836061504E-2</v>
      </c>
      <c r="AE9" s="14">
        <v>9.6110698028122596E-2</v>
      </c>
      <c r="AF9" s="14">
        <v>0.243322690303032</v>
      </c>
      <c r="AG9" s="14">
        <v>0.12150978690557999</v>
      </c>
      <c r="AH9" s="14"/>
      <c r="AI9" s="14">
        <v>0.13767064992656999</v>
      </c>
      <c r="AJ9" s="14">
        <v>8.4231248054310495E-2</v>
      </c>
      <c r="AK9" s="14">
        <v>9.3781601292511896E-2</v>
      </c>
      <c r="AL9" s="14">
        <v>0.100699956729872</v>
      </c>
      <c r="AM9" s="14">
        <v>0.228195631779572</v>
      </c>
      <c r="AN9" s="14">
        <v>0.145053644312678</v>
      </c>
      <c r="AO9" s="14"/>
      <c r="AP9" s="14">
        <v>0.104258866433327</v>
      </c>
      <c r="AQ9" s="14">
        <v>0.13505996379232599</v>
      </c>
      <c r="AR9" s="14"/>
      <c r="AS9" s="14" t="s">
        <v>88</v>
      </c>
      <c r="AT9" s="14" t="s">
        <v>88</v>
      </c>
      <c r="AU9" s="14">
        <v>0.117708657483918</v>
      </c>
      <c r="AV9" s="14"/>
      <c r="AW9" s="14">
        <v>0.103371021130539</v>
      </c>
      <c r="AX9" s="14">
        <v>0.17522135388056101</v>
      </c>
      <c r="AY9" s="14"/>
      <c r="AZ9" s="14">
        <v>0.123456867153542</v>
      </c>
      <c r="BA9" s="14">
        <v>9.2251773936748202E-2</v>
      </c>
    </row>
    <row r="10" spans="2:53" ht="29" x14ac:dyDescent="0.35">
      <c r="B10" s="15" t="s">
        <v>232</v>
      </c>
      <c r="C10" s="14">
        <v>0.73409409049817897</v>
      </c>
      <c r="D10" s="14">
        <v>0.768832112515343</v>
      </c>
      <c r="E10" s="14">
        <v>0.69873891724519499</v>
      </c>
      <c r="F10" s="14"/>
      <c r="G10" s="14">
        <v>0.46244813625315101</v>
      </c>
      <c r="H10" s="14">
        <v>0.58764533170327404</v>
      </c>
      <c r="I10" s="14">
        <v>0.71832121530093596</v>
      </c>
      <c r="J10" s="14">
        <v>0.76943760332035105</v>
      </c>
      <c r="K10" s="14">
        <v>0.77343775392250502</v>
      </c>
      <c r="L10" s="14">
        <v>0.72268902930321399</v>
      </c>
      <c r="M10" s="14"/>
      <c r="N10" s="14">
        <v>0.753187093217211</v>
      </c>
      <c r="O10" s="14">
        <v>0.72973917049879899</v>
      </c>
      <c r="P10" s="14">
        <v>0.69627174416095505</v>
      </c>
      <c r="Q10" s="14">
        <v>0.76158253854462798</v>
      </c>
      <c r="R10" s="14"/>
      <c r="S10" s="14">
        <v>0.68620775739313</v>
      </c>
      <c r="T10" s="14">
        <v>0.72733406634285502</v>
      </c>
      <c r="U10" s="14">
        <v>0.70521702411644405</v>
      </c>
      <c r="V10" s="14">
        <v>0.76495133469959797</v>
      </c>
      <c r="W10" s="14">
        <v>0.75933568966404796</v>
      </c>
      <c r="X10" s="14">
        <v>0.74971460734235396</v>
      </c>
      <c r="Y10" s="14">
        <v>0.75387285083789302</v>
      </c>
      <c r="Z10" s="14">
        <v>0.74355489724479995</v>
      </c>
      <c r="AA10" s="14">
        <v>0.75130012812273705</v>
      </c>
      <c r="AB10" s="14"/>
      <c r="AC10" s="14">
        <v>0.76537489206195597</v>
      </c>
      <c r="AD10" s="14">
        <v>0.78588911441150799</v>
      </c>
      <c r="AE10" s="14">
        <v>0.75184148388275296</v>
      </c>
      <c r="AF10" s="14">
        <v>0.62316712724172496</v>
      </c>
      <c r="AG10" s="14">
        <v>0.72895559113116803</v>
      </c>
      <c r="AH10" s="14"/>
      <c r="AI10" s="14">
        <v>0.70184528831355697</v>
      </c>
      <c r="AJ10" s="14">
        <v>0.76779782928973395</v>
      </c>
      <c r="AK10" s="14">
        <v>0.76359624677242799</v>
      </c>
      <c r="AL10" s="14">
        <v>0.79269727525883305</v>
      </c>
      <c r="AM10" s="14">
        <v>0.65344683819663196</v>
      </c>
      <c r="AN10" s="14">
        <v>0.64581398556028002</v>
      </c>
      <c r="AO10" s="14"/>
      <c r="AP10" s="14">
        <v>0.76820880754827303</v>
      </c>
      <c r="AQ10" s="14">
        <v>0.69354054960199296</v>
      </c>
      <c r="AR10" s="14"/>
      <c r="AS10" s="14" t="s">
        <v>88</v>
      </c>
      <c r="AT10" s="14" t="s">
        <v>88</v>
      </c>
      <c r="AU10" s="14">
        <v>0.73409409049817897</v>
      </c>
      <c r="AV10" s="14"/>
      <c r="AW10" s="14">
        <v>0.75293966610957597</v>
      </c>
      <c r="AX10" s="14">
        <v>0.67702964213671202</v>
      </c>
      <c r="AY10" s="14"/>
      <c r="AZ10" s="14">
        <v>0.74064108987426602</v>
      </c>
      <c r="BA10" s="14">
        <v>0.70248480998732299</v>
      </c>
    </row>
    <row r="11" spans="2:53" ht="29" x14ac:dyDescent="0.35">
      <c r="B11" s="15" t="s">
        <v>233</v>
      </c>
      <c r="C11" s="14">
        <v>8.4717826991426007E-2</v>
      </c>
      <c r="D11" s="14">
        <v>6.6941754674586601E-2</v>
      </c>
      <c r="E11" s="14">
        <v>0.102809706725076</v>
      </c>
      <c r="F11" s="14"/>
      <c r="G11" s="14">
        <v>0</v>
      </c>
      <c r="H11" s="14">
        <v>0.207625912147895</v>
      </c>
      <c r="I11" s="14">
        <v>8.1130120780302406E-2</v>
      </c>
      <c r="J11" s="14">
        <v>7.8220049776664899E-2</v>
      </c>
      <c r="K11" s="14">
        <v>5.6593691728183702E-2</v>
      </c>
      <c r="L11" s="14">
        <v>0</v>
      </c>
      <c r="M11" s="14"/>
      <c r="N11" s="14">
        <v>0.10177740414879299</v>
      </c>
      <c r="O11" s="14">
        <v>5.5197301406269703E-2</v>
      </c>
      <c r="P11" s="14">
        <v>8.83859706819069E-2</v>
      </c>
      <c r="Q11" s="14">
        <v>8.7141444337299895E-2</v>
      </c>
      <c r="R11" s="14"/>
      <c r="S11" s="14">
        <v>0.105213088931395</v>
      </c>
      <c r="T11" s="14">
        <v>8.6427862836190694E-2</v>
      </c>
      <c r="U11" s="14">
        <v>0.133502180930749</v>
      </c>
      <c r="V11" s="14">
        <v>4.4445786494062403E-2</v>
      </c>
      <c r="W11" s="14">
        <v>6.0000701219062098E-2</v>
      </c>
      <c r="X11" s="14">
        <v>0.112435413888943</v>
      </c>
      <c r="Y11" s="14">
        <v>7.0859677829339093E-2</v>
      </c>
      <c r="Z11" s="14">
        <v>3.4237903918938099E-2</v>
      </c>
      <c r="AA11" s="14">
        <v>8.0974140352327001E-2</v>
      </c>
      <c r="AB11" s="14"/>
      <c r="AC11" s="14">
        <v>6.0176366889865301E-2</v>
      </c>
      <c r="AD11" s="14">
        <v>8.3009751306133597E-2</v>
      </c>
      <c r="AE11" s="14">
        <v>0.100100081554255</v>
      </c>
      <c r="AF11" s="14">
        <v>8.1699720700931497E-2</v>
      </c>
      <c r="AG11" s="14">
        <v>8.9124152916336893E-2</v>
      </c>
      <c r="AH11" s="14"/>
      <c r="AI11" s="14">
        <v>0.108474151686931</v>
      </c>
      <c r="AJ11" s="14">
        <v>9.9469667628020397E-2</v>
      </c>
      <c r="AK11" s="14">
        <v>9.3862190523829298E-2</v>
      </c>
      <c r="AL11" s="14">
        <v>3.6164965922327097E-2</v>
      </c>
      <c r="AM11" s="14">
        <v>5.0750976375376601E-2</v>
      </c>
      <c r="AN11" s="14">
        <v>7.9352417089438895E-2</v>
      </c>
      <c r="AO11" s="14"/>
      <c r="AP11" s="14">
        <v>8.0681761747265199E-2</v>
      </c>
      <c r="AQ11" s="14">
        <v>9.0167352308846302E-2</v>
      </c>
      <c r="AR11" s="14"/>
      <c r="AS11" s="14" t="s">
        <v>88</v>
      </c>
      <c r="AT11" s="14" t="s">
        <v>88</v>
      </c>
      <c r="AU11" s="14">
        <v>8.4717826991426007E-2</v>
      </c>
      <c r="AV11" s="14"/>
      <c r="AW11" s="14">
        <v>7.4525265968257204E-2</v>
      </c>
      <c r="AX11" s="14">
        <v>0.116799064789195</v>
      </c>
      <c r="AY11" s="14"/>
      <c r="AZ11" s="14">
        <v>8.7529204921420398E-2</v>
      </c>
      <c r="BA11" s="14">
        <v>7.2444662259412401E-2</v>
      </c>
    </row>
    <row r="12" spans="2:53" x14ac:dyDescent="0.35">
      <c r="B12" s="15" t="s">
        <v>116</v>
      </c>
      <c r="C12" s="23">
        <v>6.3479425026476993E-2</v>
      </c>
      <c r="D12" s="23">
        <v>4.4859505294882897E-2</v>
      </c>
      <c r="E12" s="23">
        <v>8.2430143859630503E-2</v>
      </c>
      <c r="F12" s="23"/>
      <c r="G12" s="23">
        <v>0</v>
      </c>
      <c r="H12" s="23">
        <v>3.40768926219834E-2</v>
      </c>
      <c r="I12" s="23">
        <v>5.91530909524643E-2</v>
      </c>
      <c r="J12" s="23">
        <v>7.1571133382903496E-2</v>
      </c>
      <c r="K12" s="23">
        <v>6.8375612978815295E-2</v>
      </c>
      <c r="L12" s="23">
        <v>8.7466368307799594E-2</v>
      </c>
      <c r="M12" s="23"/>
      <c r="N12" s="23">
        <v>4.72683602262838E-2</v>
      </c>
      <c r="O12" s="23">
        <v>9.5244988503417505E-2</v>
      </c>
      <c r="P12" s="23">
        <v>5.2424850180861002E-2</v>
      </c>
      <c r="Q12" s="23">
        <v>6.2872015785643096E-2</v>
      </c>
      <c r="R12" s="23"/>
      <c r="S12" s="23">
        <v>5.5295971440143102E-2</v>
      </c>
      <c r="T12" s="23">
        <v>7.7380902856464998E-2</v>
      </c>
      <c r="U12" s="23">
        <v>7.1884831520827405E-2</v>
      </c>
      <c r="V12" s="23">
        <v>5.7798322616301502E-2</v>
      </c>
      <c r="W12" s="23">
        <v>4.9666189661197298E-2</v>
      </c>
      <c r="X12" s="23">
        <v>4.3338175978929999E-2</v>
      </c>
      <c r="Y12" s="23">
        <v>9.3154167177564001E-2</v>
      </c>
      <c r="Z12" s="23">
        <v>8.3205676721628194E-2</v>
      </c>
      <c r="AA12" s="23">
        <v>5.1447330705968998E-2</v>
      </c>
      <c r="AB12" s="23"/>
      <c r="AC12" s="23">
        <v>7.8765241290422602E-2</v>
      </c>
      <c r="AD12" s="23">
        <v>5.3996026446297099E-2</v>
      </c>
      <c r="AE12" s="23">
        <v>5.1947736534869601E-2</v>
      </c>
      <c r="AF12" s="23">
        <v>5.1810461754311199E-2</v>
      </c>
      <c r="AG12" s="23">
        <v>6.0410469046914897E-2</v>
      </c>
      <c r="AH12" s="23"/>
      <c r="AI12" s="23">
        <v>5.2009910072942797E-2</v>
      </c>
      <c r="AJ12" s="23">
        <v>4.8501255027934898E-2</v>
      </c>
      <c r="AK12" s="23">
        <v>4.87599614112307E-2</v>
      </c>
      <c r="AL12" s="23">
        <v>7.0437802088968104E-2</v>
      </c>
      <c r="AM12" s="23">
        <v>6.7606553648419901E-2</v>
      </c>
      <c r="AN12" s="23">
        <v>0.12977995303760301</v>
      </c>
      <c r="AO12" s="23"/>
      <c r="AP12" s="23">
        <v>4.6850564271134897E-2</v>
      </c>
      <c r="AQ12" s="23">
        <v>8.1232134296834194E-2</v>
      </c>
      <c r="AR12" s="23"/>
      <c r="AS12" s="23" t="s">
        <v>88</v>
      </c>
      <c r="AT12" s="23" t="s">
        <v>88</v>
      </c>
      <c r="AU12" s="23">
        <v>6.3479425026476993E-2</v>
      </c>
      <c r="AV12" s="23"/>
      <c r="AW12" s="23">
        <v>6.9164046791627298E-2</v>
      </c>
      <c r="AX12" s="23">
        <v>3.0949939193532401E-2</v>
      </c>
      <c r="AY12" s="23"/>
      <c r="AZ12" s="23">
        <v>4.8372838050771902E-2</v>
      </c>
      <c r="BA12" s="23">
        <v>0.13281875381651601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927</v>
      </c>
      <c r="D7" s="10">
        <v>390</v>
      </c>
      <c r="E7" s="10">
        <v>537</v>
      </c>
      <c r="F7" s="10"/>
      <c r="G7" s="10">
        <v>2</v>
      </c>
      <c r="H7" s="10">
        <v>79</v>
      </c>
      <c r="I7" s="10">
        <v>390</v>
      </c>
      <c r="J7" s="10">
        <v>333</v>
      </c>
      <c r="K7" s="10">
        <v>107</v>
      </c>
      <c r="L7" s="10">
        <v>16</v>
      </c>
      <c r="M7" s="10"/>
      <c r="N7" s="10">
        <v>441</v>
      </c>
      <c r="O7" s="10">
        <v>210</v>
      </c>
      <c r="P7" s="10">
        <v>138</v>
      </c>
      <c r="Q7" s="10">
        <v>136</v>
      </c>
      <c r="R7" s="10"/>
      <c r="S7" s="10">
        <v>181</v>
      </c>
      <c r="T7" s="10">
        <v>135</v>
      </c>
      <c r="U7" s="10">
        <v>74</v>
      </c>
      <c r="V7" s="10">
        <v>83</v>
      </c>
      <c r="W7" s="10">
        <v>75</v>
      </c>
      <c r="X7" s="10">
        <v>107</v>
      </c>
      <c r="Y7" s="10">
        <v>91</v>
      </c>
      <c r="Z7" s="10">
        <v>54</v>
      </c>
      <c r="AA7" s="10">
        <v>127</v>
      </c>
      <c r="AB7" s="10"/>
      <c r="AC7" s="10">
        <v>150</v>
      </c>
      <c r="AD7" s="10">
        <v>166</v>
      </c>
      <c r="AE7" s="10">
        <v>291</v>
      </c>
      <c r="AF7" s="10">
        <v>179</v>
      </c>
      <c r="AG7" s="10">
        <v>44</v>
      </c>
      <c r="AH7" s="10"/>
      <c r="AI7" s="10">
        <v>343</v>
      </c>
      <c r="AJ7" s="10">
        <v>179</v>
      </c>
      <c r="AK7" s="10">
        <v>94</v>
      </c>
      <c r="AL7" s="10">
        <v>132</v>
      </c>
      <c r="AM7" s="10">
        <v>49</v>
      </c>
      <c r="AN7" s="10">
        <v>57</v>
      </c>
      <c r="AO7" s="10"/>
      <c r="AP7" s="10">
        <v>516</v>
      </c>
      <c r="AQ7" s="10">
        <v>409</v>
      </c>
      <c r="AR7" s="10"/>
      <c r="AS7" s="10" t="s">
        <v>87</v>
      </c>
      <c r="AT7" s="10" t="s">
        <v>87</v>
      </c>
      <c r="AU7" s="10">
        <v>927</v>
      </c>
      <c r="AV7" s="10"/>
      <c r="AW7" s="10">
        <v>660</v>
      </c>
      <c r="AX7" s="10">
        <v>199</v>
      </c>
      <c r="AY7" s="10"/>
      <c r="AZ7" s="10">
        <v>766</v>
      </c>
      <c r="BA7" s="10">
        <v>160</v>
      </c>
    </row>
    <row r="8" spans="2:53" ht="30" customHeight="1" x14ac:dyDescent="0.35">
      <c r="B8" s="11" t="s">
        <v>19</v>
      </c>
      <c r="C8" s="11">
        <v>901</v>
      </c>
      <c r="D8" s="11">
        <v>455</v>
      </c>
      <c r="E8" s="11">
        <v>447</v>
      </c>
      <c r="F8" s="11"/>
      <c r="G8" s="11">
        <v>2</v>
      </c>
      <c r="H8" s="11">
        <v>68</v>
      </c>
      <c r="I8" s="11">
        <v>362</v>
      </c>
      <c r="J8" s="11">
        <v>339</v>
      </c>
      <c r="K8" s="11">
        <v>113</v>
      </c>
      <c r="L8" s="11">
        <v>17</v>
      </c>
      <c r="M8" s="11"/>
      <c r="N8" s="11">
        <v>272</v>
      </c>
      <c r="O8" s="11">
        <v>221</v>
      </c>
      <c r="P8" s="11">
        <v>212</v>
      </c>
      <c r="Q8" s="11">
        <v>194</v>
      </c>
      <c r="R8" s="11"/>
      <c r="S8" s="11">
        <v>147</v>
      </c>
      <c r="T8" s="11">
        <v>142</v>
      </c>
      <c r="U8" s="11">
        <v>91</v>
      </c>
      <c r="V8" s="11">
        <v>96</v>
      </c>
      <c r="W8" s="11">
        <v>85</v>
      </c>
      <c r="X8" s="11">
        <v>89</v>
      </c>
      <c r="Y8" s="11">
        <v>80</v>
      </c>
      <c r="Z8" s="11">
        <v>52</v>
      </c>
      <c r="AA8" s="11">
        <v>119</v>
      </c>
      <c r="AB8" s="11"/>
      <c r="AC8" s="11">
        <v>183</v>
      </c>
      <c r="AD8" s="11">
        <v>190</v>
      </c>
      <c r="AE8" s="11">
        <v>267</v>
      </c>
      <c r="AF8" s="11">
        <v>128</v>
      </c>
      <c r="AG8" s="11">
        <v>23</v>
      </c>
      <c r="AH8" s="11"/>
      <c r="AI8" s="11">
        <v>319</v>
      </c>
      <c r="AJ8" s="11">
        <v>165</v>
      </c>
      <c r="AK8" s="11">
        <v>83</v>
      </c>
      <c r="AL8" s="11">
        <v>144</v>
      </c>
      <c r="AM8" s="11">
        <v>48</v>
      </c>
      <c r="AN8" s="11">
        <v>61</v>
      </c>
      <c r="AO8" s="11"/>
      <c r="AP8" s="11">
        <v>499</v>
      </c>
      <c r="AQ8" s="11">
        <v>400</v>
      </c>
      <c r="AR8" s="11"/>
      <c r="AS8" s="11" t="s">
        <v>87</v>
      </c>
      <c r="AT8" s="11" t="s">
        <v>87</v>
      </c>
      <c r="AU8" s="11">
        <v>901</v>
      </c>
      <c r="AV8" s="11"/>
      <c r="AW8" s="11">
        <v>661</v>
      </c>
      <c r="AX8" s="11">
        <v>161</v>
      </c>
      <c r="AY8" s="11"/>
      <c r="AZ8" s="11">
        <v>739</v>
      </c>
      <c r="BA8" s="11">
        <v>162</v>
      </c>
    </row>
    <row r="9" spans="2:53" x14ac:dyDescent="0.35">
      <c r="B9" s="15" t="s">
        <v>235</v>
      </c>
      <c r="C9" s="14">
        <v>0.35375207052644803</v>
      </c>
      <c r="D9" s="14">
        <v>0.41157962782054702</v>
      </c>
      <c r="E9" s="14">
        <v>0.29489715627947199</v>
      </c>
      <c r="F9" s="14"/>
      <c r="G9" s="14">
        <v>0</v>
      </c>
      <c r="H9" s="14">
        <v>0.28156742980850702</v>
      </c>
      <c r="I9" s="14">
        <v>0.37555463527521799</v>
      </c>
      <c r="J9" s="14">
        <v>0.31776936554233898</v>
      </c>
      <c r="K9" s="14">
        <v>0.43610433359442202</v>
      </c>
      <c r="L9" s="14">
        <v>0.393966134365202</v>
      </c>
      <c r="M9" s="14"/>
      <c r="N9" s="14">
        <v>0.44292270418363</v>
      </c>
      <c r="O9" s="14">
        <v>0.36256544002628599</v>
      </c>
      <c r="P9" s="14">
        <v>0.30329126846608601</v>
      </c>
      <c r="Q9" s="14">
        <v>0.27374950816973298</v>
      </c>
      <c r="R9" s="14"/>
      <c r="S9" s="14">
        <v>0.47843821585672303</v>
      </c>
      <c r="T9" s="14">
        <v>0.32921349816869899</v>
      </c>
      <c r="U9" s="14">
        <v>0.40018525975629698</v>
      </c>
      <c r="V9" s="14">
        <v>0.32734566344407101</v>
      </c>
      <c r="W9" s="14">
        <v>0.35153639915372598</v>
      </c>
      <c r="X9" s="14">
        <v>0.300278251812445</v>
      </c>
      <c r="Y9" s="14">
        <v>0.34259669795945902</v>
      </c>
      <c r="Z9" s="14">
        <v>0.34773499032560501</v>
      </c>
      <c r="AA9" s="14">
        <v>0.266634312617053</v>
      </c>
      <c r="AB9" s="14"/>
      <c r="AC9" s="14">
        <v>0.27681490103560102</v>
      </c>
      <c r="AD9" s="14">
        <v>0.34606722078283803</v>
      </c>
      <c r="AE9" s="14">
        <v>0.36557606244181501</v>
      </c>
      <c r="AF9" s="14">
        <v>0.46174439823612301</v>
      </c>
      <c r="AG9" s="14">
        <v>0.60261468172925303</v>
      </c>
      <c r="AH9" s="14"/>
      <c r="AI9" s="14">
        <v>0.41871539443017203</v>
      </c>
      <c r="AJ9" s="14">
        <v>0.34786455433034902</v>
      </c>
      <c r="AK9" s="14">
        <v>0.31584078783570002</v>
      </c>
      <c r="AL9" s="14">
        <v>0.35175146397267698</v>
      </c>
      <c r="AM9" s="14">
        <v>0.22796986812639899</v>
      </c>
      <c r="AN9" s="14">
        <v>0.25802597300101099</v>
      </c>
      <c r="AO9" s="14"/>
      <c r="AP9" s="14">
        <v>0.38849201812155498</v>
      </c>
      <c r="AQ9" s="14">
        <v>0.31055020327008198</v>
      </c>
      <c r="AR9" s="14"/>
      <c r="AS9" s="14" t="s">
        <v>88</v>
      </c>
      <c r="AT9" s="14" t="s">
        <v>88</v>
      </c>
      <c r="AU9" s="14">
        <v>0.35375207052644803</v>
      </c>
      <c r="AV9" s="14"/>
      <c r="AW9" s="14">
        <v>0.33195468369290598</v>
      </c>
      <c r="AX9" s="14">
        <v>0.50335622185171003</v>
      </c>
      <c r="AY9" s="14"/>
      <c r="AZ9" s="14">
        <v>0.37524926045345802</v>
      </c>
      <c r="BA9" s="14">
        <v>0.25798305542611399</v>
      </c>
    </row>
    <row r="10" spans="2:53" x14ac:dyDescent="0.35">
      <c r="B10" s="15" t="s">
        <v>236</v>
      </c>
      <c r="C10" s="14">
        <v>0.530521179433037</v>
      </c>
      <c r="D10" s="14">
        <v>0.48587876982153999</v>
      </c>
      <c r="E10" s="14">
        <v>0.57595670035778401</v>
      </c>
      <c r="F10" s="14"/>
      <c r="G10" s="14">
        <v>0.46244813625315101</v>
      </c>
      <c r="H10" s="14">
        <v>0.53573925808687195</v>
      </c>
      <c r="I10" s="14">
        <v>0.51971336511281296</v>
      </c>
      <c r="J10" s="14">
        <v>0.56458390296056704</v>
      </c>
      <c r="K10" s="14">
        <v>0.47157733100390098</v>
      </c>
      <c r="L10" s="14">
        <v>0.46274188951786499</v>
      </c>
      <c r="M10" s="14"/>
      <c r="N10" s="14">
        <v>0.49408286192094097</v>
      </c>
      <c r="O10" s="14">
        <v>0.52519716284501905</v>
      </c>
      <c r="P10" s="14">
        <v>0.54920739468382196</v>
      </c>
      <c r="Q10" s="14">
        <v>0.56618722264174803</v>
      </c>
      <c r="R10" s="14"/>
      <c r="S10" s="14">
        <v>0.444056414370054</v>
      </c>
      <c r="T10" s="14">
        <v>0.56337737575772295</v>
      </c>
      <c r="U10" s="14">
        <v>0.51631530998665598</v>
      </c>
      <c r="V10" s="14">
        <v>0.52729549442607604</v>
      </c>
      <c r="W10" s="14">
        <v>0.46982254692986403</v>
      </c>
      <c r="X10" s="14">
        <v>0.61693051524545095</v>
      </c>
      <c r="Y10" s="14">
        <v>0.54998802685298398</v>
      </c>
      <c r="Z10" s="14">
        <v>0.47788667833869602</v>
      </c>
      <c r="AA10" s="14">
        <v>0.60036711886133398</v>
      </c>
      <c r="AB10" s="14"/>
      <c r="AC10" s="14">
        <v>0.57440103133572196</v>
      </c>
      <c r="AD10" s="14">
        <v>0.53603139134066402</v>
      </c>
      <c r="AE10" s="14">
        <v>0.53765301118228603</v>
      </c>
      <c r="AF10" s="14">
        <v>0.44836646961632298</v>
      </c>
      <c r="AG10" s="14">
        <v>0.39738531827074702</v>
      </c>
      <c r="AH10" s="14"/>
      <c r="AI10" s="14">
        <v>0.46225984839787398</v>
      </c>
      <c r="AJ10" s="14">
        <v>0.52323634711165801</v>
      </c>
      <c r="AK10" s="14">
        <v>0.61780209455353796</v>
      </c>
      <c r="AL10" s="14">
        <v>0.54467376530339595</v>
      </c>
      <c r="AM10" s="14">
        <v>0.606067145464526</v>
      </c>
      <c r="AN10" s="14">
        <v>0.67100347102013902</v>
      </c>
      <c r="AO10" s="14"/>
      <c r="AP10" s="14">
        <v>0.50896592019263398</v>
      </c>
      <c r="AQ10" s="14">
        <v>0.556712082523658</v>
      </c>
      <c r="AR10" s="14"/>
      <c r="AS10" s="14" t="s">
        <v>88</v>
      </c>
      <c r="AT10" s="14" t="s">
        <v>88</v>
      </c>
      <c r="AU10" s="14">
        <v>0.530521179433037</v>
      </c>
      <c r="AV10" s="14"/>
      <c r="AW10" s="14">
        <v>0.555400075166256</v>
      </c>
      <c r="AX10" s="14">
        <v>0.42336597396477399</v>
      </c>
      <c r="AY10" s="14"/>
      <c r="AZ10" s="14">
        <v>0.52375309482768595</v>
      </c>
      <c r="BA10" s="14">
        <v>0.55833157060206595</v>
      </c>
    </row>
    <row r="11" spans="2:53" x14ac:dyDescent="0.35">
      <c r="B11" s="15" t="s">
        <v>237</v>
      </c>
      <c r="C11" s="14">
        <v>8.3539533144314296E-2</v>
      </c>
      <c r="D11" s="14">
        <v>8.7020456104793906E-2</v>
      </c>
      <c r="E11" s="14">
        <v>7.99967685537675E-2</v>
      </c>
      <c r="F11" s="14"/>
      <c r="G11" s="14">
        <v>0</v>
      </c>
      <c r="H11" s="14">
        <v>0.13527981890302801</v>
      </c>
      <c r="I11" s="14">
        <v>5.8198682336564403E-2</v>
      </c>
      <c r="J11" s="14">
        <v>9.4913890998696696E-2</v>
      </c>
      <c r="K11" s="14">
        <v>9.2318335401676804E-2</v>
      </c>
      <c r="L11" s="14">
        <v>0.14329197611693301</v>
      </c>
      <c r="M11" s="14"/>
      <c r="N11" s="14">
        <v>4.3824579530852503E-2</v>
      </c>
      <c r="O11" s="14">
        <v>9.0757362103061304E-2</v>
      </c>
      <c r="P11" s="14">
        <v>0.114597833086016</v>
      </c>
      <c r="Q11" s="14">
        <v>9.7934363066587996E-2</v>
      </c>
      <c r="R11" s="14"/>
      <c r="S11" s="14">
        <v>4.9368606500950402E-2</v>
      </c>
      <c r="T11" s="14">
        <v>7.3113674873551499E-2</v>
      </c>
      <c r="U11" s="14">
        <v>4.1651533319488003E-2</v>
      </c>
      <c r="V11" s="14">
        <v>0.13164600092026599</v>
      </c>
      <c r="W11" s="14">
        <v>0.136430286021411</v>
      </c>
      <c r="X11" s="14">
        <v>7.6894545224913E-2</v>
      </c>
      <c r="Y11" s="14">
        <v>6.4995193536851001E-2</v>
      </c>
      <c r="Z11" s="14">
        <v>0.13709392291287301</v>
      </c>
      <c r="AA11" s="14">
        <v>8.7523044730343197E-2</v>
      </c>
      <c r="AB11" s="14"/>
      <c r="AC11" s="14">
        <v>0.117888709389078</v>
      </c>
      <c r="AD11" s="14">
        <v>9.4822893891258794E-2</v>
      </c>
      <c r="AE11" s="14">
        <v>6.9984212368627605E-2</v>
      </c>
      <c r="AF11" s="14">
        <v>7.4074476710501297E-2</v>
      </c>
      <c r="AG11" s="14">
        <v>0</v>
      </c>
      <c r="AH11" s="14"/>
      <c r="AI11" s="14">
        <v>8.4362397047331297E-2</v>
      </c>
      <c r="AJ11" s="14">
        <v>9.0988886539237798E-2</v>
      </c>
      <c r="AK11" s="14">
        <v>6.6357117610762101E-2</v>
      </c>
      <c r="AL11" s="14">
        <v>8.0675475159594306E-2</v>
      </c>
      <c r="AM11" s="14">
        <v>0.117476480544841</v>
      </c>
      <c r="AN11" s="14">
        <v>3.3369946191055599E-2</v>
      </c>
      <c r="AO11" s="14"/>
      <c r="AP11" s="14">
        <v>7.9308541258825596E-2</v>
      </c>
      <c r="AQ11" s="14">
        <v>8.92263592379271E-2</v>
      </c>
      <c r="AR11" s="14"/>
      <c r="AS11" s="14" t="s">
        <v>88</v>
      </c>
      <c r="AT11" s="14" t="s">
        <v>88</v>
      </c>
      <c r="AU11" s="14">
        <v>8.3539533144314296E-2</v>
      </c>
      <c r="AV11" s="14"/>
      <c r="AW11" s="14">
        <v>8.1704362006390405E-2</v>
      </c>
      <c r="AX11" s="14">
        <v>4.7209405307286803E-2</v>
      </c>
      <c r="AY11" s="14"/>
      <c r="AZ11" s="14">
        <v>7.65664143952028E-2</v>
      </c>
      <c r="BA11" s="14">
        <v>0.115900772835677</v>
      </c>
    </row>
    <row r="12" spans="2:53" x14ac:dyDescent="0.35">
      <c r="B12" s="15" t="s">
        <v>238</v>
      </c>
      <c r="C12" s="14">
        <v>1.5179204777771901E-2</v>
      </c>
      <c r="D12" s="14">
        <v>9.3947293364846397E-3</v>
      </c>
      <c r="E12" s="14">
        <v>2.1066446466527101E-2</v>
      </c>
      <c r="F12" s="14"/>
      <c r="G12" s="14">
        <v>0.53755186374684905</v>
      </c>
      <c r="H12" s="14">
        <v>3.05540968501649E-2</v>
      </c>
      <c r="I12" s="14">
        <v>1.9854621042413499E-2</v>
      </c>
      <c r="J12" s="14">
        <v>9.3592093471145596E-3</v>
      </c>
      <c r="K12" s="14">
        <v>0</v>
      </c>
      <c r="L12" s="14">
        <v>0</v>
      </c>
      <c r="M12" s="14"/>
      <c r="N12" s="14">
        <v>6.6234200480829297E-3</v>
      </c>
      <c r="O12" s="14">
        <v>1.03355567910162E-2</v>
      </c>
      <c r="P12" s="14">
        <v>1.8996853817669801E-2</v>
      </c>
      <c r="Q12" s="14">
        <v>2.8649588305604001E-2</v>
      </c>
      <c r="R12" s="14"/>
      <c r="S12" s="14">
        <v>2.3730252983003301E-2</v>
      </c>
      <c r="T12" s="14">
        <v>9.6476674058739009E-3</v>
      </c>
      <c r="U12" s="14">
        <v>2.5471094334899799E-2</v>
      </c>
      <c r="V12" s="14">
        <v>0</v>
      </c>
      <c r="W12" s="14">
        <v>2.9478345013607899E-2</v>
      </c>
      <c r="X12" s="14">
        <v>0</v>
      </c>
      <c r="Y12" s="14">
        <v>0</v>
      </c>
      <c r="Z12" s="14">
        <v>0</v>
      </c>
      <c r="AA12" s="14">
        <v>3.3500483429586801E-2</v>
      </c>
      <c r="AB12" s="14"/>
      <c r="AC12" s="14">
        <v>0</v>
      </c>
      <c r="AD12" s="14">
        <v>1.68525459168394E-2</v>
      </c>
      <c r="AE12" s="14">
        <v>1.23040443757737E-2</v>
      </c>
      <c r="AF12" s="14">
        <v>9.4223376045168995E-3</v>
      </c>
      <c r="AG12" s="14">
        <v>0</v>
      </c>
      <c r="AH12" s="14"/>
      <c r="AI12" s="14">
        <v>2.16282401904897E-2</v>
      </c>
      <c r="AJ12" s="14">
        <v>1.4104997096541901E-2</v>
      </c>
      <c r="AK12" s="14">
        <v>0</v>
      </c>
      <c r="AL12" s="14">
        <v>1.4759134860845E-2</v>
      </c>
      <c r="AM12" s="14">
        <v>4.8486505864233601E-2</v>
      </c>
      <c r="AN12" s="14">
        <v>0</v>
      </c>
      <c r="AO12" s="14"/>
      <c r="AP12" s="14">
        <v>1.1580110724095399E-2</v>
      </c>
      <c r="AQ12" s="14">
        <v>1.9742149019043701E-2</v>
      </c>
      <c r="AR12" s="14"/>
      <c r="AS12" s="14" t="s">
        <v>88</v>
      </c>
      <c r="AT12" s="14" t="s">
        <v>88</v>
      </c>
      <c r="AU12" s="14">
        <v>1.5179204777771901E-2</v>
      </c>
      <c r="AV12" s="14"/>
      <c r="AW12" s="14">
        <v>1.45665704973598E-2</v>
      </c>
      <c r="AX12" s="14">
        <v>1.90265392414662E-2</v>
      </c>
      <c r="AY12" s="14"/>
      <c r="AZ12" s="14">
        <v>1.33002363055578E-2</v>
      </c>
      <c r="BA12" s="14">
        <v>2.3851298482893201E-2</v>
      </c>
    </row>
    <row r="13" spans="2:53" x14ac:dyDescent="0.35">
      <c r="B13" s="15" t="s">
        <v>116</v>
      </c>
      <c r="C13" s="23">
        <v>1.7008012118428801E-2</v>
      </c>
      <c r="D13" s="23">
        <v>6.1264169166344402E-3</v>
      </c>
      <c r="E13" s="23">
        <v>2.80829283424496E-2</v>
      </c>
      <c r="F13" s="23"/>
      <c r="G13" s="23">
        <v>0</v>
      </c>
      <c r="H13" s="23">
        <v>1.6859396351428298E-2</v>
      </c>
      <c r="I13" s="23">
        <v>2.6678696232991E-2</v>
      </c>
      <c r="J13" s="23">
        <v>1.33736311512824E-2</v>
      </c>
      <c r="K13" s="23">
        <v>0</v>
      </c>
      <c r="L13" s="23">
        <v>0</v>
      </c>
      <c r="M13" s="23"/>
      <c r="N13" s="23">
        <v>1.25464343164941E-2</v>
      </c>
      <c r="O13" s="23">
        <v>1.1144478234618E-2</v>
      </c>
      <c r="P13" s="23">
        <v>1.39066499464057E-2</v>
      </c>
      <c r="Q13" s="23">
        <v>3.3479317816327202E-2</v>
      </c>
      <c r="R13" s="23"/>
      <c r="S13" s="23">
        <v>4.4065102892693504E-3</v>
      </c>
      <c r="T13" s="23">
        <v>2.4647783794152299E-2</v>
      </c>
      <c r="U13" s="23">
        <v>1.6376802602659699E-2</v>
      </c>
      <c r="V13" s="23">
        <v>1.37128412095878E-2</v>
      </c>
      <c r="W13" s="23">
        <v>1.27324228813901E-2</v>
      </c>
      <c r="X13" s="23">
        <v>5.8966877171912901E-3</v>
      </c>
      <c r="Y13" s="23">
        <v>4.2420081650706001E-2</v>
      </c>
      <c r="Z13" s="23">
        <v>3.72844084228263E-2</v>
      </c>
      <c r="AA13" s="23">
        <v>1.19750403616832E-2</v>
      </c>
      <c r="AB13" s="23"/>
      <c r="AC13" s="23">
        <v>3.0895358239598499E-2</v>
      </c>
      <c r="AD13" s="23">
        <v>6.2259480683997401E-3</v>
      </c>
      <c r="AE13" s="23">
        <v>1.4482669631498401E-2</v>
      </c>
      <c r="AF13" s="23">
        <v>6.3923178325366098E-3</v>
      </c>
      <c r="AG13" s="23">
        <v>0</v>
      </c>
      <c r="AH13" s="23"/>
      <c r="AI13" s="23">
        <v>1.3034119934133099E-2</v>
      </c>
      <c r="AJ13" s="23">
        <v>2.3805214922212801E-2</v>
      </c>
      <c r="AK13" s="23">
        <v>0</v>
      </c>
      <c r="AL13" s="23">
        <v>8.1401607034872307E-3</v>
      </c>
      <c r="AM13" s="23">
        <v>0</v>
      </c>
      <c r="AN13" s="23">
        <v>3.7600609787793997E-2</v>
      </c>
      <c r="AO13" s="23"/>
      <c r="AP13" s="23">
        <v>1.16534097028903E-2</v>
      </c>
      <c r="AQ13" s="23">
        <v>2.37692059492896E-2</v>
      </c>
      <c r="AR13" s="23"/>
      <c r="AS13" s="23" t="s">
        <v>88</v>
      </c>
      <c r="AT13" s="23" t="s">
        <v>88</v>
      </c>
      <c r="AU13" s="23">
        <v>1.7008012118428801E-2</v>
      </c>
      <c r="AV13" s="23"/>
      <c r="AW13" s="23">
        <v>1.6374308637087699E-2</v>
      </c>
      <c r="AX13" s="23">
        <v>7.0418596347631901E-3</v>
      </c>
      <c r="AY13" s="23"/>
      <c r="AZ13" s="23">
        <v>1.1130994018095501E-2</v>
      </c>
      <c r="BA13" s="23">
        <v>4.3933302653250302E-2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B2:BA19"/>
  <sheetViews>
    <sheetView showGridLines="0" zoomScale="96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927</v>
      </c>
      <c r="D7" s="10">
        <v>390</v>
      </c>
      <c r="E7" s="10">
        <v>537</v>
      </c>
      <c r="F7" s="10"/>
      <c r="G7" s="10">
        <v>2</v>
      </c>
      <c r="H7" s="10">
        <v>79</v>
      </c>
      <c r="I7" s="10">
        <v>390</v>
      </c>
      <c r="J7" s="10">
        <v>333</v>
      </c>
      <c r="K7" s="10">
        <v>107</v>
      </c>
      <c r="L7" s="10">
        <v>16</v>
      </c>
      <c r="M7" s="10"/>
      <c r="N7" s="10">
        <v>441</v>
      </c>
      <c r="O7" s="10">
        <v>210</v>
      </c>
      <c r="P7" s="10">
        <v>138</v>
      </c>
      <c r="Q7" s="10">
        <v>136</v>
      </c>
      <c r="R7" s="10"/>
      <c r="S7" s="10">
        <v>181</v>
      </c>
      <c r="T7" s="10">
        <v>135</v>
      </c>
      <c r="U7" s="10">
        <v>74</v>
      </c>
      <c r="V7" s="10">
        <v>83</v>
      </c>
      <c r="W7" s="10">
        <v>75</v>
      </c>
      <c r="X7" s="10">
        <v>107</v>
      </c>
      <c r="Y7" s="10">
        <v>91</v>
      </c>
      <c r="Z7" s="10">
        <v>54</v>
      </c>
      <c r="AA7" s="10">
        <v>127</v>
      </c>
      <c r="AB7" s="10"/>
      <c r="AC7" s="10">
        <v>150</v>
      </c>
      <c r="AD7" s="10">
        <v>166</v>
      </c>
      <c r="AE7" s="10">
        <v>291</v>
      </c>
      <c r="AF7" s="10">
        <v>179</v>
      </c>
      <c r="AG7" s="10">
        <v>44</v>
      </c>
      <c r="AH7" s="10"/>
      <c r="AI7" s="10">
        <v>343</v>
      </c>
      <c r="AJ7" s="10">
        <v>179</v>
      </c>
      <c r="AK7" s="10">
        <v>94</v>
      </c>
      <c r="AL7" s="10">
        <v>132</v>
      </c>
      <c r="AM7" s="10">
        <v>49</v>
      </c>
      <c r="AN7" s="10">
        <v>57</v>
      </c>
      <c r="AO7" s="10"/>
      <c r="AP7" s="10">
        <v>516</v>
      </c>
      <c r="AQ7" s="10">
        <v>409</v>
      </c>
      <c r="AR7" s="10"/>
      <c r="AS7" s="10" t="s">
        <v>87</v>
      </c>
      <c r="AT7" s="10" t="s">
        <v>87</v>
      </c>
      <c r="AU7" s="10">
        <v>927</v>
      </c>
      <c r="AV7" s="10"/>
      <c r="AW7" s="10">
        <v>660</v>
      </c>
      <c r="AX7" s="10">
        <v>199</v>
      </c>
      <c r="AY7" s="10"/>
      <c r="AZ7" s="10">
        <v>766</v>
      </c>
      <c r="BA7" s="10">
        <v>160</v>
      </c>
    </row>
    <row r="8" spans="2:53" ht="30" customHeight="1" x14ac:dyDescent="0.35">
      <c r="B8" s="11" t="s">
        <v>19</v>
      </c>
      <c r="C8" s="11">
        <v>901</v>
      </c>
      <c r="D8" s="11">
        <v>455</v>
      </c>
      <c r="E8" s="11">
        <v>447</v>
      </c>
      <c r="F8" s="11"/>
      <c r="G8" s="11">
        <v>2</v>
      </c>
      <c r="H8" s="11">
        <v>68</v>
      </c>
      <c r="I8" s="11">
        <v>362</v>
      </c>
      <c r="J8" s="11">
        <v>339</v>
      </c>
      <c r="K8" s="11">
        <v>113</v>
      </c>
      <c r="L8" s="11">
        <v>17</v>
      </c>
      <c r="M8" s="11"/>
      <c r="N8" s="11">
        <v>272</v>
      </c>
      <c r="O8" s="11">
        <v>221</v>
      </c>
      <c r="P8" s="11">
        <v>212</v>
      </c>
      <c r="Q8" s="11">
        <v>194</v>
      </c>
      <c r="R8" s="11"/>
      <c r="S8" s="11">
        <v>147</v>
      </c>
      <c r="T8" s="11">
        <v>142</v>
      </c>
      <c r="U8" s="11">
        <v>91</v>
      </c>
      <c r="V8" s="11">
        <v>96</v>
      </c>
      <c r="W8" s="11">
        <v>85</v>
      </c>
      <c r="X8" s="11">
        <v>89</v>
      </c>
      <c r="Y8" s="11">
        <v>80</v>
      </c>
      <c r="Z8" s="11">
        <v>52</v>
      </c>
      <c r="AA8" s="11">
        <v>119</v>
      </c>
      <c r="AB8" s="11"/>
      <c r="AC8" s="11">
        <v>183</v>
      </c>
      <c r="AD8" s="11">
        <v>190</v>
      </c>
      <c r="AE8" s="11">
        <v>267</v>
      </c>
      <c r="AF8" s="11">
        <v>128</v>
      </c>
      <c r="AG8" s="11">
        <v>23</v>
      </c>
      <c r="AH8" s="11"/>
      <c r="AI8" s="11">
        <v>319</v>
      </c>
      <c r="AJ8" s="11">
        <v>165</v>
      </c>
      <c r="AK8" s="11">
        <v>83</v>
      </c>
      <c r="AL8" s="11">
        <v>144</v>
      </c>
      <c r="AM8" s="11">
        <v>48</v>
      </c>
      <c r="AN8" s="11">
        <v>61</v>
      </c>
      <c r="AO8" s="11"/>
      <c r="AP8" s="11">
        <v>499</v>
      </c>
      <c r="AQ8" s="11">
        <v>400</v>
      </c>
      <c r="AR8" s="11"/>
      <c r="AS8" s="11" t="s">
        <v>87</v>
      </c>
      <c r="AT8" s="11" t="s">
        <v>87</v>
      </c>
      <c r="AU8" s="11">
        <v>901</v>
      </c>
      <c r="AV8" s="11"/>
      <c r="AW8" s="11">
        <v>661</v>
      </c>
      <c r="AX8" s="11">
        <v>161</v>
      </c>
      <c r="AY8" s="11"/>
      <c r="AZ8" s="11">
        <v>739</v>
      </c>
      <c r="BA8" s="11">
        <v>162</v>
      </c>
    </row>
    <row r="9" spans="2:53" x14ac:dyDescent="0.35">
      <c r="B9" s="15" t="s">
        <v>220</v>
      </c>
      <c r="C9" s="14">
        <v>0.26605980182908701</v>
      </c>
      <c r="D9" s="14">
        <v>0.32475684068816502</v>
      </c>
      <c r="E9" s="14">
        <v>0.206319958919364</v>
      </c>
      <c r="F9" s="14"/>
      <c r="G9" s="14">
        <v>0.46244813625315101</v>
      </c>
      <c r="H9" s="14">
        <v>0.31971589611994899</v>
      </c>
      <c r="I9" s="14">
        <v>0.27437799256790701</v>
      </c>
      <c r="J9" s="14">
        <v>0.240366274647033</v>
      </c>
      <c r="K9" s="14">
        <v>0.293367456685662</v>
      </c>
      <c r="L9" s="14">
        <v>0.17792257411294299</v>
      </c>
      <c r="M9" s="14"/>
      <c r="N9" s="14">
        <v>0.34110297020076802</v>
      </c>
      <c r="O9" s="14">
        <v>0.28076006675102999</v>
      </c>
      <c r="P9" s="14">
        <v>0.23277878805111801</v>
      </c>
      <c r="Q9" s="14">
        <v>0.18356224390099801</v>
      </c>
      <c r="R9" s="14"/>
      <c r="S9" s="14">
        <v>0.41703356556071902</v>
      </c>
      <c r="T9" s="14">
        <v>0.19573979759287399</v>
      </c>
      <c r="U9" s="14">
        <v>0.23606431592272201</v>
      </c>
      <c r="V9" s="14">
        <v>0.30598840253179899</v>
      </c>
      <c r="W9" s="14">
        <v>0.22780385979078799</v>
      </c>
      <c r="X9" s="14">
        <v>0.243315178531157</v>
      </c>
      <c r="Y9" s="14">
        <v>0.229115024961907</v>
      </c>
      <c r="Z9" s="14">
        <v>0.20765532595258801</v>
      </c>
      <c r="AA9" s="14">
        <v>0.24922806357969199</v>
      </c>
      <c r="AB9" s="14"/>
      <c r="AC9" s="14">
        <v>0.197547048555789</v>
      </c>
      <c r="AD9" s="14">
        <v>0.199390522457599</v>
      </c>
      <c r="AE9" s="14">
        <v>0.274897328804664</v>
      </c>
      <c r="AF9" s="14">
        <v>0.43449193123149199</v>
      </c>
      <c r="AG9" s="14">
        <v>0.56388399865154704</v>
      </c>
      <c r="AH9" s="14"/>
      <c r="AI9" s="14">
        <v>0.30750670996562002</v>
      </c>
      <c r="AJ9" s="14">
        <v>0.26773538521756701</v>
      </c>
      <c r="AK9" s="14">
        <v>0.27642467456074399</v>
      </c>
      <c r="AL9" s="14">
        <v>0.25942614571271699</v>
      </c>
      <c r="AM9" s="14">
        <v>0.243988670165254</v>
      </c>
      <c r="AN9" s="14">
        <v>0.19516447904349901</v>
      </c>
      <c r="AO9" s="14"/>
      <c r="AP9" s="14">
        <v>0.31860914372105098</v>
      </c>
      <c r="AQ9" s="14">
        <v>0.201833554884432</v>
      </c>
      <c r="AR9" s="14"/>
      <c r="AS9" s="14" t="s">
        <v>88</v>
      </c>
      <c r="AT9" s="14" t="s">
        <v>88</v>
      </c>
      <c r="AU9" s="14">
        <v>0.26605980182908701</v>
      </c>
      <c r="AV9" s="14"/>
      <c r="AW9" s="14">
        <v>0.25984925717983398</v>
      </c>
      <c r="AX9" s="14">
        <v>0.38465597928421602</v>
      </c>
      <c r="AY9" s="14"/>
      <c r="AZ9" s="14">
        <v>0.302434761550474</v>
      </c>
      <c r="BA9" s="14">
        <v>0.101837152165203</v>
      </c>
    </row>
    <row r="10" spans="2:53" x14ac:dyDescent="0.35">
      <c r="B10" s="15" t="s">
        <v>221</v>
      </c>
      <c r="C10" s="14">
        <v>0.48001556910583199</v>
      </c>
      <c r="D10" s="14">
        <v>0.48617492832301201</v>
      </c>
      <c r="E10" s="14">
        <v>0.47374678350418897</v>
      </c>
      <c r="F10" s="14"/>
      <c r="G10" s="14">
        <v>0</v>
      </c>
      <c r="H10" s="14">
        <v>0.45509011039278802</v>
      </c>
      <c r="I10" s="14">
        <v>0.48091876623393898</v>
      </c>
      <c r="J10" s="14">
        <v>0.489479214189245</v>
      </c>
      <c r="K10" s="14">
        <v>0.47221052272325498</v>
      </c>
      <c r="L10" s="14">
        <v>0.489384903153602</v>
      </c>
      <c r="M10" s="14"/>
      <c r="N10" s="14">
        <v>0.45727708156290697</v>
      </c>
      <c r="O10" s="14">
        <v>0.43610683599722599</v>
      </c>
      <c r="P10" s="14">
        <v>0.54617993202278103</v>
      </c>
      <c r="Q10" s="14">
        <v>0.48791880332275001</v>
      </c>
      <c r="R10" s="14"/>
      <c r="S10" s="14">
        <v>0.39686596922580603</v>
      </c>
      <c r="T10" s="14">
        <v>0.55085467540719801</v>
      </c>
      <c r="U10" s="14">
        <v>0.47528030061176102</v>
      </c>
      <c r="V10" s="14">
        <v>0.46482763228486101</v>
      </c>
      <c r="W10" s="14">
        <v>0.497694718322923</v>
      </c>
      <c r="X10" s="14">
        <v>0.44147543494418301</v>
      </c>
      <c r="Y10" s="14">
        <v>0.51879563274553198</v>
      </c>
      <c r="Z10" s="14">
        <v>0.490306715848913</v>
      </c>
      <c r="AA10" s="14">
        <v>0.49933355501993998</v>
      </c>
      <c r="AB10" s="14"/>
      <c r="AC10" s="14">
        <v>0.481210322514111</v>
      </c>
      <c r="AD10" s="14">
        <v>0.57139662829409299</v>
      </c>
      <c r="AE10" s="14">
        <v>0.48722052237063401</v>
      </c>
      <c r="AF10" s="14">
        <v>0.402722473717323</v>
      </c>
      <c r="AG10" s="14">
        <v>0.35954931079966501</v>
      </c>
      <c r="AH10" s="14"/>
      <c r="AI10" s="14">
        <v>0.46876307257380301</v>
      </c>
      <c r="AJ10" s="14">
        <v>0.51865984714884505</v>
      </c>
      <c r="AK10" s="14">
        <v>0.51439846890501095</v>
      </c>
      <c r="AL10" s="14">
        <v>0.45640356331408799</v>
      </c>
      <c r="AM10" s="14">
        <v>0.32422145855064</v>
      </c>
      <c r="AN10" s="14">
        <v>0.51776360189519399</v>
      </c>
      <c r="AO10" s="14"/>
      <c r="AP10" s="14">
        <v>0.43456980949816099</v>
      </c>
      <c r="AQ10" s="14">
        <v>0.53743226689855494</v>
      </c>
      <c r="AR10" s="14"/>
      <c r="AS10" s="14" t="s">
        <v>88</v>
      </c>
      <c r="AT10" s="14" t="s">
        <v>88</v>
      </c>
      <c r="AU10" s="14">
        <v>0.48001556910583199</v>
      </c>
      <c r="AV10" s="14"/>
      <c r="AW10" s="14">
        <v>0.46983856116352801</v>
      </c>
      <c r="AX10" s="14">
        <v>0.45547632664130999</v>
      </c>
      <c r="AY10" s="14"/>
      <c r="AZ10" s="14">
        <v>0.490421849533836</v>
      </c>
      <c r="BA10" s="14">
        <v>0.42913713861610803</v>
      </c>
    </row>
    <row r="11" spans="2:53" x14ac:dyDescent="0.35">
      <c r="B11" s="15" t="s">
        <v>222</v>
      </c>
      <c r="C11" s="14">
        <v>0.13345069247653499</v>
      </c>
      <c r="D11" s="14">
        <v>8.8879385016792503E-2</v>
      </c>
      <c r="E11" s="14">
        <v>0.17881384805783401</v>
      </c>
      <c r="F11" s="14"/>
      <c r="G11" s="14">
        <v>0.53755186374684905</v>
      </c>
      <c r="H11" s="14">
        <v>0.116846033905409</v>
      </c>
      <c r="I11" s="14">
        <v>0.125846561940545</v>
      </c>
      <c r="J11" s="14">
        <v>0.15853291838160399</v>
      </c>
      <c r="K11" s="14">
        <v>8.0009090229045801E-2</v>
      </c>
      <c r="L11" s="14">
        <v>0.16260755361439999</v>
      </c>
      <c r="M11" s="14"/>
      <c r="N11" s="14">
        <v>9.6842864707713194E-2</v>
      </c>
      <c r="O11" s="14">
        <v>0.18287699838288801</v>
      </c>
      <c r="P11" s="14">
        <v>0.12337940760921499</v>
      </c>
      <c r="Q11" s="14">
        <v>0.136910366151962</v>
      </c>
      <c r="R11" s="14"/>
      <c r="S11" s="14">
        <v>0.114428071231384</v>
      </c>
      <c r="T11" s="14">
        <v>0.122962917566645</v>
      </c>
      <c r="U11" s="14">
        <v>0.13725730335466599</v>
      </c>
      <c r="V11" s="14">
        <v>0.12669906756030799</v>
      </c>
      <c r="W11" s="14">
        <v>0.126298861872646</v>
      </c>
      <c r="X11" s="14">
        <v>0.18033177451544899</v>
      </c>
      <c r="Y11" s="14">
        <v>0.12125451087759501</v>
      </c>
      <c r="Z11" s="14">
        <v>0.18648456589287499</v>
      </c>
      <c r="AA11" s="14">
        <v>0.12722116174916101</v>
      </c>
      <c r="AB11" s="14"/>
      <c r="AC11" s="14">
        <v>0.16026088638963801</v>
      </c>
      <c r="AD11" s="14">
        <v>0.13305424847488301</v>
      </c>
      <c r="AE11" s="14">
        <v>0.13373770435170201</v>
      </c>
      <c r="AF11" s="14">
        <v>9.3514554494030303E-2</v>
      </c>
      <c r="AG11" s="14">
        <v>4.7580976670674298E-2</v>
      </c>
      <c r="AH11" s="14"/>
      <c r="AI11" s="14">
        <v>0.11667757276226901</v>
      </c>
      <c r="AJ11" s="14">
        <v>0.10761351183812599</v>
      </c>
      <c r="AK11" s="14">
        <v>6.2385830822421197E-2</v>
      </c>
      <c r="AL11" s="14">
        <v>0.159569310460872</v>
      </c>
      <c r="AM11" s="14">
        <v>0.250202157053869</v>
      </c>
      <c r="AN11" s="14">
        <v>0.14358233460488701</v>
      </c>
      <c r="AO11" s="14"/>
      <c r="AP11" s="14">
        <v>0.122591936016441</v>
      </c>
      <c r="AQ11" s="14">
        <v>0.14764810376936199</v>
      </c>
      <c r="AR11" s="14"/>
      <c r="AS11" s="14" t="s">
        <v>88</v>
      </c>
      <c r="AT11" s="14" t="s">
        <v>88</v>
      </c>
      <c r="AU11" s="14">
        <v>0.13345069247653499</v>
      </c>
      <c r="AV11" s="14"/>
      <c r="AW11" s="14">
        <v>0.150235710987565</v>
      </c>
      <c r="AX11" s="14">
        <v>6.1799407574025099E-2</v>
      </c>
      <c r="AY11" s="14"/>
      <c r="AZ11" s="14">
        <v>0.109299300640075</v>
      </c>
      <c r="BA11" s="14">
        <v>0.244514698219227</v>
      </c>
    </row>
    <row r="12" spans="2:53" x14ac:dyDescent="0.35">
      <c r="B12" s="15" t="s">
        <v>223</v>
      </c>
      <c r="C12" s="14">
        <v>3.8908277653512298E-2</v>
      </c>
      <c r="D12" s="14">
        <v>1.9408594386121102E-2</v>
      </c>
      <c r="E12" s="14">
        <v>5.8754389788402799E-2</v>
      </c>
      <c r="F12" s="14"/>
      <c r="G12" s="14">
        <v>0</v>
      </c>
      <c r="H12" s="14">
        <v>3.9801805054558402E-2</v>
      </c>
      <c r="I12" s="14">
        <v>5.1246841380475798E-2</v>
      </c>
      <c r="J12" s="14">
        <v>2.93214387644984E-2</v>
      </c>
      <c r="K12" s="14">
        <v>1.64932997411056E-2</v>
      </c>
      <c r="L12" s="14">
        <v>0.11946737142910301</v>
      </c>
      <c r="M12" s="14"/>
      <c r="N12" s="14">
        <v>2.9153435163426299E-2</v>
      </c>
      <c r="O12" s="14">
        <v>2.5507106075854699E-2</v>
      </c>
      <c r="P12" s="14">
        <v>3.1482853732015502E-2</v>
      </c>
      <c r="Q12" s="14">
        <v>7.6303334069958803E-2</v>
      </c>
      <c r="R12" s="14"/>
      <c r="S12" s="14">
        <v>3.2734201239190602E-2</v>
      </c>
      <c r="T12" s="14">
        <v>5.0534986159569903E-2</v>
      </c>
      <c r="U12" s="14">
        <v>3.9578521173446103E-2</v>
      </c>
      <c r="V12" s="14">
        <v>9.8580267768498004E-3</v>
      </c>
      <c r="W12" s="14">
        <v>5.39946851805536E-2</v>
      </c>
      <c r="X12" s="14">
        <v>6.0433946093306302E-2</v>
      </c>
      <c r="Y12" s="14">
        <v>4.4737860635408501E-2</v>
      </c>
      <c r="Z12" s="14">
        <v>2.26845958840667E-2</v>
      </c>
      <c r="AA12" s="14">
        <v>3.1972430441033303E-2</v>
      </c>
      <c r="AB12" s="14"/>
      <c r="AC12" s="14">
        <v>6.6658643792499597E-2</v>
      </c>
      <c r="AD12" s="14">
        <v>3.3464129800288199E-2</v>
      </c>
      <c r="AE12" s="14">
        <v>2.09251991762156E-2</v>
      </c>
      <c r="AF12" s="14">
        <v>6.69060880634897E-3</v>
      </c>
      <c r="AG12" s="14">
        <v>0</v>
      </c>
      <c r="AH12" s="14"/>
      <c r="AI12" s="14">
        <v>4.4171670549137398E-2</v>
      </c>
      <c r="AJ12" s="14">
        <v>2.75924572735331E-2</v>
      </c>
      <c r="AK12" s="14">
        <v>3.0071775921762699E-2</v>
      </c>
      <c r="AL12" s="14">
        <v>4.47782740519546E-2</v>
      </c>
      <c r="AM12" s="14">
        <v>8.1270004092371104E-2</v>
      </c>
      <c r="AN12" s="14">
        <v>0</v>
      </c>
      <c r="AO12" s="14"/>
      <c r="AP12" s="14">
        <v>4.1358148011815199E-2</v>
      </c>
      <c r="AQ12" s="14">
        <v>3.60442413964525E-2</v>
      </c>
      <c r="AR12" s="14"/>
      <c r="AS12" s="14" t="s">
        <v>88</v>
      </c>
      <c r="AT12" s="14" t="s">
        <v>88</v>
      </c>
      <c r="AU12" s="14">
        <v>3.8908277653512298E-2</v>
      </c>
      <c r="AV12" s="14"/>
      <c r="AW12" s="14">
        <v>4.0513612640258302E-2</v>
      </c>
      <c r="AX12" s="14">
        <v>2.6781204427359501E-2</v>
      </c>
      <c r="AY12" s="14"/>
      <c r="AZ12" s="14">
        <v>2.0439718402792299E-2</v>
      </c>
      <c r="BA12" s="14">
        <v>0.123426087703622</v>
      </c>
    </row>
    <row r="13" spans="2:53" x14ac:dyDescent="0.35">
      <c r="B13" s="15" t="s">
        <v>116</v>
      </c>
      <c r="C13" s="18">
        <v>1.54224122844085E-2</v>
      </c>
      <c r="D13" s="18">
        <v>5.7719603180536498E-3</v>
      </c>
      <c r="E13" s="18">
        <v>2.5244312940453099E-2</v>
      </c>
      <c r="F13" s="18"/>
      <c r="G13" s="18">
        <v>0</v>
      </c>
      <c r="H13" s="18">
        <v>0</v>
      </c>
      <c r="I13" s="18">
        <v>1.56294168687592E-2</v>
      </c>
      <c r="J13" s="18">
        <v>2.3361334973846199E-2</v>
      </c>
      <c r="K13" s="18">
        <v>2.8538750084211801E-3</v>
      </c>
      <c r="L13" s="18">
        <v>0</v>
      </c>
      <c r="M13" s="18"/>
      <c r="N13" s="18">
        <v>9.4767597667493007E-3</v>
      </c>
      <c r="O13" s="18">
        <v>1.5940671845104198E-2</v>
      </c>
      <c r="P13" s="18">
        <v>6.3287123576105699E-3</v>
      </c>
      <c r="Q13" s="18">
        <v>3.3252131994691202E-2</v>
      </c>
      <c r="R13" s="18"/>
      <c r="S13" s="18">
        <v>1.3820200182572E-2</v>
      </c>
      <c r="T13" s="18">
        <v>1.82849283989386E-2</v>
      </c>
      <c r="U13" s="18">
        <v>1.6376802602659699E-2</v>
      </c>
      <c r="V13" s="18">
        <v>1.3956738804993599E-2</v>
      </c>
      <c r="W13" s="18">
        <v>1.44816117679914E-2</v>
      </c>
      <c r="X13" s="18">
        <v>7.8862003610779708E-3</v>
      </c>
      <c r="Y13" s="18">
        <v>6.8696294414193702E-3</v>
      </c>
      <c r="Z13" s="18">
        <v>3.8480060462751299E-2</v>
      </c>
      <c r="AA13" s="18">
        <v>1.6382883170950002E-2</v>
      </c>
      <c r="AB13" s="18"/>
      <c r="AC13" s="18">
        <v>2.16047396696635E-2</v>
      </c>
      <c r="AD13" s="18">
        <v>1.0599151643991301E-2</v>
      </c>
      <c r="AE13" s="18">
        <v>1.44823536543071E-2</v>
      </c>
      <c r="AF13" s="18">
        <v>1.6118110593122001E-2</v>
      </c>
      <c r="AG13" s="18">
        <v>0</v>
      </c>
      <c r="AH13" s="18"/>
      <c r="AI13" s="18">
        <v>1.25002135733225E-2</v>
      </c>
      <c r="AJ13" s="18">
        <v>1.50242671154222E-2</v>
      </c>
      <c r="AK13" s="18">
        <v>1.6172390326052302E-2</v>
      </c>
      <c r="AL13" s="18">
        <v>1.24092426594347E-2</v>
      </c>
      <c r="AM13" s="18">
        <v>0</v>
      </c>
      <c r="AN13" s="18">
        <v>3.7600609787793997E-2</v>
      </c>
      <c r="AO13" s="18"/>
      <c r="AP13" s="18">
        <v>1.5468634848611299E-2</v>
      </c>
      <c r="AQ13" s="18">
        <v>1.5440538879976E-2</v>
      </c>
      <c r="AR13" s="18"/>
      <c r="AS13" s="18" t="s">
        <v>88</v>
      </c>
      <c r="AT13" s="18" t="s">
        <v>88</v>
      </c>
      <c r="AU13" s="18">
        <v>1.54224122844085E-2</v>
      </c>
      <c r="AV13" s="18"/>
      <c r="AW13" s="18">
        <v>9.9531931462788908E-3</v>
      </c>
      <c r="AX13" s="18">
        <v>1.73669894698124E-2</v>
      </c>
      <c r="AY13" s="18"/>
      <c r="AZ13" s="18">
        <v>9.565203996346E-3</v>
      </c>
      <c r="BA13" s="18">
        <v>4.2246953955792199E-2</v>
      </c>
    </row>
    <row r="14" spans="2:53" x14ac:dyDescent="0.35">
      <c r="B14" s="26" t="s">
        <v>224</v>
      </c>
      <c r="C14" s="27">
        <v>0.74607537093491905</v>
      </c>
      <c r="D14" s="27">
        <v>0.81093176901117703</v>
      </c>
      <c r="E14" s="27">
        <v>0.68006674242355303</v>
      </c>
      <c r="F14" s="27"/>
      <c r="G14" s="27">
        <v>0.46244813625315101</v>
      </c>
      <c r="H14" s="27">
        <v>0.77480600651273601</v>
      </c>
      <c r="I14" s="27">
        <v>0.75529675880184699</v>
      </c>
      <c r="J14" s="27">
        <v>0.72984548883627898</v>
      </c>
      <c r="K14" s="27">
        <v>0.76557797940891803</v>
      </c>
      <c r="L14" s="27">
        <v>0.66730747726654505</v>
      </c>
      <c r="M14" s="27"/>
      <c r="N14" s="27">
        <v>0.79838005176367499</v>
      </c>
      <c r="O14" s="27">
        <v>0.71686690274825504</v>
      </c>
      <c r="P14" s="27">
        <v>0.77895872007389899</v>
      </c>
      <c r="Q14" s="27">
        <v>0.67148104722374802</v>
      </c>
      <c r="R14" s="27"/>
      <c r="S14" s="27">
        <v>0.81389953478652499</v>
      </c>
      <c r="T14" s="27">
        <v>0.74659447300007198</v>
      </c>
      <c r="U14" s="27">
        <v>0.711344616534483</v>
      </c>
      <c r="V14" s="27">
        <v>0.77081603481665995</v>
      </c>
      <c r="W14" s="27">
        <v>0.72549857811371099</v>
      </c>
      <c r="X14" s="27">
        <v>0.68479061347533898</v>
      </c>
      <c r="Y14" s="27">
        <v>0.74791065770743903</v>
      </c>
      <c r="Z14" s="27">
        <v>0.69796204180150101</v>
      </c>
      <c r="AA14" s="27">
        <v>0.74856161859963199</v>
      </c>
      <c r="AB14" s="27"/>
      <c r="AC14" s="27">
        <v>0.67875737106990097</v>
      </c>
      <c r="AD14" s="27">
        <v>0.77078715075169202</v>
      </c>
      <c r="AE14" s="27">
        <v>0.76211785117529796</v>
      </c>
      <c r="AF14" s="27">
        <v>0.83721440494881505</v>
      </c>
      <c r="AG14" s="27">
        <v>0.92343330945121105</v>
      </c>
      <c r="AH14" s="27"/>
      <c r="AI14" s="27">
        <v>0.77626978253942203</v>
      </c>
      <c r="AJ14" s="27">
        <v>0.78639523236641296</v>
      </c>
      <c r="AK14" s="27">
        <v>0.790823143465755</v>
      </c>
      <c r="AL14" s="27">
        <v>0.71582970902680598</v>
      </c>
      <c r="AM14" s="27">
        <v>0.56821012871589405</v>
      </c>
      <c r="AN14" s="27">
        <v>0.71292808093869298</v>
      </c>
      <c r="AO14" s="27"/>
      <c r="AP14" s="27">
        <v>0.75317895321921202</v>
      </c>
      <c r="AQ14" s="27">
        <v>0.73926582178298805</v>
      </c>
      <c r="AR14" s="27"/>
      <c r="AS14" s="27" t="s">
        <v>88</v>
      </c>
      <c r="AT14" s="27" t="s">
        <v>88</v>
      </c>
      <c r="AU14" s="27">
        <v>0.74607537093491905</v>
      </c>
      <c r="AV14" s="27"/>
      <c r="AW14" s="27">
        <v>0.72968781834336205</v>
      </c>
      <c r="AX14" s="27">
        <v>0.84013230592552501</v>
      </c>
      <c r="AY14" s="27"/>
      <c r="AZ14" s="27">
        <v>0.79285661108431005</v>
      </c>
      <c r="BA14" s="27">
        <v>0.53097429078131098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B2:BA16"/>
  <sheetViews>
    <sheetView showGridLines="0" topLeftCell="A3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154</v>
      </c>
      <c r="C9" s="14">
        <v>0.59110211311500005</v>
      </c>
      <c r="D9" s="14">
        <v>0.576369818243613</v>
      </c>
      <c r="E9" s="14">
        <v>0.60507307304790203</v>
      </c>
      <c r="F9" s="14"/>
      <c r="G9" s="14">
        <v>0.81714198225865298</v>
      </c>
      <c r="H9" s="14">
        <v>0.61639172107102502</v>
      </c>
      <c r="I9" s="14">
        <v>0.62163289298242597</v>
      </c>
      <c r="J9" s="14">
        <v>0.59791317092144602</v>
      </c>
      <c r="K9" s="14">
        <v>0.47886592350542101</v>
      </c>
      <c r="L9" s="14">
        <v>0.44405568190806799</v>
      </c>
      <c r="M9" s="14"/>
      <c r="N9" s="14">
        <v>0.64393009106251298</v>
      </c>
      <c r="O9" s="14">
        <v>0.57950443598742096</v>
      </c>
      <c r="P9" s="14">
        <v>0.63309124879930201</v>
      </c>
      <c r="Q9" s="14">
        <v>0.50468292847626794</v>
      </c>
      <c r="R9" s="14"/>
      <c r="S9" s="14">
        <v>0.65852477471399695</v>
      </c>
      <c r="T9" s="14">
        <v>0.57282373300979295</v>
      </c>
      <c r="U9" s="14">
        <v>0.60012178966051499</v>
      </c>
      <c r="V9" s="14">
        <v>0.58473566473212402</v>
      </c>
      <c r="W9" s="14">
        <v>0.49890927306270499</v>
      </c>
      <c r="X9" s="14">
        <v>0.55918063103779603</v>
      </c>
      <c r="Y9" s="14">
        <v>0.57977578416866205</v>
      </c>
      <c r="Z9" s="14">
        <v>0.695811479212879</v>
      </c>
      <c r="AA9" s="14">
        <v>0.59356549160627503</v>
      </c>
      <c r="AB9" s="14"/>
      <c r="AC9" s="14">
        <v>0.49645071807734098</v>
      </c>
      <c r="AD9" s="14">
        <v>0.64788482742586595</v>
      </c>
      <c r="AE9" s="14">
        <v>0.62288933825236803</v>
      </c>
      <c r="AF9" s="14">
        <v>0.67839510968096095</v>
      </c>
      <c r="AG9" s="14">
        <v>0.79175546855594703</v>
      </c>
      <c r="AH9" s="14"/>
      <c r="AI9" s="14">
        <v>0.63378595488816503</v>
      </c>
      <c r="AJ9" s="14">
        <v>0.62486559516269002</v>
      </c>
      <c r="AK9" s="14">
        <v>0.57157583049598604</v>
      </c>
      <c r="AL9" s="14">
        <v>0.52802989508863296</v>
      </c>
      <c r="AM9" s="14">
        <v>0.65697548570272002</v>
      </c>
      <c r="AN9" s="14">
        <v>0.52778877147937997</v>
      </c>
      <c r="AO9" s="14"/>
      <c r="AP9" s="14">
        <v>0.62668815831985902</v>
      </c>
      <c r="AQ9" s="14">
        <v>0.552343809988048</v>
      </c>
      <c r="AR9" s="14"/>
      <c r="AS9" s="14" t="s">
        <v>88</v>
      </c>
      <c r="AT9" s="14" t="s">
        <v>88</v>
      </c>
      <c r="AU9" s="14">
        <v>0.59110211311500005</v>
      </c>
      <c r="AV9" s="14"/>
      <c r="AW9" s="14">
        <v>0.59144054086827402</v>
      </c>
      <c r="AX9" s="14">
        <v>0.67231094795631197</v>
      </c>
      <c r="AY9" s="14"/>
      <c r="AZ9" s="14">
        <v>0.61966647384356999</v>
      </c>
      <c r="BA9" s="14">
        <v>0.49005612317378799</v>
      </c>
    </row>
    <row r="10" spans="2:53" x14ac:dyDescent="0.35">
      <c r="B10" s="15" t="s">
        <v>155</v>
      </c>
      <c r="C10" s="14">
        <v>0.147865952895225</v>
      </c>
      <c r="D10" s="14">
        <v>0.19257402666905299</v>
      </c>
      <c r="E10" s="14">
        <v>0.103818376594708</v>
      </c>
      <c r="F10" s="14"/>
      <c r="G10" s="14">
        <v>0.182858017741347</v>
      </c>
      <c r="H10" s="14">
        <v>0.19115038303433399</v>
      </c>
      <c r="I10" s="14">
        <v>0.13433864232656401</v>
      </c>
      <c r="J10" s="14">
        <v>0.13779511824344801</v>
      </c>
      <c r="K10" s="14">
        <v>0.15837135870591301</v>
      </c>
      <c r="L10" s="14">
        <v>0.34772443065444097</v>
      </c>
      <c r="M10" s="14"/>
      <c r="N10" s="14">
        <v>0.155973489473681</v>
      </c>
      <c r="O10" s="14">
        <v>0.12516061776401299</v>
      </c>
      <c r="P10" s="14">
        <v>0.12490391457904999</v>
      </c>
      <c r="Q10" s="14">
        <v>0.18609027524257599</v>
      </c>
      <c r="R10" s="14"/>
      <c r="S10" s="14">
        <v>0.15864508594504001</v>
      </c>
      <c r="T10" s="14">
        <v>0.159638638532213</v>
      </c>
      <c r="U10" s="14">
        <v>0.10154731039688</v>
      </c>
      <c r="V10" s="14">
        <v>0.106399453614371</v>
      </c>
      <c r="W10" s="14">
        <v>0.212576452411779</v>
      </c>
      <c r="X10" s="14">
        <v>0.13717529265220299</v>
      </c>
      <c r="Y10" s="14">
        <v>0.13322653734235901</v>
      </c>
      <c r="Z10" s="14">
        <v>0.13822515876107699</v>
      </c>
      <c r="AA10" s="14">
        <v>0.167198408386905</v>
      </c>
      <c r="AB10" s="14"/>
      <c r="AC10" s="14">
        <v>0.15478360640882</v>
      </c>
      <c r="AD10" s="14">
        <v>0.123845419626558</v>
      </c>
      <c r="AE10" s="14">
        <v>0.15162260510105699</v>
      </c>
      <c r="AF10" s="14">
        <v>0.176995668321445</v>
      </c>
      <c r="AG10" s="14">
        <v>0.121364064492103</v>
      </c>
      <c r="AH10" s="14"/>
      <c r="AI10" s="14">
        <v>0.11302053338958699</v>
      </c>
      <c r="AJ10" s="14">
        <v>0.17633735165884101</v>
      </c>
      <c r="AK10" s="14">
        <v>0.109732150467362</v>
      </c>
      <c r="AL10" s="14">
        <v>0.20472660327009901</v>
      </c>
      <c r="AM10" s="14">
        <v>0.188185076494295</v>
      </c>
      <c r="AN10" s="14">
        <v>0.136698025533664</v>
      </c>
      <c r="AO10" s="14"/>
      <c r="AP10" s="14">
        <v>0.13813939829790201</v>
      </c>
      <c r="AQ10" s="14">
        <v>0.15974733481762601</v>
      </c>
      <c r="AR10" s="14"/>
      <c r="AS10" s="14" t="s">
        <v>88</v>
      </c>
      <c r="AT10" s="14" t="s">
        <v>88</v>
      </c>
      <c r="AU10" s="14">
        <v>0.147865952895225</v>
      </c>
      <c r="AV10" s="14"/>
      <c r="AW10" s="14">
        <v>0.13522792242406101</v>
      </c>
      <c r="AX10" s="14">
        <v>0.19777321657230101</v>
      </c>
      <c r="AY10" s="14"/>
      <c r="AZ10" s="14">
        <v>0.15679234951284901</v>
      </c>
      <c r="BA10" s="14">
        <v>0.11704671853944</v>
      </c>
    </row>
    <row r="11" spans="2:53" x14ac:dyDescent="0.35">
      <c r="B11" s="15" t="s">
        <v>116</v>
      </c>
      <c r="C11" s="23">
        <v>0.26103193398977498</v>
      </c>
      <c r="D11" s="23">
        <v>0.23105615508733399</v>
      </c>
      <c r="E11" s="23">
        <v>0.29110855035739103</v>
      </c>
      <c r="F11" s="23"/>
      <c r="G11" s="23">
        <v>0</v>
      </c>
      <c r="H11" s="23">
        <v>0.19245789589464099</v>
      </c>
      <c r="I11" s="23">
        <v>0.24402846469101</v>
      </c>
      <c r="J11" s="23">
        <v>0.264291710835106</v>
      </c>
      <c r="K11" s="23">
        <v>0.36276271778866698</v>
      </c>
      <c r="L11" s="23">
        <v>0.20821988743749101</v>
      </c>
      <c r="M11" s="23"/>
      <c r="N11" s="23">
        <v>0.20009641946380699</v>
      </c>
      <c r="O11" s="23">
        <v>0.29533494624856699</v>
      </c>
      <c r="P11" s="23">
        <v>0.24200483662164801</v>
      </c>
      <c r="Q11" s="23">
        <v>0.30922679628115601</v>
      </c>
      <c r="R11" s="23"/>
      <c r="S11" s="23">
        <v>0.18283013934096301</v>
      </c>
      <c r="T11" s="23">
        <v>0.267537628457994</v>
      </c>
      <c r="U11" s="23">
        <v>0.29833089994260398</v>
      </c>
      <c r="V11" s="23">
        <v>0.30886488165350501</v>
      </c>
      <c r="W11" s="23">
        <v>0.28851427452551698</v>
      </c>
      <c r="X11" s="23">
        <v>0.30364407631000101</v>
      </c>
      <c r="Y11" s="23">
        <v>0.286997678488979</v>
      </c>
      <c r="Z11" s="23">
        <v>0.165963362026043</v>
      </c>
      <c r="AA11" s="23">
        <v>0.23923610000682</v>
      </c>
      <c r="AB11" s="23"/>
      <c r="AC11" s="23">
        <v>0.34876567551383902</v>
      </c>
      <c r="AD11" s="23">
        <v>0.22826975294757601</v>
      </c>
      <c r="AE11" s="23">
        <v>0.22548805664657501</v>
      </c>
      <c r="AF11" s="23">
        <v>0.14460922199759399</v>
      </c>
      <c r="AG11" s="23">
        <v>8.6880466951949606E-2</v>
      </c>
      <c r="AH11" s="23"/>
      <c r="AI11" s="23">
        <v>0.25319351172224802</v>
      </c>
      <c r="AJ11" s="23">
        <v>0.19879705317846899</v>
      </c>
      <c r="AK11" s="23">
        <v>0.31869201903665201</v>
      </c>
      <c r="AL11" s="23">
        <v>0.26724350164126898</v>
      </c>
      <c r="AM11" s="23">
        <v>0.15483943780298501</v>
      </c>
      <c r="AN11" s="23">
        <v>0.33551320298695603</v>
      </c>
      <c r="AO11" s="23"/>
      <c r="AP11" s="23">
        <v>0.235172443382239</v>
      </c>
      <c r="AQ11" s="23">
        <v>0.28790885519432502</v>
      </c>
      <c r="AR11" s="23"/>
      <c r="AS11" s="23" t="s">
        <v>88</v>
      </c>
      <c r="AT11" s="23" t="s">
        <v>88</v>
      </c>
      <c r="AU11" s="23">
        <v>0.26103193398977498</v>
      </c>
      <c r="AV11" s="23"/>
      <c r="AW11" s="23">
        <v>0.27333153670766502</v>
      </c>
      <c r="AX11" s="23">
        <v>0.12991583547138799</v>
      </c>
      <c r="AY11" s="23"/>
      <c r="AZ11" s="23">
        <v>0.223541176643581</v>
      </c>
      <c r="BA11" s="23">
        <v>0.39289715828677202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B2:BA18"/>
  <sheetViews>
    <sheetView showGridLines="0" workbookViewId="0">
      <pane xSplit="2" topLeftCell="C1" activePane="topRight" state="frozen"/>
      <selection pane="topRight" activeCell="E15" sqref="E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349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814</v>
      </c>
      <c r="D7" s="10">
        <v>325</v>
      </c>
      <c r="E7" s="10">
        <v>488</v>
      </c>
      <c r="F7" s="10"/>
      <c r="G7" s="10">
        <v>2</v>
      </c>
      <c r="H7" s="10">
        <v>72</v>
      </c>
      <c r="I7" s="10">
        <v>339</v>
      </c>
      <c r="J7" s="10">
        <v>308</v>
      </c>
      <c r="K7" s="10">
        <v>80</v>
      </c>
      <c r="L7" s="10">
        <v>13</v>
      </c>
      <c r="M7" s="10"/>
      <c r="N7" s="10">
        <v>388</v>
      </c>
      <c r="O7" s="10">
        <v>181</v>
      </c>
      <c r="P7" s="10">
        <v>128</v>
      </c>
      <c r="Q7" s="10">
        <v>115</v>
      </c>
      <c r="R7" s="10"/>
      <c r="S7" s="10">
        <v>161</v>
      </c>
      <c r="T7" s="10">
        <v>117</v>
      </c>
      <c r="U7" s="10">
        <v>64</v>
      </c>
      <c r="V7" s="10">
        <v>76</v>
      </c>
      <c r="W7" s="10">
        <v>59</v>
      </c>
      <c r="X7" s="10">
        <v>91</v>
      </c>
      <c r="Y7" s="10">
        <v>89</v>
      </c>
      <c r="Z7" s="10">
        <v>48</v>
      </c>
      <c r="AA7" s="10">
        <v>109</v>
      </c>
      <c r="AB7" s="10"/>
      <c r="AC7" s="10">
        <v>127</v>
      </c>
      <c r="AD7" s="10">
        <v>160</v>
      </c>
      <c r="AE7" s="10">
        <v>247</v>
      </c>
      <c r="AF7" s="10">
        <v>166</v>
      </c>
      <c r="AG7" s="10">
        <v>42</v>
      </c>
      <c r="AH7" s="10"/>
      <c r="AI7" s="10">
        <v>313</v>
      </c>
      <c r="AJ7" s="10">
        <v>160</v>
      </c>
      <c r="AK7" s="10">
        <v>78</v>
      </c>
      <c r="AL7" s="10">
        <v>105</v>
      </c>
      <c r="AM7" s="10">
        <v>44</v>
      </c>
      <c r="AN7" s="10">
        <v>52</v>
      </c>
      <c r="AO7" s="10"/>
      <c r="AP7" s="10">
        <v>459</v>
      </c>
      <c r="AQ7" s="10">
        <v>354</v>
      </c>
      <c r="AR7" s="10"/>
      <c r="AS7" s="10" t="s">
        <v>87</v>
      </c>
      <c r="AT7" s="10" t="s">
        <v>87</v>
      </c>
      <c r="AU7" s="10">
        <v>814</v>
      </c>
      <c r="AV7" s="10"/>
      <c r="AW7" s="10">
        <v>580</v>
      </c>
      <c r="AX7" s="10">
        <v>177</v>
      </c>
      <c r="AY7" s="10"/>
      <c r="AZ7" s="10">
        <v>676</v>
      </c>
      <c r="BA7" s="10">
        <v>137</v>
      </c>
    </row>
    <row r="8" spans="2:53" ht="30" customHeight="1" x14ac:dyDescent="0.35">
      <c r="B8" s="11" t="s">
        <v>19</v>
      </c>
      <c r="C8" s="11">
        <v>780</v>
      </c>
      <c r="D8" s="11">
        <v>378</v>
      </c>
      <c r="E8" s="11">
        <v>401</v>
      </c>
      <c r="F8" s="11"/>
      <c r="G8" s="11">
        <v>2</v>
      </c>
      <c r="H8" s="11">
        <v>66</v>
      </c>
      <c r="I8" s="11">
        <v>318</v>
      </c>
      <c r="J8" s="11">
        <v>303</v>
      </c>
      <c r="K8" s="11">
        <v>78</v>
      </c>
      <c r="L8" s="11">
        <v>12</v>
      </c>
      <c r="M8" s="11"/>
      <c r="N8" s="11">
        <v>235</v>
      </c>
      <c r="O8" s="11">
        <v>188</v>
      </c>
      <c r="P8" s="11">
        <v>194</v>
      </c>
      <c r="Q8" s="11">
        <v>161</v>
      </c>
      <c r="R8" s="11"/>
      <c r="S8" s="11">
        <v>132</v>
      </c>
      <c r="T8" s="11">
        <v>116</v>
      </c>
      <c r="U8" s="11">
        <v>77</v>
      </c>
      <c r="V8" s="11">
        <v>86</v>
      </c>
      <c r="W8" s="11">
        <v>64</v>
      </c>
      <c r="X8" s="11">
        <v>75</v>
      </c>
      <c r="Y8" s="11">
        <v>79</v>
      </c>
      <c r="Z8" s="11">
        <v>48</v>
      </c>
      <c r="AA8" s="11">
        <v>101</v>
      </c>
      <c r="AB8" s="11"/>
      <c r="AC8" s="11">
        <v>153</v>
      </c>
      <c r="AD8" s="11">
        <v>179</v>
      </c>
      <c r="AE8" s="11">
        <v>225</v>
      </c>
      <c r="AF8" s="11">
        <v>121</v>
      </c>
      <c r="AG8" s="11">
        <v>22</v>
      </c>
      <c r="AH8" s="11"/>
      <c r="AI8" s="11">
        <v>287</v>
      </c>
      <c r="AJ8" s="11">
        <v>147</v>
      </c>
      <c r="AK8" s="11">
        <v>70</v>
      </c>
      <c r="AL8" s="11">
        <v>115</v>
      </c>
      <c r="AM8" s="11">
        <v>43</v>
      </c>
      <c r="AN8" s="11">
        <v>52</v>
      </c>
      <c r="AO8" s="11"/>
      <c r="AP8" s="11">
        <v>440</v>
      </c>
      <c r="AQ8" s="11">
        <v>339</v>
      </c>
      <c r="AR8" s="11"/>
      <c r="AS8" s="11" t="s">
        <v>87</v>
      </c>
      <c r="AT8" s="11" t="s">
        <v>87</v>
      </c>
      <c r="AU8" s="11">
        <v>780</v>
      </c>
      <c r="AV8" s="11"/>
      <c r="AW8" s="11">
        <v>576</v>
      </c>
      <c r="AX8" s="11">
        <v>140</v>
      </c>
      <c r="AY8" s="11"/>
      <c r="AZ8" s="11">
        <v>640</v>
      </c>
      <c r="BA8" s="11">
        <v>139</v>
      </c>
    </row>
    <row r="9" spans="2:53" x14ac:dyDescent="0.35">
      <c r="B9" s="15" t="s">
        <v>214</v>
      </c>
      <c r="C9" s="14">
        <v>0.15607334630497</v>
      </c>
      <c r="D9" s="14">
        <v>0.18544843060632499</v>
      </c>
      <c r="E9" s="14">
        <v>0.128754803086223</v>
      </c>
      <c r="F9" s="14"/>
      <c r="G9" s="14">
        <v>0</v>
      </c>
      <c r="H9" s="14">
        <v>0.19794384207046001</v>
      </c>
      <c r="I9" s="14">
        <v>0.19443352817057599</v>
      </c>
      <c r="J9" s="14">
        <v>0.12147338028252</v>
      </c>
      <c r="K9" s="14">
        <v>0.107395992757986</v>
      </c>
      <c r="L9" s="14">
        <v>0.12843332365538701</v>
      </c>
      <c r="M9" s="14"/>
      <c r="N9" s="14">
        <v>0.16529463935473099</v>
      </c>
      <c r="O9" s="14">
        <v>8.9557664744650503E-2</v>
      </c>
      <c r="P9" s="14">
        <v>0.137189034785034</v>
      </c>
      <c r="Q9" s="14">
        <v>0.245141048136722</v>
      </c>
      <c r="R9" s="14"/>
      <c r="S9" s="14">
        <v>0.221245281997975</v>
      </c>
      <c r="T9" s="14">
        <v>0.117536754183533</v>
      </c>
      <c r="U9" s="14">
        <v>0.125666339040366</v>
      </c>
      <c r="V9" s="14">
        <v>0.20413466648578099</v>
      </c>
      <c r="W9" s="14">
        <v>0.141525784588207</v>
      </c>
      <c r="X9" s="14">
        <v>0.143655706433827</v>
      </c>
      <c r="Y9" s="14">
        <v>0.16774550477332101</v>
      </c>
      <c r="Z9" s="14">
        <v>0.14314993138211801</v>
      </c>
      <c r="AA9" s="14">
        <v>0.112899125990747</v>
      </c>
      <c r="AB9" s="14"/>
      <c r="AC9" s="14">
        <v>0.20424831995140999</v>
      </c>
      <c r="AD9" s="14">
        <v>8.3582963454334497E-2</v>
      </c>
      <c r="AE9" s="14">
        <v>0.144259971014366</v>
      </c>
      <c r="AF9" s="14">
        <v>0.25501705887202503</v>
      </c>
      <c r="AG9" s="14">
        <v>0.36444354260534101</v>
      </c>
      <c r="AH9" s="14"/>
      <c r="AI9" s="14">
        <v>0.20721914003912001</v>
      </c>
      <c r="AJ9" s="14">
        <v>0.15699960523190701</v>
      </c>
      <c r="AK9" s="14">
        <v>0.19175352550466199</v>
      </c>
      <c r="AL9" s="14">
        <v>8.8162736498212504E-2</v>
      </c>
      <c r="AM9" s="14">
        <v>0.13163554732909899</v>
      </c>
      <c r="AN9" s="14">
        <v>5.6221924396305203E-2</v>
      </c>
      <c r="AO9" s="14"/>
      <c r="AP9" s="14">
        <v>0.17644464909127799</v>
      </c>
      <c r="AQ9" s="14">
        <v>0.12992668328728299</v>
      </c>
      <c r="AR9" s="14"/>
      <c r="AS9" s="14" t="s">
        <v>88</v>
      </c>
      <c r="AT9" s="14" t="s">
        <v>88</v>
      </c>
      <c r="AU9" s="14">
        <v>0.15607334630497</v>
      </c>
      <c r="AV9" s="14"/>
      <c r="AW9" s="14">
        <v>0.140521512612788</v>
      </c>
      <c r="AX9" s="14">
        <v>0.21235721222168299</v>
      </c>
      <c r="AY9" s="14"/>
      <c r="AZ9" s="14">
        <v>0.168796351415545</v>
      </c>
      <c r="BA9" s="14">
        <v>9.8774585490540606E-2</v>
      </c>
    </row>
    <row r="10" spans="2:53" x14ac:dyDescent="0.35">
      <c r="B10" s="15" t="s">
        <v>215</v>
      </c>
      <c r="C10" s="14">
        <v>0.57446469435956504</v>
      </c>
      <c r="D10" s="14">
        <v>0.57425565610183704</v>
      </c>
      <c r="E10" s="14">
        <v>0.57609502361778697</v>
      </c>
      <c r="F10" s="14"/>
      <c r="G10" s="14">
        <v>0.53755186374684905</v>
      </c>
      <c r="H10" s="14">
        <v>0.58608359929293097</v>
      </c>
      <c r="I10" s="14">
        <v>0.58433688176285903</v>
      </c>
      <c r="J10" s="14">
        <v>0.58112919977484401</v>
      </c>
      <c r="K10" s="14">
        <v>0.48607345037090999</v>
      </c>
      <c r="L10" s="14">
        <v>0.66153397279640502</v>
      </c>
      <c r="M10" s="14"/>
      <c r="N10" s="14">
        <v>0.56715756172292398</v>
      </c>
      <c r="O10" s="14">
        <v>0.59661098327159601</v>
      </c>
      <c r="P10" s="14">
        <v>0.64700028359485895</v>
      </c>
      <c r="Q10" s="14">
        <v>0.46619399617688301</v>
      </c>
      <c r="R10" s="14"/>
      <c r="S10" s="14">
        <v>0.63012059966822798</v>
      </c>
      <c r="T10" s="14">
        <v>0.56298240671922595</v>
      </c>
      <c r="U10" s="14">
        <v>0.52764918566346897</v>
      </c>
      <c r="V10" s="14">
        <v>0.55049853670787396</v>
      </c>
      <c r="W10" s="14">
        <v>0.55148246120920996</v>
      </c>
      <c r="X10" s="14">
        <v>0.65644658046564297</v>
      </c>
      <c r="Y10" s="14">
        <v>0.59260936387763097</v>
      </c>
      <c r="Z10" s="14">
        <v>0.51667982692213998</v>
      </c>
      <c r="AA10" s="14">
        <v>0.53763765555716303</v>
      </c>
      <c r="AB10" s="14"/>
      <c r="AC10" s="14">
        <v>0.52842433411620604</v>
      </c>
      <c r="AD10" s="14">
        <v>0.64555473889614501</v>
      </c>
      <c r="AE10" s="14">
        <v>0.59597023986028697</v>
      </c>
      <c r="AF10" s="14">
        <v>0.52115101870165503</v>
      </c>
      <c r="AG10" s="14">
        <v>0.46628984169627502</v>
      </c>
      <c r="AH10" s="14"/>
      <c r="AI10" s="14">
        <v>0.52576220207291902</v>
      </c>
      <c r="AJ10" s="14">
        <v>0.63942355352206204</v>
      </c>
      <c r="AK10" s="14">
        <v>0.51937043998672405</v>
      </c>
      <c r="AL10" s="14">
        <v>0.53865539813750096</v>
      </c>
      <c r="AM10" s="14">
        <v>0.66474734158901605</v>
      </c>
      <c r="AN10" s="14">
        <v>0.57655486213507501</v>
      </c>
      <c r="AO10" s="14"/>
      <c r="AP10" s="14">
        <v>0.57745554375694896</v>
      </c>
      <c r="AQ10" s="14">
        <v>0.57167807502479895</v>
      </c>
      <c r="AR10" s="14"/>
      <c r="AS10" s="14" t="s">
        <v>88</v>
      </c>
      <c r="AT10" s="14" t="s">
        <v>88</v>
      </c>
      <c r="AU10" s="14">
        <v>0.57446469435956504</v>
      </c>
      <c r="AV10" s="14"/>
      <c r="AW10" s="14">
        <v>0.58029149971711103</v>
      </c>
      <c r="AX10" s="14">
        <v>0.57964446512352397</v>
      </c>
      <c r="AY10" s="14"/>
      <c r="AZ10" s="14">
        <v>0.577941134811229</v>
      </c>
      <c r="BA10" s="14">
        <v>0.55524879928028803</v>
      </c>
    </row>
    <row r="11" spans="2:53" x14ac:dyDescent="0.35">
      <c r="B11" s="15" t="s">
        <v>216</v>
      </c>
      <c r="C11" s="14">
        <v>0.131814332427696</v>
      </c>
      <c r="D11" s="14">
        <v>0.110492682220985</v>
      </c>
      <c r="E11" s="14">
        <v>0.149759958424625</v>
      </c>
      <c r="F11" s="14"/>
      <c r="G11" s="14">
        <v>0</v>
      </c>
      <c r="H11" s="14">
        <v>0.11510117121065699</v>
      </c>
      <c r="I11" s="14">
        <v>0.114980763204793</v>
      </c>
      <c r="J11" s="14">
        <v>0.14732935758836299</v>
      </c>
      <c r="K11" s="14">
        <v>0.15115823683122401</v>
      </c>
      <c r="L11" s="14">
        <v>0.177526451225891</v>
      </c>
      <c r="M11" s="14"/>
      <c r="N11" s="14">
        <v>0.115869248413989</v>
      </c>
      <c r="O11" s="14">
        <v>0.14556012450781899</v>
      </c>
      <c r="P11" s="14">
        <v>0.113853754669901</v>
      </c>
      <c r="Q11" s="14">
        <v>0.1624613168322</v>
      </c>
      <c r="R11" s="14"/>
      <c r="S11" s="14">
        <v>7.5159639937320902E-2</v>
      </c>
      <c r="T11" s="14">
        <v>0.16453904357142901</v>
      </c>
      <c r="U11" s="14">
        <v>0.135584129632839</v>
      </c>
      <c r="V11" s="14">
        <v>0.128615136085245</v>
      </c>
      <c r="W11" s="14">
        <v>0.163356594490385</v>
      </c>
      <c r="X11" s="14">
        <v>9.2588441847382297E-2</v>
      </c>
      <c r="Y11" s="14">
        <v>9.67908578698186E-2</v>
      </c>
      <c r="Z11" s="14">
        <v>0.155314523114926</v>
      </c>
      <c r="AA11" s="14">
        <v>0.19363495824348401</v>
      </c>
      <c r="AB11" s="14"/>
      <c r="AC11" s="14">
        <v>0.11416817089218299</v>
      </c>
      <c r="AD11" s="14">
        <v>0.14379956488790599</v>
      </c>
      <c r="AE11" s="14">
        <v>0.14338595712368299</v>
      </c>
      <c r="AF11" s="14">
        <v>9.6325840164094095E-2</v>
      </c>
      <c r="AG11" s="14">
        <v>9.3084709999727094E-2</v>
      </c>
      <c r="AH11" s="14"/>
      <c r="AI11" s="14">
        <v>0.13423927966580501</v>
      </c>
      <c r="AJ11" s="14">
        <v>0.14275876673261101</v>
      </c>
      <c r="AK11" s="14">
        <v>0.119376989980643</v>
      </c>
      <c r="AL11" s="14">
        <v>0.14752201257905101</v>
      </c>
      <c r="AM11" s="14">
        <v>8.4950626525214998E-2</v>
      </c>
      <c r="AN11" s="14">
        <v>0.13944107724830401</v>
      </c>
      <c r="AO11" s="14"/>
      <c r="AP11" s="14">
        <v>0.13064112493039801</v>
      </c>
      <c r="AQ11" s="14">
        <v>0.131681126153536</v>
      </c>
      <c r="AR11" s="14"/>
      <c r="AS11" s="14" t="s">
        <v>88</v>
      </c>
      <c r="AT11" s="14" t="s">
        <v>88</v>
      </c>
      <c r="AU11" s="14">
        <v>0.131814332427696</v>
      </c>
      <c r="AV11" s="14"/>
      <c r="AW11" s="14">
        <v>0.137613025868249</v>
      </c>
      <c r="AX11" s="14">
        <v>9.0393812424924599E-2</v>
      </c>
      <c r="AY11" s="14"/>
      <c r="AZ11" s="14">
        <v>0.123529573019647</v>
      </c>
      <c r="BA11" s="14">
        <v>0.170900065531744</v>
      </c>
    </row>
    <row r="12" spans="2:53" x14ac:dyDescent="0.35">
      <c r="B12" s="15" t="s">
        <v>217</v>
      </c>
      <c r="C12" s="14">
        <v>2.1448402006220699E-2</v>
      </c>
      <c r="D12" s="14">
        <v>6.5656973132832298E-3</v>
      </c>
      <c r="E12" s="14">
        <v>3.55399517319889E-2</v>
      </c>
      <c r="F12" s="14"/>
      <c r="G12" s="14">
        <v>0</v>
      </c>
      <c r="H12" s="14">
        <v>1.5993441004050798E-2</v>
      </c>
      <c r="I12" s="14">
        <v>1.8132833184774998E-2</v>
      </c>
      <c r="J12" s="14">
        <v>2.14625875228379E-2</v>
      </c>
      <c r="K12" s="14">
        <v>4.3517879604811002E-2</v>
      </c>
      <c r="L12" s="14">
        <v>0</v>
      </c>
      <c r="M12" s="14"/>
      <c r="N12" s="14">
        <v>2.4179231575262899E-2</v>
      </c>
      <c r="O12" s="14">
        <v>2.3518931400522799E-2</v>
      </c>
      <c r="P12" s="14">
        <v>7.8421760770578993E-3</v>
      </c>
      <c r="Q12" s="14">
        <v>3.1728805690297401E-2</v>
      </c>
      <c r="R12" s="14"/>
      <c r="S12" s="14">
        <v>1.40920853470295E-2</v>
      </c>
      <c r="T12" s="14">
        <v>2.3797531275167001E-2</v>
      </c>
      <c r="U12" s="14">
        <v>3.3626237869554598E-2</v>
      </c>
      <c r="V12" s="14">
        <v>3.0601852782044098E-2</v>
      </c>
      <c r="W12" s="14">
        <v>2.4194453792490699E-2</v>
      </c>
      <c r="X12" s="14">
        <v>6.9429629264222198E-3</v>
      </c>
      <c r="Y12" s="14">
        <v>6.9180497531793296E-3</v>
      </c>
      <c r="Z12" s="14">
        <v>3.79889416530435E-2</v>
      </c>
      <c r="AA12" s="14">
        <v>2.3929907278085801E-2</v>
      </c>
      <c r="AB12" s="14"/>
      <c r="AC12" s="14">
        <v>0</v>
      </c>
      <c r="AD12" s="14">
        <v>2.2454610366170101E-2</v>
      </c>
      <c r="AE12" s="14">
        <v>1.50826088848919E-2</v>
      </c>
      <c r="AF12" s="14">
        <v>1.8497941895723201E-2</v>
      </c>
      <c r="AG12" s="14">
        <v>1.43967234340191E-2</v>
      </c>
      <c r="AH12" s="14"/>
      <c r="AI12" s="14">
        <v>2.7061990765997301E-2</v>
      </c>
      <c r="AJ12" s="14">
        <v>5.0803374277055601E-3</v>
      </c>
      <c r="AK12" s="14">
        <v>9.4928058573880598E-3</v>
      </c>
      <c r="AL12" s="14">
        <v>2.85664057334916E-2</v>
      </c>
      <c r="AM12" s="14">
        <v>0</v>
      </c>
      <c r="AN12" s="14">
        <v>6.6661772992830104E-2</v>
      </c>
      <c r="AO12" s="14"/>
      <c r="AP12" s="14">
        <v>1.9155055393109601E-2</v>
      </c>
      <c r="AQ12" s="14">
        <v>2.4466356153874401E-2</v>
      </c>
      <c r="AR12" s="14"/>
      <c r="AS12" s="14" t="s">
        <v>88</v>
      </c>
      <c r="AT12" s="14" t="s">
        <v>88</v>
      </c>
      <c r="AU12" s="14">
        <v>2.1448402006220699E-2</v>
      </c>
      <c r="AV12" s="14"/>
      <c r="AW12" s="14">
        <v>1.8324486865830599E-2</v>
      </c>
      <c r="AX12" s="14">
        <v>1.6416872152176801E-2</v>
      </c>
      <c r="AY12" s="14"/>
      <c r="AZ12" s="14">
        <v>1.8311566443707999E-2</v>
      </c>
      <c r="BA12" s="14">
        <v>3.6030944667473502E-2</v>
      </c>
    </row>
    <row r="13" spans="2:53" x14ac:dyDescent="0.35">
      <c r="B13" s="15" t="s">
        <v>116</v>
      </c>
      <c r="C13" s="23">
        <v>4.6106969190685201E-2</v>
      </c>
      <c r="D13" s="23">
        <v>3.4983852451700499E-2</v>
      </c>
      <c r="E13" s="23">
        <v>5.6713822668304402E-2</v>
      </c>
      <c r="F13" s="23"/>
      <c r="G13" s="23">
        <v>0</v>
      </c>
      <c r="H13" s="23">
        <v>1.9204955023082799E-2</v>
      </c>
      <c r="I13" s="23">
        <v>3.7221260275127697E-2</v>
      </c>
      <c r="J13" s="23">
        <v>5.3306263034972899E-2</v>
      </c>
      <c r="K13" s="23">
        <v>8.0667913612909897E-2</v>
      </c>
      <c r="L13" s="23">
        <v>3.25062523223172E-2</v>
      </c>
      <c r="M13" s="23"/>
      <c r="N13" s="23">
        <v>5.0125695254447197E-2</v>
      </c>
      <c r="O13" s="23">
        <v>5.8488588193598701E-2</v>
      </c>
      <c r="P13" s="23">
        <v>5.0076532722438102E-2</v>
      </c>
      <c r="Q13" s="23">
        <v>2.1580289886631899E-2</v>
      </c>
      <c r="R13" s="23"/>
      <c r="S13" s="23">
        <v>1.44088106873043E-2</v>
      </c>
      <c r="T13" s="23">
        <v>4.0416544089087098E-2</v>
      </c>
      <c r="U13" s="23">
        <v>8.5129311203607297E-2</v>
      </c>
      <c r="V13" s="23">
        <v>5.0888060370989002E-2</v>
      </c>
      <c r="W13" s="23">
        <v>4.5483571109045197E-2</v>
      </c>
      <c r="X13" s="23">
        <v>2.9374589406288901E-2</v>
      </c>
      <c r="Y13" s="23">
        <v>7.2517076834320904E-2</v>
      </c>
      <c r="Z13" s="23">
        <v>7.7366647552197507E-2</v>
      </c>
      <c r="AA13" s="23">
        <v>3.7664843296389403E-2</v>
      </c>
      <c r="AB13" s="23"/>
      <c r="AC13" s="23">
        <v>5.8527216009495897E-2</v>
      </c>
      <c r="AD13" s="23">
        <v>4.6250110491532402E-2</v>
      </c>
      <c r="AE13" s="23">
        <v>4.53515919257379E-2</v>
      </c>
      <c r="AF13" s="23">
        <v>3.2090578610640498E-2</v>
      </c>
      <c r="AG13" s="23">
        <v>1.4751186498254999E-2</v>
      </c>
      <c r="AH13" s="23"/>
      <c r="AI13" s="23">
        <v>3.1489579005480099E-2</v>
      </c>
      <c r="AJ13" s="23">
        <v>2.3147222828323901E-2</v>
      </c>
      <c r="AK13" s="23">
        <v>5.8393645125996201E-2</v>
      </c>
      <c r="AL13" s="23">
        <v>9.1738105331926098E-2</v>
      </c>
      <c r="AM13" s="23">
        <v>2.2046593036183199E-2</v>
      </c>
      <c r="AN13" s="23">
        <v>0.11438838288374201</v>
      </c>
      <c r="AO13" s="23"/>
      <c r="AP13" s="23">
        <v>3.8885739092221601E-2</v>
      </c>
      <c r="AQ13" s="23">
        <v>5.5568945808735802E-2</v>
      </c>
      <c r="AR13" s="23"/>
      <c r="AS13" s="23" t="s">
        <v>88</v>
      </c>
      <c r="AT13" s="23" t="s">
        <v>88</v>
      </c>
      <c r="AU13" s="23">
        <v>4.6106969190685201E-2</v>
      </c>
      <c r="AV13" s="23"/>
      <c r="AW13" s="23">
        <v>5.3789547108310298E-2</v>
      </c>
      <c r="AX13" s="23">
        <v>2.3395873301884001E-2</v>
      </c>
      <c r="AY13" s="23"/>
      <c r="AZ13" s="23">
        <v>4.0377621041062899E-2</v>
      </c>
      <c r="BA13" s="23">
        <v>7.2794305912277396E-2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B2:BA19"/>
  <sheetViews>
    <sheetView showGridLines="0" workbookViewId="0">
      <pane xSplit="2" topLeftCell="C1" activePane="topRight" state="frozen"/>
      <selection pane="topRight" activeCell="C16" sqref="C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814</v>
      </c>
      <c r="D7" s="10">
        <v>325</v>
      </c>
      <c r="E7" s="10">
        <v>488</v>
      </c>
      <c r="F7" s="10"/>
      <c r="G7" s="10">
        <v>2</v>
      </c>
      <c r="H7" s="10">
        <v>72</v>
      </c>
      <c r="I7" s="10">
        <v>339</v>
      </c>
      <c r="J7" s="10">
        <v>308</v>
      </c>
      <c r="K7" s="10">
        <v>80</v>
      </c>
      <c r="L7" s="10">
        <v>13</v>
      </c>
      <c r="M7" s="10"/>
      <c r="N7" s="10">
        <v>388</v>
      </c>
      <c r="O7" s="10">
        <v>181</v>
      </c>
      <c r="P7" s="10">
        <v>128</v>
      </c>
      <c r="Q7" s="10">
        <v>115</v>
      </c>
      <c r="R7" s="10"/>
      <c r="S7" s="10">
        <v>161</v>
      </c>
      <c r="T7" s="10">
        <v>117</v>
      </c>
      <c r="U7" s="10">
        <v>64</v>
      </c>
      <c r="V7" s="10">
        <v>76</v>
      </c>
      <c r="W7" s="10">
        <v>59</v>
      </c>
      <c r="X7" s="10">
        <v>91</v>
      </c>
      <c r="Y7" s="10">
        <v>89</v>
      </c>
      <c r="Z7" s="10">
        <v>48</v>
      </c>
      <c r="AA7" s="10">
        <v>109</v>
      </c>
      <c r="AB7" s="10"/>
      <c r="AC7" s="10">
        <v>127</v>
      </c>
      <c r="AD7" s="10">
        <v>160</v>
      </c>
      <c r="AE7" s="10">
        <v>247</v>
      </c>
      <c r="AF7" s="10">
        <v>166</v>
      </c>
      <c r="AG7" s="10">
        <v>42</v>
      </c>
      <c r="AH7" s="10"/>
      <c r="AI7" s="10">
        <v>313</v>
      </c>
      <c r="AJ7" s="10">
        <v>160</v>
      </c>
      <c r="AK7" s="10">
        <v>78</v>
      </c>
      <c r="AL7" s="10">
        <v>105</v>
      </c>
      <c r="AM7" s="10">
        <v>44</v>
      </c>
      <c r="AN7" s="10">
        <v>52</v>
      </c>
      <c r="AO7" s="10"/>
      <c r="AP7" s="10">
        <v>459</v>
      </c>
      <c r="AQ7" s="10">
        <v>354</v>
      </c>
      <c r="AR7" s="10"/>
      <c r="AS7" s="10" t="s">
        <v>87</v>
      </c>
      <c r="AT7" s="10" t="s">
        <v>87</v>
      </c>
      <c r="AU7" s="10">
        <v>814</v>
      </c>
      <c r="AV7" s="10"/>
      <c r="AW7" s="10">
        <v>580</v>
      </c>
      <c r="AX7" s="10">
        <v>177</v>
      </c>
      <c r="AY7" s="10"/>
      <c r="AZ7" s="10">
        <v>676</v>
      </c>
      <c r="BA7" s="10">
        <v>137</v>
      </c>
    </row>
    <row r="8" spans="2:53" ht="30" customHeight="1" x14ac:dyDescent="0.35">
      <c r="B8" s="11" t="s">
        <v>19</v>
      </c>
      <c r="C8" s="11">
        <v>780</v>
      </c>
      <c r="D8" s="11">
        <v>378</v>
      </c>
      <c r="E8" s="11">
        <v>401</v>
      </c>
      <c r="F8" s="11"/>
      <c r="G8" s="11">
        <v>2</v>
      </c>
      <c r="H8" s="11">
        <v>66</v>
      </c>
      <c r="I8" s="11">
        <v>318</v>
      </c>
      <c r="J8" s="11">
        <v>303</v>
      </c>
      <c r="K8" s="11">
        <v>78</v>
      </c>
      <c r="L8" s="11">
        <v>12</v>
      </c>
      <c r="M8" s="11"/>
      <c r="N8" s="11">
        <v>235</v>
      </c>
      <c r="O8" s="11">
        <v>188</v>
      </c>
      <c r="P8" s="11">
        <v>194</v>
      </c>
      <c r="Q8" s="11">
        <v>161</v>
      </c>
      <c r="R8" s="11"/>
      <c r="S8" s="11">
        <v>132</v>
      </c>
      <c r="T8" s="11">
        <v>116</v>
      </c>
      <c r="U8" s="11">
        <v>77</v>
      </c>
      <c r="V8" s="11">
        <v>86</v>
      </c>
      <c r="W8" s="11">
        <v>64</v>
      </c>
      <c r="X8" s="11">
        <v>75</v>
      </c>
      <c r="Y8" s="11">
        <v>79</v>
      </c>
      <c r="Z8" s="11">
        <v>48</v>
      </c>
      <c r="AA8" s="11">
        <v>101</v>
      </c>
      <c r="AB8" s="11"/>
      <c r="AC8" s="11">
        <v>153</v>
      </c>
      <c r="AD8" s="11">
        <v>179</v>
      </c>
      <c r="AE8" s="11">
        <v>225</v>
      </c>
      <c r="AF8" s="11">
        <v>121</v>
      </c>
      <c r="AG8" s="11">
        <v>22</v>
      </c>
      <c r="AH8" s="11"/>
      <c r="AI8" s="11">
        <v>287</v>
      </c>
      <c r="AJ8" s="11">
        <v>147</v>
      </c>
      <c r="AK8" s="11">
        <v>70</v>
      </c>
      <c r="AL8" s="11">
        <v>115</v>
      </c>
      <c r="AM8" s="11">
        <v>43</v>
      </c>
      <c r="AN8" s="11">
        <v>52</v>
      </c>
      <c r="AO8" s="11"/>
      <c r="AP8" s="11">
        <v>440</v>
      </c>
      <c r="AQ8" s="11">
        <v>339</v>
      </c>
      <c r="AR8" s="11"/>
      <c r="AS8" s="11" t="s">
        <v>87</v>
      </c>
      <c r="AT8" s="11" t="s">
        <v>87</v>
      </c>
      <c r="AU8" s="11">
        <v>780</v>
      </c>
      <c r="AV8" s="11"/>
      <c r="AW8" s="11">
        <v>576</v>
      </c>
      <c r="AX8" s="11">
        <v>140</v>
      </c>
      <c r="AY8" s="11"/>
      <c r="AZ8" s="11">
        <v>640</v>
      </c>
      <c r="BA8" s="11">
        <v>139</v>
      </c>
    </row>
    <row r="9" spans="2:53" x14ac:dyDescent="0.35">
      <c r="B9" s="15" t="s">
        <v>220</v>
      </c>
      <c r="C9" s="14">
        <v>0.202232381187752</v>
      </c>
      <c r="D9" s="14">
        <v>0.247252285227784</v>
      </c>
      <c r="E9" s="14">
        <v>0.15777732568647501</v>
      </c>
      <c r="F9" s="14"/>
      <c r="G9" s="14">
        <v>0</v>
      </c>
      <c r="H9" s="14">
        <v>0.25297769770161299</v>
      </c>
      <c r="I9" s="14">
        <v>0.21789459125847899</v>
      </c>
      <c r="J9" s="14">
        <v>0.16637598795146</v>
      </c>
      <c r="K9" s="14">
        <v>0.21766582455379899</v>
      </c>
      <c r="L9" s="14">
        <v>0.34527978638520102</v>
      </c>
      <c r="M9" s="14"/>
      <c r="N9" s="14">
        <v>0.26124774591243</v>
      </c>
      <c r="O9" s="14">
        <v>0.157675563381625</v>
      </c>
      <c r="P9" s="14">
        <v>0.168985461506099</v>
      </c>
      <c r="Q9" s="14">
        <v>0.210761646339232</v>
      </c>
      <c r="R9" s="14"/>
      <c r="S9" s="14">
        <v>0.29122553065818102</v>
      </c>
      <c r="T9" s="14">
        <v>0.156187988383787</v>
      </c>
      <c r="U9" s="14">
        <v>0.164258641042479</v>
      </c>
      <c r="V9" s="14">
        <v>0.18906418844113901</v>
      </c>
      <c r="W9" s="14">
        <v>0.10158549043331699</v>
      </c>
      <c r="X9" s="14">
        <v>0.25151225786857201</v>
      </c>
      <c r="Y9" s="14">
        <v>0.17416899901792099</v>
      </c>
      <c r="Z9" s="14">
        <v>0.269816328485324</v>
      </c>
      <c r="AA9" s="14">
        <v>0.196068970811971</v>
      </c>
      <c r="AB9" s="14"/>
      <c r="AC9" s="14">
        <v>0.16286530265964899</v>
      </c>
      <c r="AD9" s="14">
        <v>0.14779352407445401</v>
      </c>
      <c r="AE9" s="14">
        <v>0.16895849181071601</v>
      </c>
      <c r="AF9" s="14">
        <v>0.32102361660165102</v>
      </c>
      <c r="AG9" s="14">
        <v>0.50339238994410296</v>
      </c>
      <c r="AH9" s="14"/>
      <c r="AI9" s="14">
        <v>0.26579999673055499</v>
      </c>
      <c r="AJ9" s="14">
        <v>0.206894811671476</v>
      </c>
      <c r="AK9" s="14">
        <v>0.179519198598598</v>
      </c>
      <c r="AL9" s="14">
        <v>0.12242057784285799</v>
      </c>
      <c r="AM9" s="14">
        <v>0.27628755502258601</v>
      </c>
      <c r="AN9" s="14">
        <v>5.7098315346840997E-2</v>
      </c>
      <c r="AO9" s="14"/>
      <c r="AP9" s="14">
        <v>0.232916362483329</v>
      </c>
      <c r="AQ9" s="14">
        <v>0.16278667975571701</v>
      </c>
      <c r="AR9" s="14"/>
      <c r="AS9" s="14" t="s">
        <v>88</v>
      </c>
      <c r="AT9" s="14" t="s">
        <v>88</v>
      </c>
      <c r="AU9" s="14">
        <v>0.202232381187752</v>
      </c>
      <c r="AV9" s="14"/>
      <c r="AW9" s="14">
        <v>0.18628102821707099</v>
      </c>
      <c r="AX9" s="14">
        <v>0.33424394975477301</v>
      </c>
      <c r="AY9" s="14"/>
      <c r="AZ9" s="14">
        <v>0.22955284425671199</v>
      </c>
      <c r="BA9" s="14">
        <v>7.81826630845813E-2</v>
      </c>
    </row>
    <row r="10" spans="2:53" x14ac:dyDescent="0.35">
      <c r="B10" s="15" t="s">
        <v>221</v>
      </c>
      <c r="C10" s="14">
        <v>0.54271816490353797</v>
      </c>
      <c r="D10" s="14">
        <v>0.54313792212475898</v>
      </c>
      <c r="E10" s="14">
        <v>0.54367618563501896</v>
      </c>
      <c r="F10" s="14"/>
      <c r="G10" s="14">
        <v>0.53755186374684905</v>
      </c>
      <c r="H10" s="14">
        <v>0.48675851286937999</v>
      </c>
      <c r="I10" s="14">
        <v>0.54505427784870997</v>
      </c>
      <c r="J10" s="14">
        <v>0.55815332075166002</v>
      </c>
      <c r="K10" s="14">
        <v>0.53139719682485698</v>
      </c>
      <c r="L10" s="14">
        <v>0.47659919095578201</v>
      </c>
      <c r="M10" s="14"/>
      <c r="N10" s="14">
        <v>0.522113201713437</v>
      </c>
      <c r="O10" s="14">
        <v>0.52627859914394104</v>
      </c>
      <c r="P10" s="14">
        <v>0.63123483215418597</v>
      </c>
      <c r="Q10" s="14">
        <v>0.47928698523755903</v>
      </c>
      <c r="R10" s="14"/>
      <c r="S10" s="14">
        <v>0.53193815263934996</v>
      </c>
      <c r="T10" s="14">
        <v>0.57462279239344105</v>
      </c>
      <c r="U10" s="14">
        <v>0.51871164052283003</v>
      </c>
      <c r="V10" s="14">
        <v>0.58716372767009495</v>
      </c>
      <c r="W10" s="14">
        <v>0.52455180758141096</v>
      </c>
      <c r="X10" s="14">
        <v>0.57830890524255896</v>
      </c>
      <c r="Y10" s="14">
        <v>0.59093458695547196</v>
      </c>
      <c r="Z10" s="14">
        <v>0.39924751085620902</v>
      </c>
      <c r="AA10" s="14">
        <v>0.51563419039369995</v>
      </c>
      <c r="AB10" s="14"/>
      <c r="AC10" s="14">
        <v>0.51391825381709599</v>
      </c>
      <c r="AD10" s="14">
        <v>0.632187274841847</v>
      </c>
      <c r="AE10" s="14">
        <v>0.60298458468880101</v>
      </c>
      <c r="AF10" s="14">
        <v>0.48810940973470401</v>
      </c>
      <c r="AG10" s="14">
        <v>0.37121905588438198</v>
      </c>
      <c r="AH10" s="14"/>
      <c r="AI10" s="14">
        <v>0.49806755702301198</v>
      </c>
      <c r="AJ10" s="14">
        <v>0.62017308026003803</v>
      </c>
      <c r="AK10" s="14">
        <v>0.53065512777554202</v>
      </c>
      <c r="AL10" s="14">
        <v>0.56892352004830304</v>
      </c>
      <c r="AM10" s="14">
        <v>0.44723556172963602</v>
      </c>
      <c r="AN10" s="14">
        <v>0.52685422542306604</v>
      </c>
      <c r="AO10" s="14"/>
      <c r="AP10" s="14">
        <v>0.54772581744134097</v>
      </c>
      <c r="AQ10" s="14">
        <v>0.535345310929219</v>
      </c>
      <c r="AR10" s="14"/>
      <c r="AS10" s="14" t="s">
        <v>88</v>
      </c>
      <c r="AT10" s="14" t="s">
        <v>88</v>
      </c>
      <c r="AU10" s="14">
        <v>0.54271816490353797</v>
      </c>
      <c r="AV10" s="14"/>
      <c r="AW10" s="14">
        <v>0.56580066835433696</v>
      </c>
      <c r="AX10" s="14">
        <v>0.44778597100376</v>
      </c>
      <c r="AY10" s="14"/>
      <c r="AZ10" s="14">
        <v>0.55697876204899999</v>
      </c>
      <c r="BA10" s="14">
        <v>0.47368806446462097</v>
      </c>
    </row>
    <row r="11" spans="2:53" x14ac:dyDescent="0.35">
      <c r="B11" s="15" t="s">
        <v>222</v>
      </c>
      <c r="C11" s="14">
        <v>0.14219839282961899</v>
      </c>
      <c r="D11" s="14">
        <v>0.101376069586466</v>
      </c>
      <c r="E11" s="14">
        <v>0.18105860832398801</v>
      </c>
      <c r="F11" s="14"/>
      <c r="G11" s="14">
        <v>0.46244813625315101</v>
      </c>
      <c r="H11" s="14">
        <v>0.221105455336572</v>
      </c>
      <c r="I11" s="14">
        <v>0.13530072433742599</v>
      </c>
      <c r="J11" s="14">
        <v>0.14967850503718999</v>
      </c>
      <c r="K11" s="14">
        <v>7.0450766425448702E-2</v>
      </c>
      <c r="L11" s="14">
        <v>0.109058453772003</v>
      </c>
      <c r="M11" s="14"/>
      <c r="N11" s="14">
        <v>0.11470304141645001</v>
      </c>
      <c r="O11" s="14">
        <v>0.16908613347015899</v>
      </c>
      <c r="P11" s="14">
        <v>0.107830292904805</v>
      </c>
      <c r="Q11" s="14">
        <v>0.194304063723958</v>
      </c>
      <c r="R11" s="14"/>
      <c r="S11" s="14">
        <v>0.114495532537748</v>
      </c>
      <c r="T11" s="14">
        <v>0.12712436300692401</v>
      </c>
      <c r="U11" s="14">
        <v>0.17200737347407999</v>
      </c>
      <c r="V11" s="14">
        <v>0.146740676398803</v>
      </c>
      <c r="W11" s="14">
        <v>0.24959580441505999</v>
      </c>
      <c r="X11" s="14">
        <v>8.3658173597802199E-2</v>
      </c>
      <c r="Y11" s="14">
        <v>0.16094843379225801</v>
      </c>
      <c r="Z11" s="14">
        <v>0.157031049814255</v>
      </c>
      <c r="AA11" s="14">
        <v>0.12307759184527101</v>
      </c>
      <c r="AB11" s="14"/>
      <c r="AC11" s="14">
        <v>0.21289709654181199</v>
      </c>
      <c r="AD11" s="14">
        <v>0.12888745992533401</v>
      </c>
      <c r="AE11" s="14">
        <v>0.11553400355691</v>
      </c>
      <c r="AF11" s="14">
        <v>6.8915262478963804E-2</v>
      </c>
      <c r="AG11" s="14">
        <v>0.12538855417151601</v>
      </c>
      <c r="AH11" s="14"/>
      <c r="AI11" s="14">
        <v>0.12651057076172401</v>
      </c>
      <c r="AJ11" s="14">
        <v>0.113875664614071</v>
      </c>
      <c r="AK11" s="14">
        <v>8.9453295617923798E-2</v>
      </c>
      <c r="AL11" s="14">
        <v>0.153224744359853</v>
      </c>
      <c r="AM11" s="14">
        <v>0.22771535412816701</v>
      </c>
      <c r="AN11" s="14">
        <v>0.239371137065929</v>
      </c>
      <c r="AO11" s="14"/>
      <c r="AP11" s="14">
        <v>0.116082861040693</v>
      </c>
      <c r="AQ11" s="14">
        <v>0.176370743156017</v>
      </c>
      <c r="AR11" s="14"/>
      <c r="AS11" s="14" t="s">
        <v>88</v>
      </c>
      <c r="AT11" s="14" t="s">
        <v>88</v>
      </c>
      <c r="AU11" s="14">
        <v>0.14219839282961899</v>
      </c>
      <c r="AV11" s="14"/>
      <c r="AW11" s="14">
        <v>0.13561956253482699</v>
      </c>
      <c r="AX11" s="14">
        <v>0.142572809571099</v>
      </c>
      <c r="AY11" s="14"/>
      <c r="AZ11" s="14">
        <v>0.11411178022861999</v>
      </c>
      <c r="BA11" s="14">
        <v>0.27238865060974998</v>
      </c>
    </row>
    <row r="12" spans="2:53" x14ac:dyDescent="0.35">
      <c r="B12" s="15" t="s">
        <v>223</v>
      </c>
      <c r="C12" s="14">
        <v>2.2196381575114402E-2</v>
      </c>
      <c r="D12" s="14">
        <v>1.7613315077113501E-2</v>
      </c>
      <c r="E12" s="14">
        <v>2.65747122013326E-2</v>
      </c>
      <c r="F12" s="14"/>
      <c r="G12" s="14">
        <v>0</v>
      </c>
      <c r="H12" s="14">
        <v>1.5993441004050798E-2</v>
      </c>
      <c r="I12" s="14">
        <v>2.29515626612459E-2</v>
      </c>
      <c r="J12" s="14">
        <v>2.9578934474880001E-2</v>
      </c>
      <c r="K12" s="14">
        <v>0</v>
      </c>
      <c r="L12" s="14">
        <v>0</v>
      </c>
      <c r="M12" s="14"/>
      <c r="N12" s="14">
        <v>8.0341184874216792E-3</v>
      </c>
      <c r="O12" s="14">
        <v>2.2739341543650898E-2</v>
      </c>
      <c r="P12" s="14">
        <v>2.6827122839753598E-2</v>
      </c>
      <c r="Q12" s="14">
        <v>3.69760898182225E-2</v>
      </c>
      <c r="R12" s="14"/>
      <c r="S12" s="14">
        <v>2.6775439411188501E-2</v>
      </c>
      <c r="T12" s="14">
        <v>2.51392144907846E-2</v>
      </c>
      <c r="U12" s="14">
        <v>2.27674041326952E-2</v>
      </c>
      <c r="V12" s="14">
        <v>0</v>
      </c>
      <c r="W12" s="14">
        <v>1.03510334184639E-2</v>
      </c>
      <c r="X12" s="14">
        <v>1.13562835178753E-2</v>
      </c>
      <c r="Y12" s="14">
        <v>1.4375640643384599E-2</v>
      </c>
      <c r="Z12" s="14">
        <v>2.5737188373113399E-2</v>
      </c>
      <c r="AA12" s="14">
        <v>5.1235696562801698E-2</v>
      </c>
      <c r="AB12" s="14"/>
      <c r="AC12" s="14">
        <v>1.2739162689657101E-2</v>
      </c>
      <c r="AD12" s="14">
        <v>2.1902968034859201E-2</v>
      </c>
      <c r="AE12" s="14">
        <v>8.7857806966178294E-3</v>
      </c>
      <c r="AF12" s="14">
        <v>2.5218411168774699E-2</v>
      </c>
      <c r="AG12" s="14">
        <v>0</v>
      </c>
      <c r="AH12" s="14"/>
      <c r="AI12" s="14">
        <v>3.7618056295719599E-2</v>
      </c>
      <c r="AJ12" s="14">
        <v>1.34610472897741E-3</v>
      </c>
      <c r="AK12" s="14">
        <v>2.5273364093915E-2</v>
      </c>
      <c r="AL12" s="14">
        <v>2.69150276818493E-2</v>
      </c>
      <c r="AM12" s="14">
        <v>1.53410916131451E-2</v>
      </c>
      <c r="AN12" s="14">
        <v>1.5724071550555701E-2</v>
      </c>
      <c r="AO12" s="14"/>
      <c r="AP12" s="14">
        <v>2.12720997628612E-2</v>
      </c>
      <c r="AQ12" s="14">
        <v>2.3438552426948301E-2</v>
      </c>
      <c r="AR12" s="14"/>
      <c r="AS12" s="14" t="s">
        <v>88</v>
      </c>
      <c r="AT12" s="14" t="s">
        <v>88</v>
      </c>
      <c r="AU12" s="14">
        <v>2.2196381575114402E-2</v>
      </c>
      <c r="AV12" s="14"/>
      <c r="AW12" s="14">
        <v>2.3675422465013401E-2</v>
      </c>
      <c r="AX12" s="14">
        <v>1.41384650862637E-3</v>
      </c>
      <c r="AY12" s="14"/>
      <c r="AZ12" s="14">
        <v>1.4975130099175501E-2</v>
      </c>
      <c r="BA12" s="14">
        <v>5.5559940062799899E-2</v>
      </c>
    </row>
    <row r="13" spans="2:53" x14ac:dyDescent="0.35">
      <c r="B13" s="15" t="s">
        <v>116</v>
      </c>
      <c r="C13" s="18">
        <v>2.42981482131925E-2</v>
      </c>
      <c r="D13" s="18">
        <v>8.7932574039278396E-3</v>
      </c>
      <c r="E13" s="18">
        <v>3.8983681507247597E-2</v>
      </c>
      <c r="F13" s="18"/>
      <c r="G13" s="18">
        <v>0</v>
      </c>
      <c r="H13" s="18">
        <v>1.9204955023082799E-2</v>
      </c>
      <c r="I13" s="18">
        <v>2.8805676559571902E-2</v>
      </c>
      <c r="J13" s="18">
        <v>2.8133745379361901E-2</v>
      </c>
      <c r="K13" s="18">
        <v>0</v>
      </c>
      <c r="L13" s="18">
        <v>0</v>
      </c>
      <c r="M13" s="18"/>
      <c r="N13" s="18">
        <v>1.6225907894944901E-2</v>
      </c>
      <c r="O13" s="18">
        <v>2.2624309707520301E-2</v>
      </c>
      <c r="P13" s="18">
        <v>4.3218157657380303E-2</v>
      </c>
      <c r="Q13" s="18">
        <v>1.5555903064459401E-2</v>
      </c>
      <c r="R13" s="18"/>
      <c r="S13" s="18">
        <v>7.3307857071331197E-3</v>
      </c>
      <c r="T13" s="18">
        <v>1.8138533745678299E-2</v>
      </c>
      <c r="U13" s="18">
        <v>3.9413576917371497E-2</v>
      </c>
      <c r="V13" s="18">
        <v>2.3843121580154201E-2</v>
      </c>
      <c r="W13" s="18">
        <v>2.96076959226238E-2</v>
      </c>
      <c r="X13" s="18">
        <v>2.2431626479866702E-2</v>
      </c>
      <c r="Y13" s="18">
        <v>9.2521658643148208E-3</v>
      </c>
      <c r="Z13" s="18">
        <v>7.86677930955237E-2</v>
      </c>
      <c r="AA13" s="18">
        <v>2.6594128303061199E-2</v>
      </c>
      <c r="AB13" s="18"/>
      <c r="AC13" s="18">
        <v>2.48717477294262E-2</v>
      </c>
      <c r="AD13" s="18">
        <v>1.9568238800594301E-2</v>
      </c>
      <c r="AE13" s="18">
        <v>2.8843565238847499E-2</v>
      </c>
      <c r="AF13" s="18">
        <v>1.73652551930122E-2</v>
      </c>
      <c r="AG13" s="18">
        <v>0</v>
      </c>
      <c r="AH13" s="18"/>
      <c r="AI13" s="18">
        <v>1.26990341350675E-2</v>
      </c>
      <c r="AJ13" s="18">
        <v>1.22754130285181E-2</v>
      </c>
      <c r="AK13" s="18">
        <v>4.8538531049504403E-2</v>
      </c>
      <c r="AL13" s="18">
        <v>4.0149888009480598E-2</v>
      </c>
      <c r="AM13" s="18">
        <v>0</v>
      </c>
      <c r="AN13" s="18">
        <v>6.7514861470827095E-2</v>
      </c>
      <c r="AO13" s="18"/>
      <c r="AP13" s="18">
        <v>2.0948934070694002E-2</v>
      </c>
      <c r="AQ13" s="18">
        <v>2.86921811710527E-2</v>
      </c>
      <c r="AR13" s="18"/>
      <c r="AS13" s="18" t="s">
        <v>88</v>
      </c>
      <c r="AT13" s="18" t="s">
        <v>88</v>
      </c>
      <c r="AU13" s="18">
        <v>2.42981482131925E-2</v>
      </c>
      <c r="AV13" s="18"/>
      <c r="AW13" s="18">
        <v>2.1728514290592301E-2</v>
      </c>
      <c r="AX13" s="18">
        <v>1.11823672641937E-2</v>
      </c>
      <c r="AY13" s="18"/>
      <c r="AZ13" s="18">
        <v>1.7645588708710701E-2</v>
      </c>
      <c r="BA13" s="18">
        <v>5.5063511095894302E-2</v>
      </c>
    </row>
    <row r="14" spans="2:53" x14ac:dyDescent="0.35">
      <c r="B14" s="26" t="s">
        <v>224</v>
      </c>
      <c r="C14" s="27">
        <v>0.74495054609128997</v>
      </c>
      <c r="D14" s="27">
        <v>0.79039020735254295</v>
      </c>
      <c r="E14" s="27">
        <v>0.70145351132149403</v>
      </c>
      <c r="F14" s="27"/>
      <c r="G14" s="27">
        <v>0.53755186374684905</v>
      </c>
      <c r="H14" s="27">
        <v>0.73973621057099304</v>
      </c>
      <c r="I14" s="27">
        <v>0.76294886910718895</v>
      </c>
      <c r="J14" s="27">
        <v>0.72452930870312005</v>
      </c>
      <c r="K14" s="27">
        <v>0.74906302137865599</v>
      </c>
      <c r="L14" s="27">
        <v>0.82187897734098403</v>
      </c>
      <c r="M14" s="27"/>
      <c r="N14" s="27">
        <v>0.78336094762586705</v>
      </c>
      <c r="O14" s="27">
        <v>0.68395416252556596</v>
      </c>
      <c r="P14" s="27">
        <v>0.80022029366028502</v>
      </c>
      <c r="Q14" s="27">
        <v>0.69004863157679097</v>
      </c>
      <c r="R14" s="27"/>
      <c r="S14" s="27">
        <v>0.82316368329753098</v>
      </c>
      <c r="T14" s="27">
        <v>0.73081078077722905</v>
      </c>
      <c r="U14" s="27">
        <v>0.68297028156530903</v>
      </c>
      <c r="V14" s="27">
        <v>0.77622791611123398</v>
      </c>
      <c r="W14" s="27">
        <v>0.62613729801472695</v>
      </c>
      <c r="X14" s="27">
        <v>0.82982116311113097</v>
      </c>
      <c r="Y14" s="27">
        <v>0.76510358597339301</v>
      </c>
      <c r="Z14" s="27">
        <v>0.66906383934153302</v>
      </c>
      <c r="AA14" s="27">
        <v>0.71170316120567101</v>
      </c>
      <c r="AB14" s="27"/>
      <c r="AC14" s="27">
        <v>0.67678355647674504</v>
      </c>
      <c r="AD14" s="27">
        <v>0.77998079891630201</v>
      </c>
      <c r="AE14" s="27">
        <v>0.77194307649951699</v>
      </c>
      <c r="AF14" s="27">
        <v>0.80913302633635498</v>
      </c>
      <c r="AG14" s="27">
        <v>0.87461144582848405</v>
      </c>
      <c r="AH14" s="27"/>
      <c r="AI14" s="27">
        <v>0.76386755375356696</v>
      </c>
      <c r="AJ14" s="27">
        <v>0.82706789193151298</v>
      </c>
      <c r="AK14" s="27">
        <v>0.71017432637414002</v>
      </c>
      <c r="AL14" s="27">
        <v>0.69134409789116102</v>
      </c>
      <c r="AM14" s="27">
        <v>0.72352311675222103</v>
      </c>
      <c r="AN14" s="27">
        <v>0.58395254076990699</v>
      </c>
      <c r="AO14" s="27"/>
      <c r="AP14" s="27">
        <v>0.78064217992467</v>
      </c>
      <c r="AQ14" s="27">
        <v>0.69813199068493503</v>
      </c>
      <c r="AR14" s="27"/>
      <c r="AS14" s="27" t="s">
        <v>88</v>
      </c>
      <c r="AT14" s="27" t="s">
        <v>88</v>
      </c>
      <c r="AU14" s="27">
        <v>0.74495054609128997</v>
      </c>
      <c r="AV14" s="27"/>
      <c r="AW14" s="27">
        <v>0.752081696571408</v>
      </c>
      <c r="AX14" s="27">
        <v>0.78202992075853195</v>
      </c>
      <c r="AY14" s="27"/>
      <c r="AZ14" s="27">
        <v>0.78653160630571195</v>
      </c>
      <c r="BA14" s="27">
        <v>0.55187072754920297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814</v>
      </c>
      <c r="D7" s="10">
        <v>325</v>
      </c>
      <c r="E7" s="10">
        <v>488</v>
      </c>
      <c r="F7" s="10"/>
      <c r="G7" s="10">
        <v>2</v>
      </c>
      <c r="H7" s="10">
        <v>72</v>
      </c>
      <c r="I7" s="10">
        <v>339</v>
      </c>
      <c r="J7" s="10">
        <v>308</v>
      </c>
      <c r="K7" s="10">
        <v>80</v>
      </c>
      <c r="L7" s="10">
        <v>13</v>
      </c>
      <c r="M7" s="10"/>
      <c r="N7" s="10">
        <v>388</v>
      </c>
      <c r="O7" s="10">
        <v>181</v>
      </c>
      <c r="P7" s="10">
        <v>128</v>
      </c>
      <c r="Q7" s="10">
        <v>115</v>
      </c>
      <c r="R7" s="10"/>
      <c r="S7" s="10">
        <v>161</v>
      </c>
      <c r="T7" s="10">
        <v>117</v>
      </c>
      <c r="U7" s="10">
        <v>64</v>
      </c>
      <c r="V7" s="10">
        <v>76</v>
      </c>
      <c r="W7" s="10">
        <v>59</v>
      </c>
      <c r="X7" s="10">
        <v>91</v>
      </c>
      <c r="Y7" s="10">
        <v>89</v>
      </c>
      <c r="Z7" s="10">
        <v>48</v>
      </c>
      <c r="AA7" s="10">
        <v>109</v>
      </c>
      <c r="AB7" s="10"/>
      <c r="AC7" s="10">
        <v>127</v>
      </c>
      <c r="AD7" s="10">
        <v>160</v>
      </c>
      <c r="AE7" s="10">
        <v>247</v>
      </c>
      <c r="AF7" s="10">
        <v>166</v>
      </c>
      <c r="AG7" s="10">
        <v>42</v>
      </c>
      <c r="AH7" s="10"/>
      <c r="AI7" s="10">
        <v>313</v>
      </c>
      <c r="AJ7" s="10">
        <v>160</v>
      </c>
      <c r="AK7" s="10">
        <v>78</v>
      </c>
      <c r="AL7" s="10">
        <v>105</v>
      </c>
      <c r="AM7" s="10">
        <v>44</v>
      </c>
      <c r="AN7" s="10">
        <v>52</v>
      </c>
      <c r="AO7" s="10"/>
      <c r="AP7" s="10">
        <v>459</v>
      </c>
      <c r="AQ7" s="10">
        <v>354</v>
      </c>
      <c r="AR7" s="10"/>
      <c r="AS7" s="10" t="s">
        <v>87</v>
      </c>
      <c r="AT7" s="10" t="s">
        <v>87</v>
      </c>
      <c r="AU7" s="10">
        <v>814</v>
      </c>
      <c r="AV7" s="10"/>
      <c r="AW7" s="10">
        <v>580</v>
      </c>
      <c r="AX7" s="10">
        <v>177</v>
      </c>
      <c r="AY7" s="10"/>
      <c r="AZ7" s="10">
        <v>676</v>
      </c>
      <c r="BA7" s="10">
        <v>137</v>
      </c>
    </row>
    <row r="8" spans="2:53" ht="30" customHeight="1" x14ac:dyDescent="0.35">
      <c r="B8" s="11" t="s">
        <v>19</v>
      </c>
      <c r="C8" s="11">
        <v>780</v>
      </c>
      <c r="D8" s="11">
        <v>378</v>
      </c>
      <c r="E8" s="11">
        <v>401</v>
      </c>
      <c r="F8" s="11"/>
      <c r="G8" s="11">
        <v>2</v>
      </c>
      <c r="H8" s="11">
        <v>66</v>
      </c>
      <c r="I8" s="11">
        <v>318</v>
      </c>
      <c r="J8" s="11">
        <v>303</v>
      </c>
      <c r="K8" s="11">
        <v>78</v>
      </c>
      <c r="L8" s="11">
        <v>12</v>
      </c>
      <c r="M8" s="11"/>
      <c r="N8" s="11">
        <v>235</v>
      </c>
      <c r="O8" s="11">
        <v>188</v>
      </c>
      <c r="P8" s="11">
        <v>194</v>
      </c>
      <c r="Q8" s="11">
        <v>161</v>
      </c>
      <c r="R8" s="11"/>
      <c r="S8" s="11">
        <v>132</v>
      </c>
      <c r="T8" s="11">
        <v>116</v>
      </c>
      <c r="U8" s="11">
        <v>77</v>
      </c>
      <c r="V8" s="11">
        <v>86</v>
      </c>
      <c r="W8" s="11">
        <v>64</v>
      </c>
      <c r="X8" s="11">
        <v>75</v>
      </c>
      <c r="Y8" s="11">
        <v>79</v>
      </c>
      <c r="Z8" s="11">
        <v>48</v>
      </c>
      <c r="AA8" s="11">
        <v>101</v>
      </c>
      <c r="AB8" s="11"/>
      <c r="AC8" s="11">
        <v>153</v>
      </c>
      <c r="AD8" s="11">
        <v>179</v>
      </c>
      <c r="AE8" s="11">
        <v>225</v>
      </c>
      <c r="AF8" s="11">
        <v>121</v>
      </c>
      <c r="AG8" s="11">
        <v>22</v>
      </c>
      <c r="AH8" s="11"/>
      <c r="AI8" s="11">
        <v>287</v>
      </c>
      <c r="AJ8" s="11">
        <v>147</v>
      </c>
      <c r="AK8" s="11">
        <v>70</v>
      </c>
      <c r="AL8" s="11">
        <v>115</v>
      </c>
      <c r="AM8" s="11">
        <v>43</v>
      </c>
      <c r="AN8" s="11">
        <v>52</v>
      </c>
      <c r="AO8" s="11"/>
      <c r="AP8" s="11">
        <v>440</v>
      </c>
      <c r="AQ8" s="11">
        <v>339</v>
      </c>
      <c r="AR8" s="11"/>
      <c r="AS8" s="11" t="s">
        <v>87</v>
      </c>
      <c r="AT8" s="11" t="s">
        <v>87</v>
      </c>
      <c r="AU8" s="11">
        <v>780</v>
      </c>
      <c r="AV8" s="11"/>
      <c r="AW8" s="11">
        <v>576</v>
      </c>
      <c r="AX8" s="11">
        <v>140</v>
      </c>
      <c r="AY8" s="11"/>
      <c r="AZ8" s="11">
        <v>640</v>
      </c>
      <c r="BA8" s="11">
        <v>139</v>
      </c>
    </row>
    <row r="9" spans="2:53" x14ac:dyDescent="0.35">
      <c r="B9" s="15" t="s">
        <v>226</v>
      </c>
      <c r="C9" s="14">
        <v>0.182333871610068</v>
      </c>
      <c r="D9" s="14">
        <v>0.22828189060219201</v>
      </c>
      <c r="E9" s="14">
        <v>0.13944849979776699</v>
      </c>
      <c r="F9" s="14"/>
      <c r="G9" s="14">
        <v>0</v>
      </c>
      <c r="H9" s="14">
        <v>0.230282520848964</v>
      </c>
      <c r="I9" s="14">
        <v>0.21519084350866199</v>
      </c>
      <c r="J9" s="14">
        <v>0.14539807228221099</v>
      </c>
      <c r="K9" s="14">
        <v>0.110294843187443</v>
      </c>
      <c r="L9" s="14">
        <v>0.47371311004058803</v>
      </c>
      <c r="M9" s="14"/>
      <c r="N9" s="14">
        <v>0.198571409810918</v>
      </c>
      <c r="O9" s="14">
        <v>0.14088276112949799</v>
      </c>
      <c r="P9" s="14">
        <v>0.16461378480740299</v>
      </c>
      <c r="Q9" s="14">
        <v>0.230794824531207</v>
      </c>
      <c r="R9" s="14"/>
      <c r="S9" s="14">
        <v>0.26510023567375102</v>
      </c>
      <c r="T9" s="14">
        <v>0.12648262621072801</v>
      </c>
      <c r="U9" s="14">
        <v>0.184992929147166</v>
      </c>
      <c r="V9" s="14">
        <v>0.185036515022937</v>
      </c>
      <c r="W9" s="14">
        <v>0.139199832160746</v>
      </c>
      <c r="X9" s="14">
        <v>0.21073556860946899</v>
      </c>
      <c r="Y9" s="14">
        <v>9.3941646000218704E-2</v>
      </c>
      <c r="Z9" s="14">
        <v>0.216881385901813</v>
      </c>
      <c r="AA9" s="14">
        <v>0.193155625499629</v>
      </c>
      <c r="AB9" s="14"/>
      <c r="AC9" s="14">
        <v>0.15716815529636699</v>
      </c>
      <c r="AD9" s="14">
        <v>0.14018372432425499</v>
      </c>
      <c r="AE9" s="14">
        <v>0.16580685244485299</v>
      </c>
      <c r="AF9" s="14">
        <v>0.32093459561245102</v>
      </c>
      <c r="AG9" s="14">
        <v>0.39449718854497401</v>
      </c>
      <c r="AH9" s="14"/>
      <c r="AI9" s="14">
        <v>0.247701502913208</v>
      </c>
      <c r="AJ9" s="14">
        <v>0.16705339635264299</v>
      </c>
      <c r="AK9" s="14">
        <v>0.18258006100509999</v>
      </c>
      <c r="AL9" s="14">
        <v>0.11165806636165899</v>
      </c>
      <c r="AM9" s="14">
        <v>0.147431172054795</v>
      </c>
      <c r="AN9" s="14">
        <v>8.2522653537945204E-2</v>
      </c>
      <c r="AO9" s="14"/>
      <c r="AP9" s="14">
        <v>0.21975362408266999</v>
      </c>
      <c r="AQ9" s="14">
        <v>0.13410637324688299</v>
      </c>
      <c r="AR9" s="14"/>
      <c r="AS9" s="14" t="s">
        <v>88</v>
      </c>
      <c r="AT9" s="14" t="s">
        <v>88</v>
      </c>
      <c r="AU9" s="14">
        <v>0.182333871610068</v>
      </c>
      <c r="AV9" s="14"/>
      <c r="AW9" s="14">
        <v>0.15858982015800099</v>
      </c>
      <c r="AX9" s="14">
        <v>0.30067677690371097</v>
      </c>
      <c r="AY9" s="14"/>
      <c r="AZ9" s="14">
        <v>0.20664538903965199</v>
      </c>
      <c r="BA9" s="14">
        <v>7.1964450885389095E-2</v>
      </c>
    </row>
    <row r="10" spans="2:53" x14ac:dyDescent="0.35">
      <c r="B10" s="15" t="s">
        <v>227</v>
      </c>
      <c r="C10" s="14">
        <v>0.37848568948401901</v>
      </c>
      <c r="D10" s="14">
        <v>0.42715004888471497</v>
      </c>
      <c r="E10" s="14">
        <v>0.33352749525590297</v>
      </c>
      <c r="F10" s="14"/>
      <c r="G10" s="14">
        <v>0</v>
      </c>
      <c r="H10" s="14">
        <v>0.35185875233837299</v>
      </c>
      <c r="I10" s="14">
        <v>0.38331955497051501</v>
      </c>
      <c r="J10" s="14">
        <v>0.36570606793501598</v>
      </c>
      <c r="K10" s="14">
        <v>0.48822748197479299</v>
      </c>
      <c r="L10" s="14">
        <v>8.5852815891053896E-2</v>
      </c>
      <c r="M10" s="14"/>
      <c r="N10" s="14">
        <v>0.40546369335091398</v>
      </c>
      <c r="O10" s="14">
        <v>0.36850778331456202</v>
      </c>
      <c r="P10" s="14">
        <v>0.45611372385010601</v>
      </c>
      <c r="Q10" s="14">
        <v>0.253887136007026</v>
      </c>
      <c r="R10" s="14"/>
      <c r="S10" s="14">
        <v>0.384523982500726</v>
      </c>
      <c r="T10" s="14">
        <v>0.41954421242296402</v>
      </c>
      <c r="U10" s="14">
        <v>0.29859654485104198</v>
      </c>
      <c r="V10" s="14">
        <v>0.40694215623088598</v>
      </c>
      <c r="W10" s="14">
        <v>0.30001000136752698</v>
      </c>
      <c r="X10" s="14">
        <v>0.37899969478057799</v>
      </c>
      <c r="Y10" s="14">
        <v>0.48778582307555302</v>
      </c>
      <c r="Z10" s="14">
        <v>0.32856211602950303</v>
      </c>
      <c r="AA10" s="14">
        <v>0.34722281212152101</v>
      </c>
      <c r="AB10" s="14"/>
      <c r="AC10" s="14">
        <v>0.31408658884132301</v>
      </c>
      <c r="AD10" s="14">
        <v>0.43651993189168198</v>
      </c>
      <c r="AE10" s="14">
        <v>0.40919913304712102</v>
      </c>
      <c r="AF10" s="14">
        <v>0.39296993350784598</v>
      </c>
      <c r="AG10" s="14">
        <v>0.34340173961722897</v>
      </c>
      <c r="AH10" s="14"/>
      <c r="AI10" s="14">
        <v>0.379938408285172</v>
      </c>
      <c r="AJ10" s="14">
        <v>0.46331242227244501</v>
      </c>
      <c r="AK10" s="14">
        <v>0.35214151279421801</v>
      </c>
      <c r="AL10" s="14">
        <v>0.36541230143682701</v>
      </c>
      <c r="AM10" s="14">
        <v>0.28359420446786199</v>
      </c>
      <c r="AN10" s="14">
        <v>0.334056686959952</v>
      </c>
      <c r="AO10" s="14"/>
      <c r="AP10" s="14">
        <v>0.39494809265052</v>
      </c>
      <c r="AQ10" s="14">
        <v>0.35592990313783401</v>
      </c>
      <c r="AR10" s="14"/>
      <c r="AS10" s="14" t="s">
        <v>88</v>
      </c>
      <c r="AT10" s="14" t="s">
        <v>88</v>
      </c>
      <c r="AU10" s="14">
        <v>0.37848568948401901</v>
      </c>
      <c r="AV10" s="14"/>
      <c r="AW10" s="14">
        <v>0.38775207116910398</v>
      </c>
      <c r="AX10" s="14">
        <v>0.409823846391491</v>
      </c>
      <c r="AY10" s="14"/>
      <c r="AZ10" s="14">
        <v>0.40189761710404198</v>
      </c>
      <c r="BA10" s="14">
        <v>0.26613991055611103</v>
      </c>
    </row>
    <row r="11" spans="2:53" x14ac:dyDescent="0.35">
      <c r="B11" s="15" t="s">
        <v>228</v>
      </c>
      <c r="C11" s="14">
        <v>0.27119741263029301</v>
      </c>
      <c r="D11" s="14">
        <v>0.21364064756825099</v>
      </c>
      <c r="E11" s="14">
        <v>0.32366936790650203</v>
      </c>
      <c r="F11" s="14"/>
      <c r="G11" s="14">
        <v>1</v>
      </c>
      <c r="H11" s="14">
        <v>0.31151586531862402</v>
      </c>
      <c r="I11" s="14">
        <v>0.27406681441548902</v>
      </c>
      <c r="J11" s="14">
        <v>0.27103399206802598</v>
      </c>
      <c r="K11" s="14">
        <v>0.177634471283662</v>
      </c>
      <c r="L11" s="14">
        <v>0.44043407406835799</v>
      </c>
      <c r="M11" s="14"/>
      <c r="N11" s="14">
        <v>0.246676031034506</v>
      </c>
      <c r="O11" s="14">
        <v>0.280264351758508</v>
      </c>
      <c r="P11" s="14">
        <v>0.240842137090402</v>
      </c>
      <c r="Q11" s="14">
        <v>0.331649924496699</v>
      </c>
      <c r="R11" s="14"/>
      <c r="S11" s="14">
        <v>0.23456237701340199</v>
      </c>
      <c r="T11" s="14">
        <v>0.30970528925160501</v>
      </c>
      <c r="U11" s="14">
        <v>0.314213492414472</v>
      </c>
      <c r="V11" s="14">
        <v>0.273038065905296</v>
      </c>
      <c r="W11" s="14">
        <v>0.41029635966392403</v>
      </c>
      <c r="X11" s="14">
        <v>0.25932880442272099</v>
      </c>
      <c r="Y11" s="14">
        <v>0.256511487895977</v>
      </c>
      <c r="Z11" s="14">
        <v>0.13582412476985201</v>
      </c>
      <c r="AA11" s="14">
        <v>0.23678278134216099</v>
      </c>
      <c r="AB11" s="14"/>
      <c r="AC11" s="14">
        <v>0.33998794602186799</v>
      </c>
      <c r="AD11" s="14">
        <v>0.27713136316655801</v>
      </c>
      <c r="AE11" s="14">
        <v>0.27354425923963699</v>
      </c>
      <c r="AF11" s="14">
        <v>0.14449825772597</v>
      </c>
      <c r="AG11" s="14">
        <v>0.18635131438255001</v>
      </c>
      <c r="AH11" s="14"/>
      <c r="AI11" s="14">
        <v>0.23991571371742601</v>
      </c>
      <c r="AJ11" s="14">
        <v>0.25441989809131299</v>
      </c>
      <c r="AK11" s="14">
        <v>0.189790265594969</v>
      </c>
      <c r="AL11" s="14">
        <v>0.32042340864193403</v>
      </c>
      <c r="AM11" s="14">
        <v>0.17898778985553199</v>
      </c>
      <c r="AN11" s="14">
        <v>0.38602671751693002</v>
      </c>
      <c r="AO11" s="14"/>
      <c r="AP11" s="14">
        <v>0.243110175905039</v>
      </c>
      <c r="AQ11" s="14">
        <v>0.30817535360507298</v>
      </c>
      <c r="AR11" s="14"/>
      <c r="AS11" s="14" t="s">
        <v>88</v>
      </c>
      <c r="AT11" s="14" t="s">
        <v>88</v>
      </c>
      <c r="AU11" s="14">
        <v>0.27119741263029301</v>
      </c>
      <c r="AV11" s="14"/>
      <c r="AW11" s="14">
        <v>0.28841320256981401</v>
      </c>
      <c r="AX11" s="14">
        <v>0.184270500220586</v>
      </c>
      <c r="AY11" s="14"/>
      <c r="AZ11" s="14">
        <v>0.24521823844760399</v>
      </c>
      <c r="BA11" s="14">
        <v>0.39268092530091903</v>
      </c>
    </row>
    <row r="12" spans="2:53" x14ac:dyDescent="0.35">
      <c r="B12" s="15" t="s">
        <v>229</v>
      </c>
      <c r="C12" s="14">
        <v>8.7164472822518393E-2</v>
      </c>
      <c r="D12" s="14">
        <v>5.9915709156750201E-2</v>
      </c>
      <c r="E12" s="14">
        <v>0.11308419554105199</v>
      </c>
      <c r="F12" s="14"/>
      <c r="G12" s="14">
        <v>0</v>
      </c>
      <c r="H12" s="14">
        <v>3.1463937770587799E-2</v>
      </c>
      <c r="I12" s="14">
        <v>6.7084656292607805E-2</v>
      </c>
      <c r="J12" s="14">
        <v>0.12813987578556199</v>
      </c>
      <c r="K12" s="14">
        <v>7.3902562082599599E-2</v>
      </c>
      <c r="L12" s="14">
        <v>0</v>
      </c>
      <c r="M12" s="14"/>
      <c r="N12" s="14">
        <v>5.6217824542988799E-2</v>
      </c>
      <c r="O12" s="14">
        <v>0.10667459246298699</v>
      </c>
      <c r="P12" s="14">
        <v>7.1000155201400905E-2</v>
      </c>
      <c r="Q12" s="14">
        <v>0.13025820401674401</v>
      </c>
      <c r="R12" s="14"/>
      <c r="S12" s="14">
        <v>7.0603185304286206E-2</v>
      </c>
      <c r="T12" s="14">
        <v>5.97935803266662E-2</v>
      </c>
      <c r="U12" s="14">
        <v>8.8257149833203999E-2</v>
      </c>
      <c r="V12" s="14">
        <v>6.3910366885919098E-2</v>
      </c>
      <c r="W12" s="14">
        <v>5.0652251976597597E-2</v>
      </c>
      <c r="X12" s="14">
        <v>5.1900642385618902E-2</v>
      </c>
      <c r="Y12" s="14">
        <v>0.12090557274762199</v>
      </c>
      <c r="Z12" s="14">
        <v>0.18112871418589399</v>
      </c>
      <c r="AA12" s="14">
        <v>0.13766174489786701</v>
      </c>
      <c r="AB12" s="14"/>
      <c r="AC12" s="14">
        <v>0.10787934104194399</v>
      </c>
      <c r="AD12" s="14">
        <v>9.2215595808373102E-2</v>
      </c>
      <c r="AE12" s="14">
        <v>5.9947402744171097E-2</v>
      </c>
      <c r="AF12" s="14">
        <v>5.7688437590335602E-2</v>
      </c>
      <c r="AG12" s="14">
        <v>8.9813221752925096E-3</v>
      </c>
      <c r="AH12" s="14"/>
      <c r="AI12" s="14">
        <v>6.7983828151274003E-2</v>
      </c>
      <c r="AJ12" s="14">
        <v>6.15904049706349E-2</v>
      </c>
      <c r="AK12" s="14">
        <v>6.7262406091098403E-2</v>
      </c>
      <c r="AL12" s="14">
        <v>0.11065312049392401</v>
      </c>
      <c r="AM12" s="14">
        <v>0.33441384311920502</v>
      </c>
      <c r="AN12" s="14">
        <v>8.4403632614036606E-2</v>
      </c>
      <c r="AO12" s="14"/>
      <c r="AP12" s="14">
        <v>7.3162569188510995E-2</v>
      </c>
      <c r="AQ12" s="14">
        <v>0.105506898378551</v>
      </c>
      <c r="AR12" s="14"/>
      <c r="AS12" s="14" t="s">
        <v>88</v>
      </c>
      <c r="AT12" s="14" t="s">
        <v>88</v>
      </c>
      <c r="AU12" s="14">
        <v>8.7164472822518393E-2</v>
      </c>
      <c r="AV12" s="14"/>
      <c r="AW12" s="14">
        <v>8.3400427185154197E-2</v>
      </c>
      <c r="AX12" s="14">
        <v>4.5918537050512402E-2</v>
      </c>
      <c r="AY12" s="14"/>
      <c r="AZ12" s="14">
        <v>7.3128550387254895E-2</v>
      </c>
      <c r="BA12" s="14">
        <v>0.15234780277940899</v>
      </c>
    </row>
    <row r="13" spans="2:53" x14ac:dyDescent="0.35">
      <c r="B13" s="15" t="s">
        <v>116</v>
      </c>
      <c r="C13" s="23">
        <v>3.0384539574644601E-2</v>
      </c>
      <c r="D13" s="23">
        <v>1.4188161426922301E-2</v>
      </c>
      <c r="E13" s="23">
        <v>4.5737499159632301E-2</v>
      </c>
      <c r="F13" s="23"/>
      <c r="G13" s="23">
        <v>0</v>
      </c>
      <c r="H13" s="23">
        <v>1.9204955023082799E-2</v>
      </c>
      <c r="I13" s="23">
        <v>2.4867091494014101E-2</v>
      </c>
      <c r="J13" s="23">
        <v>4.0254075049442298E-2</v>
      </c>
      <c r="K13" s="23">
        <v>2.98375639011563E-2</v>
      </c>
      <c r="L13" s="23">
        <v>0</v>
      </c>
      <c r="M13" s="23"/>
      <c r="N13" s="23">
        <v>4.1165574433961301E-2</v>
      </c>
      <c r="O13" s="23">
        <v>2.85045388522495E-2</v>
      </c>
      <c r="P13" s="23">
        <v>3.8118226761549398E-2</v>
      </c>
      <c r="Q13" s="23">
        <v>7.8882696304111797E-3</v>
      </c>
      <c r="R13" s="23"/>
      <c r="S13" s="23">
        <v>2.7443453519948299E-2</v>
      </c>
      <c r="T13" s="23">
        <v>1.8138533745678299E-2</v>
      </c>
      <c r="U13" s="23">
        <v>3.9413576917371497E-2</v>
      </c>
      <c r="V13" s="23">
        <v>4.4449514663182699E-2</v>
      </c>
      <c r="W13" s="23">
        <v>1.553338660208E-2</v>
      </c>
      <c r="X13" s="23">
        <v>3.2456892025964801E-2</v>
      </c>
      <c r="Y13" s="23">
        <v>1.8504331489931899E-2</v>
      </c>
      <c r="Z13" s="23">
        <v>8.9939399114765797E-2</v>
      </c>
      <c r="AA13" s="23">
        <v>1.8538919994670999E-2</v>
      </c>
      <c r="AB13" s="23"/>
      <c r="AC13" s="23">
        <v>8.2782618582577204E-3</v>
      </c>
      <c r="AD13" s="23">
        <v>2.2511370461841301E-2</v>
      </c>
      <c r="AE13" s="23">
        <v>4.5742263106226103E-2</v>
      </c>
      <c r="AF13" s="23">
        <v>2.7593630913999599E-2</v>
      </c>
      <c r="AG13" s="23">
        <v>3.7974989109403501E-2</v>
      </c>
      <c r="AH13" s="23"/>
      <c r="AI13" s="23">
        <v>2.11839663086393E-2</v>
      </c>
      <c r="AJ13" s="23">
        <v>2.9589368502758E-2</v>
      </c>
      <c r="AK13" s="23">
        <v>3.9006402858814099E-2</v>
      </c>
      <c r="AL13" s="23">
        <v>4.21520773631196E-2</v>
      </c>
      <c r="AM13" s="23">
        <v>0</v>
      </c>
      <c r="AN13" s="23">
        <v>8.1174766519249195E-2</v>
      </c>
      <c r="AO13" s="23"/>
      <c r="AP13" s="23">
        <v>2.3781921186169099E-2</v>
      </c>
      <c r="AQ13" s="23">
        <v>3.9013491614146398E-2</v>
      </c>
      <c r="AR13" s="23"/>
      <c r="AS13" s="23" t="s">
        <v>88</v>
      </c>
      <c r="AT13" s="23" t="s">
        <v>88</v>
      </c>
      <c r="AU13" s="23">
        <v>3.0384539574644601E-2</v>
      </c>
      <c r="AV13" s="23"/>
      <c r="AW13" s="23">
        <v>2.5958269666007901E-2</v>
      </c>
      <c r="AX13" s="23">
        <v>2.01320556808063E-2</v>
      </c>
      <c r="AY13" s="23"/>
      <c r="AZ13" s="23">
        <v>2.01575648959741E-2</v>
      </c>
      <c r="BA13" s="23">
        <v>7.7627123796769407E-2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B2:BA17"/>
  <sheetViews>
    <sheetView showGridLines="0" topLeftCell="A5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814</v>
      </c>
      <c r="D7" s="10">
        <v>325</v>
      </c>
      <c r="E7" s="10">
        <v>488</v>
      </c>
      <c r="F7" s="10"/>
      <c r="G7" s="10">
        <v>2</v>
      </c>
      <c r="H7" s="10">
        <v>72</v>
      </c>
      <c r="I7" s="10">
        <v>339</v>
      </c>
      <c r="J7" s="10">
        <v>308</v>
      </c>
      <c r="K7" s="10">
        <v>80</v>
      </c>
      <c r="L7" s="10">
        <v>13</v>
      </c>
      <c r="M7" s="10"/>
      <c r="N7" s="10">
        <v>388</v>
      </c>
      <c r="O7" s="10">
        <v>181</v>
      </c>
      <c r="P7" s="10">
        <v>128</v>
      </c>
      <c r="Q7" s="10">
        <v>115</v>
      </c>
      <c r="R7" s="10"/>
      <c r="S7" s="10">
        <v>161</v>
      </c>
      <c r="T7" s="10">
        <v>117</v>
      </c>
      <c r="U7" s="10">
        <v>64</v>
      </c>
      <c r="V7" s="10">
        <v>76</v>
      </c>
      <c r="W7" s="10">
        <v>59</v>
      </c>
      <c r="X7" s="10">
        <v>91</v>
      </c>
      <c r="Y7" s="10">
        <v>89</v>
      </c>
      <c r="Z7" s="10">
        <v>48</v>
      </c>
      <c r="AA7" s="10">
        <v>109</v>
      </c>
      <c r="AB7" s="10"/>
      <c r="AC7" s="10">
        <v>127</v>
      </c>
      <c r="AD7" s="10">
        <v>160</v>
      </c>
      <c r="AE7" s="10">
        <v>247</v>
      </c>
      <c r="AF7" s="10">
        <v>166</v>
      </c>
      <c r="AG7" s="10">
        <v>42</v>
      </c>
      <c r="AH7" s="10"/>
      <c r="AI7" s="10">
        <v>313</v>
      </c>
      <c r="AJ7" s="10">
        <v>160</v>
      </c>
      <c r="AK7" s="10">
        <v>78</v>
      </c>
      <c r="AL7" s="10">
        <v>105</v>
      </c>
      <c r="AM7" s="10">
        <v>44</v>
      </c>
      <c r="AN7" s="10">
        <v>52</v>
      </c>
      <c r="AO7" s="10"/>
      <c r="AP7" s="10">
        <v>459</v>
      </c>
      <c r="AQ7" s="10">
        <v>354</v>
      </c>
      <c r="AR7" s="10"/>
      <c r="AS7" s="10" t="s">
        <v>87</v>
      </c>
      <c r="AT7" s="10" t="s">
        <v>87</v>
      </c>
      <c r="AU7" s="10">
        <v>814</v>
      </c>
      <c r="AV7" s="10"/>
      <c r="AW7" s="10">
        <v>580</v>
      </c>
      <c r="AX7" s="10">
        <v>177</v>
      </c>
      <c r="AY7" s="10"/>
      <c r="AZ7" s="10">
        <v>676</v>
      </c>
      <c r="BA7" s="10">
        <v>137</v>
      </c>
    </row>
    <row r="8" spans="2:53" ht="30" customHeight="1" x14ac:dyDescent="0.35">
      <c r="B8" s="11" t="s">
        <v>19</v>
      </c>
      <c r="C8" s="11">
        <v>780</v>
      </c>
      <c r="D8" s="11">
        <v>378</v>
      </c>
      <c r="E8" s="11">
        <v>401</v>
      </c>
      <c r="F8" s="11"/>
      <c r="G8" s="11">
        <v>2</v>
      </c>
      <c r="H8" s="11">
        <v>66</v>
      </c>
      <c r="I8" s="11">
        <v>318</v>
      </c>
      <c r="J8" s="11">
        <v>303</v>
      </c>
      <c r="K8" s="11">
        <v>78</v>
      </c>
      <c r="L8" s="11">
        <v>12</v>
      </c>
      <c r="M8" s="11"/>
      <c r="N8" s="11">
        <v>235</v>
      </c>
      <c r="O8" s="11">
        <v>188</v>
      </c>
      <c r="P8" s="11">
        <v>194</v>
      </c>
      <c r="Q8" s="11">
        <v>161</v>
      </c>
      <c r="R8" s="11"/>
      <c r="S8" s="11">
        <v>132</v>
      </c>
      <c r="T8" s="11">
        <v>116</v>
      </c>
      <c r="U8" s="11">
        <v>77</v>
      </c>
      <c r="V8" s="11">
        <v>86</v>
      </c>
      <c r="W8" s="11">
        <v>64</v>
      </c>
      <c r="X8" s="11">
        <v>75</v>
      </c>
      <c r="Y8" s="11">
        <v>79</v>
      </c>
      <c r="Z8" s="11">
        <v>48</v>
      </c>
      <c r="AA8" s="11">
        <v>101</v>
      </c>
      <c r="AB8" s="11"/>
      <c r="AC8" s="11">
        <v>153</v>
      </c>
      <c r="AD8" s="11">
        <v>179</v>
      </c>
      <c r="AE8" s="11">
        <v>225</v>
      </c>
      <c r="AF8" s="11">
        <v>121</v>
      </c>
      <c r="AG8" s="11">
        <v>22</v>
      </c>
      <c r="AH8" s="11"/>
      <c r="AI8" s="11">
        <v>287</v>
      </c>
      <c r="AJ8" s="11">
        <v>147</v>
      </c>
      <c r="AK8" s="11">
        <v>70</v>
      </c>
      <c r="AL8" s="11">
        <v>115</v>
      </c>
      <c r="AM8" s="11">
        <v>43</v>
      </c>
      <c r="AN8" s="11">
        <v>52</v>
      </c>
      <c r="AO8" s="11"/>
      <c r="AP8" s="11">
        <v>440</v>
      </c>
      <c r="AQ8" s="11">
        <v>339</v>
      </c>
      <c r="AR8" s="11"/>
      <c r="AS8" s="11" t="s">
        <v>87</v>
      </c>
      <c r="AT8" s="11" t="s">
        <v>87</v>
      </c>
      <c r="AU8" s="11">
        <v>780</v>
      </c>
      <c r="AV8" s="11"/>
      <c r="AW8" s="11">
        <v>576</v>
      </c>
      <c r="AX8" s="11">
        <v>140</v>
      </c>
      <c r="AY8" s="11"/>
      <c r="AZ8" s="11">
        <v>640</v>
      </c>
      <c r="BA8" s="11">
        <v>139</v>
      </c>
    </row>
    <row r="9" spans="2:53" ht="29" x14ac:dyDescent="0.35">
      <c r="B9" s="15" t="s">
        <v>231</v>
      </c>
      <c r="C9" s="14">
        <v>9.7548401409705804E-2</v>
      </c>
      <c r="D9" s="14">
        <v>9.2893851931199603E-2</v>
      </c>
      <c r="E9" s="14">
        <v>0.102182143666672</v>
      </c>
      <c r="F9" s="14"/>
      <c r="G9" s="14">
        <v>0</v>
      </c>
      <c r="H9" s="14">
        <v>0.187111411558843</v>
      </c>
      <c r="I9" s="14">
        <v>0.11228230500924299</v>
      </c>
      <c r="J9" s="14">
        <v>9.1452149932094995E-2</v>
      </c>
      <c r="K9" s="14">
        <v>3.90498653935397E-3</v>
      </c>
      <c r="L9" s="14">
        <v>0</v>
      </c>
      <c r="M9" s="14"/>
      <c r="N9" s="14">
        <v>8.4148390740878307E-2</v>
      </c>
      <c r="O9" s="14">
        <v>6.0517801585513002E-2</v>
      </c>
      <c r="P9" s="14">
        <v>0.12535114274539499</v>
      </c>
      <c r="Q9" s="14">
        <v>0.12815908451654101</v>
      </c>
      <c r="R9" s="14"/>
      <c r="S9" s="14">
        <v>6.9332385554371906E-2</v>
      </c>
      <c r="T9" s="14">
        <v>8.7084593103044602E-2</v>
      </c>
      <c r="U9" s="14">
        <v>7.2024596000930502E-2</v>
      </c>
      <c r="V9" s="14">
        <v>0.11785626590769099</v>
      </c>
      <c r="W9" s="14">
        <v>0.12708820329015999</v>
      </c>
      <c r="X9" s="14">
        <v>7.6950930270832898E-2</v>
      </c>
      <c r="Y9" s="14">
        <v>0.122482662014349</v>
      </c>
      <c r="Z9" s="14">
        <v>0.10909044784604</v>
      </c>
      <c r="AA9" s="14">
        <v>0.120278959501675</v>
      </c>
      <c r="AB9" s="14"/>
      <c r="AC9" s="14">
        <v>0.107499045644671</v>
      </c>
      <c r="AD9" s="14">
        <v>8.5315804621303906E-2</v>
      </c>
      <c r="AE9" s="14">
        <v>6.8995337173489102E-2</v>
      </c>
      <c r="AF9" s="14">
        <v>0.110894516104591</v>
      </c>
      <c r="AG9" s="14">
        <v>0.12723474881427399</v>
      </c>
      <c r="AH9" s="14"/>
      <c r="AI9" s="14">
        <v>0.10241870055209901</v>
      </c>
      <c r="AJ9" s="14">
        <v>0.13604020784936</v>
      </c>
      <c r="AK9" s="14">
        <v>0.104028270748368</v>
      </c>
      <c r="AL9" s="14">
        <v>7.7075624692490796E-2</v>
      </c>
      <c r="AM9" s="14">
        <v>9.3736306497663305E-2</v>
      </c>
      <c r="AN9" s="14">
        <v>4.3751410708402598E-2</v>
      </c>
      <c r="AO9" s="14"/>
      <c r="AP9" s="14">
        <v>8.6943777932369903E-2</v>
      </c>
      <c r="AQ9" s="14">
        <v>0.111500558858905</v>
      </c>
      <c r="AR9" s="14"/>
      <c r="AS9" s="14" t="s">
        <v>88</v>
      </c>
      <c r="AT9" s="14" t="s">
        <v>88</v>
      </c>
      <c r="AU9" s="14">
        <v>9.7548401409705804E-2</v>
      </c>
      <c r="AV9" s="14"/>
      <c r="AW9" s="14">
        <v>9.8613793969188193E-2</v>
      </c>
      <c r="AX9" s="14">
        <v>0.10267108693472</v>
      </c>
      <c r="AY9" s="14"/>
      <c r="AZ9" s="14">
        <v>0.10022224105913601</v>
      </c>
      <c r="BA9" s="14">
        <v>8.5998893962219297E-2</v>
      </c>
    </row>
    <row r="10" spans="2:53" ht="29" x14ac:dyDescent="0.35">
      <c r="B10" s="15" t="s">
        <v>232</v>
      </c>
      <c r="C10" s="14">
        <v>0.77101810133856896</v>
      </c>
      <c r="D10" s="14">
        <v>0.78383527644608098</v>
      </c>
      <c r="E10" s="14">
        <v>0.75835710516655797</v>
      </c>
      <c r="F10" s="14"/>
      <c r="G10" s="14">
        <v>1</v>
      </c>
      <c r="H10" s="14">
        <v>0.66732248882582601</v>
      </c>
      <c r="I10" s="14">
        <v>0.76999289314033403</v>
      </c>
      <c r="J10" s="14">
        <v>0.77824187027995795</v>
      </c>
      <c r="K10" s="14">
        <v>0.81062167092961102</v>
      </c>
      <c r="L10" s="14">
        <v>0.880661027740687</v>
      </c>
      <c r="M10" s="14"/>
      <c r="N10" s="14">
        <v>0.78719119998270504</v>
      </c>
      <c r="O10" s="14">
        <v>0.785092512645017</v>
      </c>
      <c r="P10" s="14">
        <v>0.74029594724528203</v>
      </c>
      <c r="Q10" s="14">
        <v>0.76497247378121302</v>
      </c>
      <c r="R10" s="14"/>
      <c r="S10" s="14">
        <v>0.78288037825576196</v>
      </c>
      <c r="T10" s="14">
        <v>0.80655631552186702</v>
      </c>
      <c r="U10" s="14">
        <v>0.715228472851129</v>
      </c>
      <c r="V10" s="14">
        <v>0.76434427847049802</v>
      </c>
      <c r="W10" s="14">
        <v>0.78696957053495298</v>
      </c>
      <c r="X10" s="14">
        <v>0.78777399541715998</v>
      </c>
      <c r="Y10" s="14">
        <v>0.75978974857276305</v>
      </c>
      <c r="Z10" s="14">
        <v>0.80413047866942799</v>
      </c>
      <c r="AA10" s="14">
        <v>0.73351163773768202</v>
      </c>
      <c r="AB10" s="14"/>
      <c r="AC10" s="14">
        <v>0.78139445589984502</v>
      </c>
      <c r="AD10" s="14">
        <v>0.767316796424799</v>
      </c>
      <c r="AE10" s="14">
        <v>0.80967139905281105</v>
      </c>
      <c r="AF10" s="14">
        <v>0.77140483142520799</v>
      </c>
      <c r="AG10" s="14">
        <v>0.71977718753719799</v>
      </c>
      <c r="AH10" s="14"/>
      <c r="AI10" s="14">
        <v>0.76745232575464395</v>
      </c>
      <c r="AJ10" s="14">
        <v>0.78500666954083398</v>
      </c>
      <c r="AK10" s="14">
        <v>0.74503846151685005</v>
      </c>
      <c r="AL10" s="14">
        <v>0.78870812818961</v>
      </c>
      <c r="AM10" s="14">
        <v>0.80765928877757798</v>
      </c>
      <c r="AN10" s="14">
        <v>0.66676940949372498</v>
      </c>
      <c r="AO10" s="14"/>
      <c r="AP10" s="14">
        <v>0.77485629080843099</v>
      </c>
      <c r="AQ10" s="14">
        <v>0.76559886056485305</v>
      </c>
      <c r="AR10" s="14"/>
      <c r="AS10" s="14" t="s">
        <v>88</v>
      </c>
      <c r="AT10" s="14" t="s">
        <v>88</v>
      </c>
      <c r="AU10" s="14">
        <v>0.77101810133856896</v>
      </c>
      <c r="AV10" s="14"/>
      <c r="AW10" s="14">
        <v>0.77087361414606004</v>
      </c>
      <c r="AX10" s="14">
        <v>0.76172693622280996</v>
      </c>
      <c r="AY10" s="14"/>
      <c r="AZ10" s="14">
        <v>0.77885761967300804</v>
      </c>
      <c r="BA10" s="14">
        <v>0.73324030234123805</v>
      </c>
    </row>
    <row r="11" spans="2:53" ht="29" x14ac:dyDescent="0.35">
      <c r="B11" s="15" t="s">
        <v>233</v>
      </c>
      <c r="C11" s="14">
        <v>7.2238295635776606E-2</v>
      </c>
      <c r="D11" s="14">
        <v>8.6275479818736303E-2</v>
      </c>
      <c r="E11" s="14">
        <v>5.9178005516771402E-2</v>
      </c>
      <c r="F11" s="14"/>
      <c r="G11" s="14">
        <v>0</v>
      </c>
      <c r="H11" s="14">
        <v>0.11200057412896</v>
      </c>
      <c r="I11" s="14">
        <v>7.0403295712431105E-2</v>
      </c>
      <c r="J11" s="14">
        <v>7.2739465451758301E-2</v>
      </c>
      <c r="K11" s="14">
        <v>5.7785892301768102E-2</v>
      </c>
      <c r="L11" s="14">
        <v>0</v>
      </c>
      <c r="M11" s="14"/>
      <c r="N11" s="14">
        <v>6.9062931942073205E-2</v>
      </c>
      <c r="O11" s="14">
        <v>8.0544621716409096E-2</v>
      </c>
      <c r="P11" s="14">
        <v>7.7185994474203198E-2</v>
      </c>
      <c r="Q11" s="14">
        <v>6.21562041506772E-2</v>
      </c>
      <c r="R11" s="14"/>
      <c r="S11" s="14">
        <v>0.119302557290108</v>
      </c>
      <c r="T11" s="14">
        <v>6.1940541235525198E-2</v>
      </c>
      <c r="U11" s="14">
        <v>7.8386429836857993E-2</v>
      </c>
      <c r="V11" s="14">
        <v>4.01018000648369E-2</v>
      </c>
      <c r="W11" s="14">
        <v>6.0057806154343703E-2</v>
      </c>
      <c r="X11" s="14">
        <v>8.4397948387141999E-2</v>
      </c>
      <c r="Y11" s="14">
        <v>3.2340430996290498E-2</v>
      </c>
      <c r="Z11" s="14">
        <v>4.9055117675338301E-2</v>
      </c>
      <c r="AA11" s="14">
        <v>8.6042703466090803E-2</v>
      </c>
      <c r="AB11" s="14"/>
      <c r="AC11" s="14">
        <v>4.4379267106886701E-2</v>
      </c>
      <c r="AD11" s="14">
        <v>7.7147817538802496E-2</v>
      </c>
      <c r="AE11" s="14">
        <v>7.0391824241548107E-2</v>
      </c>
      <c r="AF11" s="14">
        <v>0.110180374482283</v>
      </c>
      <c r="AG11" s="14">
        <v>7.5333846221708203E-2</v>
      </c>
      <c r="AH11" s="14"/>
      <c r="AI11" s="14">
        <v>9.443483444386E-2</v>
      </c>
      <c r="AJ11" s="14">
        <v>4.4021219119259603E-2</v>
      </c>
      <c r="AK11" s="14">
        <v>8.0494817552278095E-2</v>
      </c>
      <c r="AL11" s="14">
        <v>5.8782929951245802E-2</v>
      </c>
      <c r="AM11" s="14">
        <v>1.53410916131451E-2</v>
      </c>
      <c r="AN11" s="14">
        <v>6.0062606045485099E-2</v>
      </c>
      <c r="AO11" s="14"/>
      <c r="AP11" s="14">
        <v>7.94091934881897E-2</v>
      </c>
      <c r="AQ11" s="14">
        <v>6.3067414349115003E-2</v>
      </c>
      <c r="AR11" s="14"/>
      <c r="AS11" s="14" t="s">
        <v>88</v>
      </c>
      <c r="AT11" s="14" t="s">
        <v>88</v>
      </c>
      <c r="AU11" s="14">
        <v>7.2238295635776606E-2</v>
      </c>
      <c r="AV11" s="14"/>
      <c r="AW11" s="14">
        <v>6.7873016728516103E-2</v>
      </c>
      <c r="AX11" s="14">
        <v>0.123236126586682</v>
      </c>
      <c r="AY11" s="14"/>
      <c r="AZ11" s="14">
        <v>7.5285343478205105E-2</v>
      </c>
      <c r="BA11" s="14">
        <v>5.8780785636242103E-2</v>
      </c>
    </row>
    <row r="12" spans="2:53" x14ac:dyDescent="0.35">
      <c r="B12" s="15" t="s">
        <v>116</v>
      </c>
      <c r="C12" s="23">
        <v>5.9195201615948399E-2</v>
      </c>
      <c r="D12" s="23">
        <v>3.69953918039835E-2</v>
      </c>
      <c r="E12" s="23">
        <v>8.0282745649998599E-2</v>
      </c>
      <c r="F12" s="23"/>
      <c r="G12" s="23">
        <v>0</v>
      </c>
      <c r="H12" s="23">
        <v>3.3565525486370602E-2</v>
      </c>
      <c r="I12" s="23">
        <v>4.7321506137991902E-2</v>
      </c>
      <c r="J12" s="23">
        <v>5.7566514336188798E-2</v>
      </c>
      <c r="K12" s="23">
        <v>0.127687450229267</v>
      </c>
      <c r="L12" s="23">
        <v>0.119338972259313</v>
      </c>
      <c r="M12" s="23"/>
      <c r="N12" s="23">
        <v>5.9597477334343403E-2</v>
      </c>
      <c r="O12" s="23">
        <v>7.3845064053060697E-2</v>
      </c>
      <c r="P12" s="23">
        <v>5.7166915535119503E-2</v>
      </c>
      <c r="Q12" s="23">
        <v>4.4712237551569299E-2</v>
      </c>
      <c r="R12" s="23"/>
      <c r="S12" s="23">
        <v>2.8484678899758299E-2</v>
      </c>
      <c r="T12" s="23">
        <v>4.4418550139562897E-2</v>
      </c>
      <c r="U12" s="23">
        <v>0.13436050131108301</v>
      </c>
      <c r="V12" s="23">
        <v>7.7697655556973902E-2</v>
      </c>
      <c r="W12" s="23">
        <v>2.5884420020543902E-2</v>
      </c>
      <c r="X12" s="23">
        <v>5.0877125924864999E-2</v>
      </c>
      <c r="Y12" s="23">
        <v>8.5387158416597303E-2</v>
      </c>
      <c r="Z12" s="23">
        <v>3.7723955809194402E-2</v>
      </c>
      <c r="AA12" s="23">
        <v>6.0166699294551797E-2</v>
      </c>
      <c r="AB12" s="23"/>
      <c r="AC12" s="23">
        <v>6.6727231348596594E-2</v>
      </c>
      <c r="AD12" s="23">
        <v>7.0219581415094504E-2</v>
      </c>
      <c r="AE12" s="23">
        <v>5.0941439532152202E-2</v>
      </c>
      <c r="AF12" s="23">
        <v>7.5202779879181602E-3</v>
      </c>
      <c r="AG12" s="23">
        <v>7.7654217426819105E-2</v>
      </c>
      <c r="AH12" s="23"/>
      <c r="AI12" s="23">
        <v>3.56941392493966E-2</v>
      </c>
      <c r="AJ12" s="23">
        <v>3.49319034905465E-2</v>
      </c>
      <c r="AK12" s="23">
        <v>7.0438450182503706E-2</v>
      </c>
      <c r="AL12" s="23">
        <v>7.5433317166653205E-2</v>
      </c>
      <c r="AM12" s="23">
        <v>8.3263313111613793E-2</v>
      </c>
      <c r="AN12" s="23">
        <v>0.229416573752387</v>
      </c>
      <c r="AO12" s="23"/>
      <c r="AP12" s="23">
        <v>5.87907377710098E-2</v>
      </c>
      <c r="AQ12" s="23">
        <v>5.98331662271274E-2</v>
      </c>
      <c r="AR12" s="23"/>
      <c r="AS12" s="23" t="s">
        <v>88</v>
      </c>
      <c r="AT12" s="23" t="s">
        <v>88</v>
      </c>
      <c r="AU12" s="23">
        <v>5.9195201615948399E-2</v>
      </c>
      <c r="AV12" s="23"/>
      <c r="AW12" s="23">
        <v>6.2639575156235999E-2</v>
      </c>
      <c r="AX12" s="23">
        <v>1.2365850255787699E-2</v>
      </c>
      <c r="AY12" s="23"/>
      <c r="AZ12" s="23">
        <v>4.5634795789650698E-2</v>
      </c>
      <c r="BA12" s="23">
        <v>0.1219800180603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814</v>
      </c>
      <c r="D7" s="10">
        <v>325</v>
      </c>
      <c r="E7" s="10">
        <v>488</v>
      </c>
      <c r="F7" s="10"/>
      <c r="G7" s="10">
        <v>2</v>
      </c>
      <c r="H7" s="10">
        <v>72</v>
      </c>
      <c r="I7" s="10">
        <v>339</v>
      </c>
      <c r="J7" s="10">
        <v>308</v>
      </c>
      <c r="K7" s="10">
        <v>80</v>
      </c>
      <c r="L7" s="10">
        <v>13</v>
      </c>
      <c r="M7" s="10"/>
      <c r="N7" s="10">
        <v>388</v>
      </c>
      <c r="O7" s="10">
        <v>181</v>
      </c>
      <c r="P7" s="10">
        <v>128</v>
      </c>
      <c r="Q7" s="10">
        <v>115</v>
      </c>
      <c r="R7" s="10"/>
      <c r="S7" s="10">
        <v>161</v>
      </c>
      <c r="T7" s="10">
        <v>117</v>
      </c>
      <c r="U7" s="10">
        <v>64</v>
      </c>
      <c r="V7" s="10">
        <v>76</v>
      </c>
      <c r="W7" s="10">
        <v>59</v>
      </c>
      <c r="X7" s="10">
        <v>91</v>
      </c>
      <c r="Y7" s="10">
        <v>89</v>
      </c>
      <c r="Z7" s="10">
        <v>48</v>
      </c>
      <c r="AA7" s="10">
        <v>109</v>
      </c>
      <c r="AB7" s="10"/>
      <c r="AC7" s="10">
        <v>127</v>
      </c>
      <c r="AD7" s="10">
        <v>160</v>
      </c>
      <c r="AE7" s="10">
        <v>247</v>
      </c>
      <c r="AF7" s="10">
        <v>166</v>
      </c>
      <c r="AG7" s="10">
        <v>42</v>
      </c>
      <c r="AH7" s="10"/>
      <c r="AI7" s="10">
        <v>313</v>
      </c>
      <c r="AJ7" s="10">
        <v>160</v>
      </c>
      <c r="AK7" s="10">
        <v>78</v>
      </c>
      <c r="AL7" s="10">
        <v>105</v>
      </c>
      <c r="AM7" s="10">
        <v>44</v>
      </c>
      <c r="AN7" s="10">
        <v>52</v>
      </c>
      <c r="AO7" s="10"/>
      <c r="AP7" s="10">
        <v>459</v>
      </c>
      <c r="AQ7" s="10">
        <v>354</v>
      </c>
      <c r="AR7" s="10"/>
      <c r="AS7" s="10" t="s">
        <v>87</v>
      </c>
      <c r="AT7" s="10" t="s">
        <v>87</v>
      </c>
      <c r="AU7" s="10">
        <v>814</v>
      </c>
      <c r="AV7" s="10"/>
      <c r="AW7" s="10">
        <v>580</v>
      </c>
      <c r="AX7" s="10">
        <v>177</v>
      </c>
      <c r="AY7" s="10"/>
      <c r="AZ7" s="10">
        <v>676</v>
      </c>
      <c r="BA7" s="10">
        <v>137</v>
      </c>
    </row>
    <row r="8" spans="2:53" ht="30" customHeight="1" x14ac:dyDescent="0.35">
      <c r="B8" s="11" t="s">
        <v>19</v>
      </c>
      <c r="C8" s="11">
        <v>780</v>
      </c>
      <c r="D8" s="11">
        <v>378</v>
      </c>
      <c r="E8" s="11">
        <v>401</v>
      </c>
      <c r="F8" s="11"/>
      <c r="G8" s="11">
        <v>2</v>
      </c>
      <c r="H8" s="11">
        <v>66</v>
      </c>
      <c r="I8" s="11">
        <v>318</v>
      </c>
      <c r="J8" s="11">
        <v>303</v>
      </c>
      <c r="K8" s="11">
        <v>78</v>
      </c>
      <c r="L8" s="11">
        <v>12</v>
      </c>
      <c r="M8" s="11"/>
      <c r="N8" s="11">
        <v>235</v>
      </c>
      <c r="O8" s="11">
        <v>188</v>
      </c>
      <c r="P8" s="11">
        <v>194</v>
      </c>
      <c r="Q8" s="11">
        <v>161</v>
      </c>
      <c r="R8" s="11"/>
      <c r="S8" s="11">
        <v>132</v>
      </c>
      <c r="T8" s="11">
        <v>116</v>
      </c>
      <c r="U8" s="11">
        <v>77</v>
      </c>
      <c r="V8" s="11">
        <v>86</v>
      </c>
      <c r="W8" s="11">
        <v>64</v>
      </c>
      <c r="X8" s="11">
        <v>75</v>
      </c>
      <c r="Y8" s="11">
        <v>79</v>
      </c>
      <c r="Z8" s="11">
        <v>48</v>
      </c>
      <c r="AA8" s="11">
        <v>101</v>
      </c>
      <c r="AB8" s="11"/>
      <c r="AC8" s="11">
        <v>153</v>
      </c>
      <c r="AD8" s="11">
        <v>179</v>
      </c>
      <c r="AE8" s="11">
        <v>225</v>
      </c>
      <c r="AF8" s="11">
        <v>121</v>
      </c>
      <c r="AG8" s="11">
        <v>22</v>
      </c>
      <c r="AH8" s="11"/>
      <c r="AI8" s="11">
        <v>287</v>
      </c>
      <c r="AJ8" s="11">
        <v>147</v>
      </c>
      <c r="AK8" s="11">
        <v>70</v>
      </c>
      <c r="AL8" s="11">
        <v>115</v>
      </c>
      <c r="AM8" s="11">
        <v>43</v>
      </c>
      <c r="AN8" s="11">
        <v>52</v>
      </c>
      <c r="AO8" s="11"/>
      <c r="AP8" s="11">
        <v>440</v>
      </c>
      <c r="AQ8" s="11">
        <v>339</v>
      </c>
      <c r="AR8" s="11"/>
      <c r="AS8" s="11" t="s">
        <v>87</v>
      </c>
      <c r="AT8" s="11" t="s">
        <v>87</v>
      </c>
      <c r="AU8" s="11">
        <v>780</v>
      </c>
      <c r="AV8" s="11"/>
      <c r="AW8" s="11">
        <v>576</v>
      </c>
      <c r="AX8" s="11">
        <v>140</v>
      </c>
      <c r="AY8" s="11"/>
      <c r="AZ8" s="11">
        <v>640</v>
      </c>
      <c r="BA8" s="11">
        <v>139</v>
      </c>
    </row>
    <row r="9" spans="2:53" x14ac:dyDescent="0.35">
      <c r="B9" s="15" t="s">
        <v>235</v>
      </c>
      <c r="C9" s="14">
        <v>0.30106234737505999</v>
      </c>
      <c r="D9" s="14">
        <v>0.327251925684856</v>
      </c>
      <c r="E9" s="14">
        <v>0.274615465402609</v>
      </c>
      <c r="F9" s="14"/>
      <c r="G9" s="14">
        <v>0</v>
      </c>
      <c r="H9" s="14">
        <v>0.38510727749456303</v>
      </c>
      <c r="I9" s="14">
        <v>0.29615163166047598</v>
      </c>
      <c r="J9" s="14">
        <v>0.29279011860624898</v>
      </c>
      <c r="K9" s="14">
        <v>0.29805293932250598</v>
      </c>
      <c r="L9" s="14">
        <v>0.25684571267821399</v>
      </c>
      <c r="M9" s="14"/>
      <c r="N9" s="14">
        <v>0.39314276854025199</v>
      </c>
      <c r="O9" s="14">
        <v>0.29343660196807198</v>
      </c>
      <c r="P9" s="14">
        <v>0.21918941076001699</v>
      </c>
      <c r="Q9" s="14">
        <v>0.27803780487395902</v>
      </c>
      <c r="R9" s="14"/>
      <c r="S9" s="14">
        <v>0.36661828332354202</v>
      </c>
      <c r="T9" s="14">
        <v>0.29386478577671499</v>
      </c>
      <c r="U9" s="14">
        <v>0.31127814929905101</v>
      </c>
      <c r="V9" s="14">
        <v>0.31550770401353401</v>
      </c>
      <c r="W9" s="14">
        <v>0.294642375328034</v>
      </c>
      <c r="X9" s="14">
        <v>0.27913342734049201</v>
      </c>
      <c r="Y9" s="14">
        <v>0.245849086603251</v>
      </c>
      <c r="Z9" s="14">
        <v>0.27521086527039801</v>
      </c>
      <c r="AA9" s="14">
        <v>0.27941529588995301</v>
      </c>
      <c r="AB9" s="14"/>
      <c r="AC9" s="14">
        <v>0.30330075978154297</v>
      </c>
      <c r="AD9" s="14">
        <v>0.23051250178084501</v>
      </c>
      <c r="AE9" s="14">
        <v>0.33646398959191998</v>
      </c>
      <c r="AF9" s="14">
        <v>0.31757653075519199</v>
      </c>
      <c r="AG9" s="14">
        <v>0.57774522070525802</v>
      </c>
      <c r="AH9" s="14"/>
      <c r="AI9" s="14">
        <v>0.37951692891760602</v>
      </c>
      <c r="AJ9" s="14">
        <v>0.27003591283653</v>
      </c>
      <c r="AK9" s="14">
        <v>0.228089472836804</v>
      </c>
      <c r="AL9" s="14">
        <v>0.28139612943868603</v>
      </c>
      <c r="AM9" s="14">
        <v>0.31865009666046201</v>
      </c>
      <c r="AN9" s="14">
        <v>0.17549908315018101</v>
      </c>
      <c r="AO9" s="14"/>
      <c r="AP9" s="14">
        <v>0.32175094679774802</v>
      </c>
      <c r="AQ9" s="14">
        <v>0.27478037952926798</v>
      </c>
      <c r="AR9" s="14"/>
      <c r="AS9" s="14" t="s">
        <v>88</v>
      </c>
      <c r="AT9" s="14" t="s">
        <v>88</v>
      </c>
      <c r="AU9" s="14">
        <v>0.30106234737505999</v>
      </c>
      <c r="AV9" s="14"/>
      <c r="AW9" s="14">
        <v>0.27586303118362998</v>
      </c>
      <c r="AX9" s="14">
        <v>0.43805047675910702</v>
      </c>
      <c r="AY9" s="14"/>
      <c r="AZ9" s="14">
        <v>0.32343907783291798</v>
      </c>
      <c r="BA9" s="14">
        <v>0.20048948187983701</v>
      </c>
    </row>
    <row r="10" spans="2:53" x14ac:dyDescent="0.35">
      <c r="B10" s="15" t="s">
        <v>236</v>
      </c>
      <c r="C10" s="14">
        <v>0.61256652416790502</v>
      </c>
      <c r="D10" s="14">
        <v>0.61603161143654706</v>
      </c>
      <c r="E10" s="14">
        <v>0.61082630700223595</v>
      </c>
      <c r="F10" s="14"/>
      <c r="G10" s="14">
        <v>1</v>
      </c>
      <c r="H10" s="14">
        <v>0.54562140261237602</v>
      </c>
      <c r="I10" s="14">
        <v>0.62440592476569001</v>
      </c>
      <c r="J10" s="14">
        <v>0.60834929218320399</v>
      </c>
      <c r="K10" s="14">
        <v>0.61364099079615797</v>
      </c>
      <c r="L10" s="14">
        <v>0.68842230116446201</v>
      </c>
      <c r="M10" s="14"/>
      <c r="N10" s="14">
        <v>0.544296549950679</v>
      </c>
      <c r="O10" s="14">
        <v>0.60247792070952699</v>
      </c>
      <c r="P10" s="14">
        <v>0.69293170749076505</v>
      </c>
      <c r="Q10" s="14">
        <v>0.62215918708246098</v>
      </c>
      <c r="R10" s="14"/>
      <c r="S10" s="14">
        <v>0.59814550492208696</v>
      </c>
      <c r="T10" s="14">
        <v>0.61966380410267696</v>
      </c>
      <c r="U10" s="14">
        <v>0.62385822421832904</v>
      </c>
      <c r="V10" s="14">
        <v>0.55991185018389</v>
      </c>
      <c r="W10" s="14">
        <v>0.61619204705434405</v>
      </c>
      <c r="X10" s="14">
        <v>0.64731415351202104</v>
      </c>
      <c r="Y10" s="14">
        <v>0.63399275967435398</v>
      </c>
      <c r="Z10" s="14">
        <v>0.58741676176546198</v>
      </c>
      <c r="AA10" s="14">
        <v>0.62635810903745204</v>
      </c>
      <c r="AB10" s="14"/>
      <c r="AC10" s="14">
        <v>0.59709160924750604</v>
      </c>
      <c r="AD10" s="14">
        <v>0.69216836660675896</v>
      </c>
      <c r="AE10" s="14">
        <v>0.55987802009945198</v>
      </c>
      <c r="AF10" s="14">
        <v>0.63081719869283204</v>
      </c>
      <c r="AG10" s="14">
        <v>0.37602217102704499</v>
      </c>
      <c r="AH10" s="14"/>
      <c r="AI10" s="14">
        <v>0.55915378756747303</v>
      </c>
      <c r="AJ10" s="14">
        <v>0.64044822980994598</v>
      </c>
      <c r="AK10" s="14">
        <v>0.66917331143117298</v>
      </c>
      <c r="AL10" s="14">
        <v>0.60123527319414305</v>
      </c>
      <c r="AM10" s="14">
        <v>0.56488228193946199</v>
      </c>
      <c r="AN10" s="14">
        <v>0.68916687882926597</v>
      </c>
      <c r="AO10" s="14"/>
      <c r="AP10" s="14">
        <v>0.60669832346286701</v>
      </c>
      <c r="AQ10" s="14">
        <v>0.62135269728533804</v>
      </c>
      <c r="AR10" s="14"/>
      <c r="AS10" s="14" t="s">
        <v>88</v>
      </c>
      <c r="AT10" s="14" t="s">
        <v>88</v>
      </c>
      <c r="AU10" s="14">
        <v>0.61256652416790502</v>
      </c>
      <c r="AV10" s="14"/>
      <c r="AW10" s="14">
        <v>0.63105572141984001</v>
      </c>
      <c r="AX10" s="14">
        <v>0.51773448855800397</v>
      </c>
      <c r="AY10" s="14"/>
      <c r="AZ10" s="14">
        <v>0.60031423265835104</v>
      </c>
      <c r="BA10" s="14">
        <v>0.66594248102324105</v>
      </c>
    </row>
    <row r="11" spans="2:53" x14ac:dyDescent="0.35">
      <c r="B11" s="15" t="s">
        <v>237</v>
      </c>
      <c r="C11" s="14">
        <v>6.7966062993423601E-2</v>
      </c>
      <c r="D11" s="14">
        <v>5.1910116684528697E-2</v>
      </c>
      <c r="E11" s="14">
        <v>8.3280318010629295E-2</v>
      </c>
      <c r="F11" s="14"/>
      <c r="G11" s="14">
        <v>0</v>
      </c>
      <c r="H11" s="14">
        <v>5.8693286931891797E-2</v>
      </c>
      <c r="I11" s="14">
        <v>5.5226855818795599E-2</v>
      </c>
      <c r="J11" s="14">
        <v>7.9206269943786198E-2</v>
      </c>
      <c r="K11" s="14">
        <v>8.8306069881336505E-2</v>
      </c>
      <c r="L11" s="14">
        <v>5.4731986157324601E-2</v>
      </c>
      <c r="M11" s="14"/>
      <c r="N11" s="14">
        <v>4.8141467193958898E-2</v>
      </c>
      <c r="O11" s="14">
        <v>7.0410748956955399E-2</v>
      </c>
      <c r="P11" s="14">
        <v>7.4511830083959799E-2</v>
      </c>
      <c r="Q11" s="14">
        <v>8.7094264669810004E-2</v>
      </c>
      <c r="R11" s="14"/>
      <c r="S11" s="14">
        <v>1.8016884750150799E-2</v>
      </c>
      <c r="T11" s="14">
        <v>6.2663765785383393E-2</v>
      </c>
      <c r="U11" s="14">
        <v>3.5325481798420703E-2</v>
      </c>
      <c r="V11" s="14">
        <v>0.108977704716747</v>
      </c>
      <c r="W11" s="14">
        <v>7.8814543566453399E-2</v>
      </c>
      <c r="X11" s="14">
        <v>5.4981452067893503E-2</v>
      </c>
      <c r="Y11" s="14">
        <v>9.4418002336607895E-2</v>
      </c>
      <c r="Z11" s="14">
        <v>0.121484286415216</v>
      </c>
      <c r="AA11" s="14">
        <v>8.6171386764205202E-2</v>
      </c>
      <c r="AB11" s="14"/>
      <c r="AC11" s="14">
        <v>7.3453389935064201E-2</v>
      </c>
      <c r="AD11" s="14">
        <v>6.2547975178288806E-2</v>
      </c>
      <c r="AE11" s="14">
        <v>7.6903392276758506E-2</v>
      </c>
      <c r="AF11" s="14">
        <v>4.6159181519116202E-2</v>
      </c>
      <c r="AG11" s="14">
        <v>4.6232608267696401E-2</v>
      </c>
      <c r="AH11" s="14"/>
      <c r="AI11" s="14">
        <v>5.2546795034852802E-2</v>
      </c>
      <c r="AJ11" s="14">
        <v>6.9247902443019094E-2</v>
      </c>
      <c r="AK11" s="14">
        <v>5.58581815834156E-2</v>
      </c>
      <c r="AL11" s="14">
        <v>9.6841143212277603E-2</v>
      </c>
      <c r="AM11" s="14">
        <v>0.11646762140007701</v>
      </c>
      <c r="AN11" s="14">
        <v>8.7691389336376005E-2</v>
      </c>
      <c r="AO11" s="14"/>
      <c r="AP11" s="14">
        <v>5.4505492379777802E-2</v>
      </c>
      <c r="AQ11" s="14">
        <v>8.3661527992882304E-2</v>
      </c>
      <c r="AR11" s="14"/>
      <c r="AS11" s="14" t="s">
        <v>88</v>
      </c>
      <c r="AT11" s="14" t="s">
        <v>88</v>
      </c>
      <c r="AU11" s="14">
        <v>6.7966062993423601E-2</v>
      </c>
      <c r="AV11" s="14"/>
      <c r="AW11" s="14">
        <v>7.2747383642458294E-2</v>
      </c>
      <c r="AX11" s="14">
        <v>3.6918408219214299E-2</v>
      </c>
      <c r="AY11" s="14"/>
      <c r="AZ11" s="14">
        <v>5.85455131149865E-2</v>
      </c>
      <c r="BA11" s="14">
        <v>0.11178738689597301</v>
      </c>
    </row>
    <row r="12" spans="2:53" x14ac:dyDescent="0.35">
      <c r="B12" s="15" t="s">
        <v>238</v>
      </c>
      <c r="C12" s="14">
        <v>7.5684737392556298E-3</v>
      </c>
      <c r="D12" s="14">
        <v>3.7425756425565498E-3</v>
      </c>
      <c r="E12" s="14">
        <v>1.11961156381964E-2</v>
      </c>
      <c r="F12" s="14"/>
      <c r="G12" s="14">
        <v>0</v>
      </c>
      <c r="H12" s="14">
        <v>0</v>
      </c>
      <c r="I12" s="14">
        <v>7.3531990072162401E-3</v>
      </c>
      <c r="J12" s="14">
        <v>1.17744484231902E-2</v>
      </c>
      <c r="K12" s="14">
        <v>0</v>
      </c>
      <c r="L12" s="14">
        <v>0</v>
      </c>
      <c r="M12" s="14"/>
      <c r="N12" s="14">
        <v>6.22360410784056E-3</v>
      </c>
      <c r="O12" s="14">
        <v>1.64791081655873E-2</v>
      </c>
      <c r="P12" s="14">
        <v>6.92358736926131E-3</v>
      </c>
      <c r="Q12" s="14">
        <v>0</v>
      </c>
      <c r="R12" s="14"/>
      <c r="S12" s="14">
        <v>1.72193270042196E-2</v>
      </c>
      <c r="T12" s="14">
        <v>5.6691066397985103E-3</v>
      </c>
      <c r="U12" s="14">
        <v>1.04078818434305E-2</v>
      </c>
      <c r="V12" s="14">
        <v>1.5602741085828899E-2</v>
      </c>
      <c r="W12" s="14">
        <v>0</v>
      </c>
      <c r="X12" s="14">
        <v>0</v>
      </c>
      <c r="Y12" s="14">
        <v>0</v>
      </c>
      <c r="Z12" s="14">
        <v>0</v>
      </c>
      <c r="AA12" s="14">
        <v>8.0552083083901306E-3</v>
      </c>
      <c r="AB12" s="14"/>
      <c r="AC12" s="14">
        <v>1.7998193398746001E-2</v>
      </c>
      <c r="AD12" s="14">
        <v>9.0572509807333203E-3</v>
      </c>
      <c r="AE12" s="14">
        <v>6.77447631494002E-3</v>
      </c>
      <c r="AF12" s="14">
        <v>0</v>
      </c>
      <c r="AG12" s="14">
        <v>0</v>
      </c>
      <c r="AH12" s="14"/>
      <c r="AI12" s="14">
        <v>4.9395288556041399E-3</v>
      </c>
      <c r="AJ12" s="14">
        <v>1.10118997107171E-2</v>
      </c>
      <c r="AK12" s="14">
        <v>2.1934694822625101E-2</v>
      </c>
      <c r="AL12" s="14">
        <v>1.16572370629534E-2</v>
      </c>
      <c r="AM12" s="14">
        <v>0</v>
      </c>
      <c r="AN12" s="14">
        <v>0</v>
      </c>
      <c r="AO12" s="14"/>
      <c r="AP12" s="14">
        <v>6.5156147335520397E-3</v>
      </c>
      <c r="AQ12" s="14">
        <v>8.9496486742476501E-3</v>
      </c>
      <c r="AR12" s="14"/>
      <c r="AS12" s="14" t="s">
        <v>88</v>
      </c>
      <c r="AT12" s="14" t="s">
        <v>88</v>
      </c>
      <c r="AU12" s="14">
        <v>7.5684737392556298E-3</v>
      </c>
      <c r="AV12" s="14"/>
      <c r="AW12" s="14">
        <v>1.0251339752124101E-2</v>
      </c>
      <c r="AX12" s="14">
        <v>0</v>
      </c>
      <c r="AY12" s="14"/>
      <c r="AZ12" s="14">
        <v>9.2274498783540809E-3</v>
      </c>
      <c r="BA12" s="14">
        <v>0</v>
      </c>
    </row>
    <row r="13" spans="2:53" x14ac:dyDescent="0.35">
      <c r="B13" s="15" t="s">
        <v>116</v>
      </c>
      <c r="C13" s="23">
        <v>1.08365917243562E-2</v>
      </c>
      <c r="D13" s="23">
        <v>1.0637705515116099E-3</v>
      </c>
      <c r="E13" s="23">
        <v>2.0081793946330001E-2</v>
      </c>
      <c r="F13" s="23"/>
      <c r="G13" s="23">
        <v>0</v>
      </c>
      <c r="H13" s="23">
        <v>1.0578032961169E-2</v>
      </c>
      <c r="I13" s="23">
        <v>1.6862388747821401E-2</v>
      </c>
      <c r="J13" s="23">
        <v>7.8798708435706792E-3</v>
      </c>
      <c r="K13" s="23">
        <v>0</v>
      </c>
      <c r="L13" s="23">
        <v>0</v>
      </c>
      <c r="M13" s="23"/>
      <c r="N13" s="23">
        <v>8.1956102072693795E-3</v>
      </c>
      <c r="O13" s="23">
        <v>1.71956201998591E-2</v>
      </c>
      <c r="P13" s="23">
        <v>6.4434642959972201E-3</v>
      </c>
      <c r="Q13" s="23">
        <v>1.2708743373770599E-2</v>
      </c>
      <c r="R13" s="23"/>
      <c r="S13" s="23">
        <v>0</v>
      </c>
      <c r="T13" s="23">
        <v>1.8138537695426601E-2</v>
      </c>
      <c r="U13" s="23">
        <v>1.9130262840769099E-2</v>
      </c>
      <c r="V13" s="23">
        <v>0</v>
      </c>
      <c r="W13" s="23">
        <v>1.03510340511685E-2</v>
      </c>
      <c r="X13" s="23">
        <v>1.85709670795937E-2</v>
      </c>
      <c r="Y13" s="23">
        <v>2.5740151385786801E-2</v>
      </c>
      <c r="Z13" s="23">
        <v>1.5888086548923801E-2</v>
      </c>
      <c r="AA13" s="23">
        <v>0</v>
      </c>
      <c r="AB13" s="23"/>
      <c r="AC13" s="23">
        <v>8.1560476371403904E-3</v>
      </c>
      <c r="AD13" s="23">
        <v>5.7139054533743103E-3</v>
      </c>
      <c r="AE13" s="23">
        <v>1.99801217169298E-2</v>
      </c>
      <c r="AF13" s="23">
        <v>5.4470890328600502E-3</v>
      </c>
      <c r="AG13" s="23">
        <v>0</v>
      </c>
      <c r="AH13" s="23"/>
      <c r="AI13" s="23">
        <v>3.8429596244647E-3</v>
      </c>
      <c r="AJ13" s="23">
        <v>9.2560551997880099E-3</v>
      </c>
      <c r="AK13" s="23">
        <v>2.4944339325982001E-2</v>
      </c>
      <c r="AL13" s="23">
        <v>8.8702170919401895E-3</v>
      </c>
      <c r="AM13" s="23">
        <v>0</v>
      </c>
      <c r="AN13" s="23">
        <v>4.76426486841766E-2</v>
      </c>
      <c r="AO13" s="23"/>
      <c r="AP13" s="23">
        <v>1.05296226260558E-2</v>
      </c>
      <c r="AQ13" s="23">
        <v>1.1255746518264701E-2</v>
      </c>
      <c r="AR13" s="23"/>
      <c r="AS13" s="23" t="s">
        <v>88</v>
      </c>
      <c r="AT13" s="23" t="s">
        <v>88</v>
      </c>
      <c r="AU13" s="23">
        <v>1.08365917243562E-2</v>
      </c>
      <c r="AV13" s="23"/>
      <c r="AW13" s="23">
        <v>1.00825240019481E-2</v>
      </c>
      <c r="AX13" s="23">
        <v>7.29662646367462E-3</v>
      </c>
      <c r="AY13" s="23"/>
      <c r="AZ13" s="23">
        <v>8.4737265153905401E-3</v>
      </c>
      <c r="BA13" s="23">
        <v>2.1780650200949402E-2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B2:BA19"/>
  <sheetViews>
    <sheetView showGridLines="0" topLeftCell="A4" workbookViewId="0">
      <pane xSplit="2" topLeftCell="C1" activePane="topRight" state="frozen"/>
      <selection pane="topRight" activeCell="E16" sqref="E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814</v>
      </c>
      <c r="D7" s="10">
        <v>325</v>
      </c>
      <c r="E7" s="10">
        <v>488</v>
      </c>
      <c r="F7" s="10"/>
      <c r="G7" s="10">
        <v>2</v>
      </c>
      <c r="H7" s="10">
        <v>72</v>
      </c>
      <c r="I7" s="10">
        <v>339</v>
      </c>
      <c r="J7" s="10">
        <v>308</v>
      </c>
      <c r="K7" s="10">
        <v>80</v>
      </c>
      <c r="L7" s="10">
        <v>13</v>
      </c>
      <c r="M7" s="10"/>
      <c r="N7" s="10">
        <v>388</v>
      </c>
      <c r="O7" s="10">
        <v>181</v>
      </c>
      <c r="P7" s="10">
        <v>128</v>
      </c>
      <c r="Q7" s="10">
        <v>115</v>
      </c>
      <c r="R7" s="10"/>
      <c r="S7" s="10">
        <v>161</v>
      </c>
      <c r="T7" s="10">
        <v>117</v>
      </c>
      <c r="U7" s="10">
        <v>64</v>
      </c>
      <c r="V7" s="10">
        <v>76</v>
      </c>
      <c r="W7" s="10">
        <v>59</v>
      </c>
      <c r="X7" s="10">
        <v>91</v>
      </c>
      <c r="Y7" s="10">
        <v>89</v>
      </c>
      <c r="Z7" s="10">
        <v>48</v>
      </c>
      <c r="AA7" s="10">
        <v>109</v>
      </c>
      <c r="AB7" s="10"/>
      <c r="AC7" s="10">
        <v>127</v>
      </c>
      <c r="AD7" s="10">
        <v>160</v>
      </c>
      <c r="AE7" s="10">
        <v>247</v>
      </c>
      <c r="AF7" s="10">
        <v>166</v>
      </c>
      <c r="AG7" s="10">
        <v>42</v>
      </c>
      <c r="AH7" s="10"/>
      <c r="AI7" s="10">
        <v>313</v>
      </c>
      <c r="AJ7" s="10">
        <v>160</v>
      </c>
      <c r="AK7" s="10">
        <v>78</v>
      </c>
      <c r="AL7" s="10">
        <v>105</v>
      </c>
      <c r="AM7" s="10">
        <v>44</v>
      </c>
      <c r="AN7" s="10">
        <v>52</v>
      </c>
      <c r="AO7" s="10"/>
      <c r="AP7" s="10">
        <v>459</v>
      </c>
      <c r="AQ7" s="10">
        <v>354</v>
      </c>
      <c r="AR7" s="10"/>
      <c r="AS7" s="10" t="s">
        <v>87</v>
      </c>
      <c r="AT7" s="10" t="s">
        <v>87</v>
      </c>
      <c r="AU7" s="10">
        <v>814</v>
      </c>
      <c r="AV7" s="10"/>
      <c r="AW7" s="10">
        <v>580</v>
      </c>
      <c r="AX7" s="10">
        <v>177</v>
      </c>
      <c r="AY7" s="10"/>
      <c r="AZ7" s="10">
        <v>676</v>
      </c>
      <c r="BA7" s="10">
        <v>137</v>
      </c>
    </row>
    <row r="8" spans="2:53" ht="30" customHeight="1" x14ac:dyDescent="0.35">
      <c r="B8" s="11" t="s">
        <v>19</v>
      </c>
      <c r="C8" s="11">
        <v>780</v>
      </c>
      <c r="D8" s="11">
        <v>378</v>
      </c>
      <c r="E8" s="11">
        <v>401</v>
      </c>
      <c r="F8" s="11"/>
      <c r="G8" s="11">
        <v>2</v>
      </c>
      <c r="H8" s="11">
        <v>66</v>
      </c>
      <c r="I8" s="11">
        <v>318</v>
      </c>
      <c r="J8" s="11">
        <v>303</v>
      </c>
      <c r="K8" s="11">
        <v>78</v>
      </c>
      <c r="L8" s="11">
        <v>12</v>
      </c>
      <c r="M8" s="11"/>
      <c r="N8" s="11">
        <v>235</v>
      </c>
      <c r="O8" s="11">
        <v>188</v>
      </c>
      <c r="P8" s="11">
        <v>194</v>
      </c>
      <c r="Q8" s="11">
        <v>161</v>
      </c>
      <c r="R8" s="11"/>
      <c r="S8" s="11">
        <v>132</v>
      </c>
      <c r="T8" s="11">
        <v>116</v>
      </c>
      <c r="U8" s="11">
        <v>77</v>
      </c>
      <c r="V8" s="11">
        <v>86</v>
      </c>
      <c r="W8" s="11">
        <v>64</v>
      </c>
      <c r="X8" s="11">
        <v>75</v>
      </c>
      <c r="Y8" s="11">
        <v>79</v>
      </c>
      <c r="Z8" s="11">
        <v>48</v>
      </c>
      <c r="AA8" s="11">
        <v>101</v>
      </c>
      <c r="AB8" s="11"/>
      <c r="AC8" s="11">
        <v>153</v>
      </c>
      <c r="AD8" s="11">
        <v>179</v>
      </c>
      <c r="AE8" s="11">
        <v>225</v>
      </c>
      <c r="AF8" s="11">
        <v>121</v>
      </c>
      <c r="AG8" s="11">
        <v>22</v>
      </c>
      <c r="AH8" s="11"/>
      <c r="AI8" s="11">
        <v>287</v>
      </c>
      <c r="AJ8" s="11">
        <v>147</v>
      </c>
      <c r="AK8" s="11">
        <v>70</v>
      </c>
      <c r="AL8" s="11">
        <v>115</v>
      </c>
      <c r="AM8" s="11">
        <v>43</v>
      </c>
      <c r="AN8" s="11">
        <v>52</v>
      </c>
      <c r="AO8" s="11"/>
      <c r="AP8" s="11">
        <v>440</v>
      </c>
      <c r="AQ8" s="11">
        <v>339</v>
      </c>
      <c r="AR8" s="11"/>
      <c r="AS8" s="11" t="s">
        <v>87</v>
      </c>
      <c r="AT8" s="11" t="s">
        <v>87</v>
      </c>
      <c r="AU8" s="11">
        <v>780</v>
      </c>
      <c r="AV8" s="11"/>
      <c r="AW8" s="11">
        <v>576</v>
      </c>
      <c r="AX8" s="11">
        <v>140</v>
      </c>
      <c r="AY8" s="11"/>
      <c r="AZ8" s="11">
        <v>640</v>
      </c>
      <c r="BA8" s="11">
        <v>139</v>
      </c>
    </row>
    <row r="9" spans="2:53" x14ac:dyDescent="0.35">
      <c r="B9" s="15" t="s">
        <v>220</v>
      </c>
      <c r="C9" s="14">
        <v>0.26011651098649802</v>
      </c>
      <c r="D9" s="14">
        <v>0.32352139391334001</v>
      </c>
      <c r="E9" s="14">
        <v>0.19846431824190999</v>
      </c>
      <c r="F9" s="14"/>
      <c r="G9" s="14">
        <v>0.46244813625315101</v>
      </c>
      <c r="H9" s="14">
        <v>0.45986564911050198</v>
      </c>
      <c r="I9" s="14">
        <v>0.25605262011266799</v>
      </c>
      <c r="J9" s="14">
        <v>0.22904209565543099</v>
      </c>
      <c r="K9" s="14">
        <v>0.241996554620515</v>
      </c>
      <c r="L9" s="14">
        <v>0.13443658022246399</v>
      </c>
      <c r="M9" s="14"/>
      <c r="N9" s="14">
        <v>0.33364226898898502</v>
      </c>
      <c r="O9" s="14">
        <v>0.220957016848736</v>
      </c>
      <c r="P9" s="14">
        <v>0.254632958437572</v>
      </c>
      <c r="Q9" s="14">
        <v>0.208395034341534</v>
      </c>
      <c r="R9" s="14"/>
      <c r="S9" s="14">
        <v>0.35751643699162899</v>
      </c>
      <c r="T9" s="14">
        <v>0.22636029989937201</v>
      </c>
      <c r="U9" s="14">
        <v>0.22656317324612901</v>
      </c>
      <c r="V9" s="14">
        <v>0.255955993695553</v>
      </c>
      <c r="W9" s="14">
        <v>0.29893585794688199</v>
      </c>
      <c r="X9" s="14">
        <v>0.22956257222951401</v>
      </c>
      <c r="Y9" s="14">
        <v>0.17378006876233201</v>
      </c>
      <c r="Z9" s="14">
        <v>0.21294744950580299</v>
      </c>
      <c r="AA9" s="14">
        <v>0.28876493900692501</v>
      </c>
      <c r="AB9" s="14"/>
      <c r="AC9" s="14">
        <v>0.20664604141849599</v>
      </c>
      <c r="AD9" s="14">
        <v>0.16602122495171701</v>
      </c>
      <c r="AE9" s="14">
        <v>0.277101627934564</v>
      </c>
      <c r="AF9" s="14">
        <v>0.44186141656248701</v>
      </c>
      <c r="AG9" s="14">
        <v>0.52511508603147905</v>
      </c>
      <c r="AH9" s="14"/>
      <c r="AI9" s="14">
        <v>0.32050610126557599</v>
      </c>
      <c r="AJ9" s="14">
        <v>0.237366205544877</v>
      </c>
      <c r="AK9" s="14">
        <v>0.29517155419188601</v>
      </c>
      <c r="AL9" s="14">
        <v>0.21320295645865101</v>
      </c>
      <c r="AM9" s="14">
        <v>0.13615490014732801</v>
      </c>
      <c r="AN9" s="14">
        <v>0.17696356682106201</v>
      </c>
      <c r="AO9" s="14"/>
      <c r="AP9" s="14">
        <v>0.28725118436080399</v>
      </c>
      <c r="AQ9" s="14">
        <v>0.22538865757458801</v>
      </c>
      <c r="AR9" s="14"/>
      <c r="AS9" s="14" t="s">
        <v>88</v>
      </c>
      <c r="AT9" s="14" t="s">
        <v>88</v>
      </c>
      <c r="AU9" s="14">
        <v>0.26011651098649802</v>
      </c>
      <c r="AV9" s="14"/>
      <c r="AW9" s="14">
        <v>0.242940696565772</v>
      </c>
      <c r="AX9" s="14">
        <v>0.38936293612123601</v>
      </c>
      <c r="AY9" s="14"/>
      <c r="AZ9" s="14">
        <v>0.30219975823828998</v>
      </c>
      <c r="BA9" s="14">
        <v>6.8645005751885493E-2</v>
      </c>
    </row>
    <row r="10" spans="2:53" x14ac:dyDescent="0.35">
      <c r="B10" s="15" t="s">
        <v>221</v>
      </c>
      <c r="C10" s="14">
        <v>0.48420235458883498</v>
      </c>
      <c r="D10" s="14">
        <v>0.48581200048390699</v>
      </c>
      <c r="E10" s="14">
        <v>0.48389203519672203</v>
      </c>
      <c r="F10" s="14"/>
      <c r="G10" s="14">
        <v>0</v>
      </c>
      <c r="H10" s="14">
        <v>0.35506680416256903</v>
      </c>
      <c r="I10" s="14">
        <v>0.51668197386260295</v>
      </c>
      <c r="J10" s="14">
        <v>0.48723270788034001</v>
      </c>
      <c r="K10" s="14">
        <v>0.47720973263501798</v>
      </c>
      <c r="L10" s="14">
        <v>0.399159034765529</v>
      </c>
      <c r="M10" s="14"/>
      <c r="N10" s="14">
        <v>0.45744948316978701</v>
      </c>
      <c r="O10" s="14">
        <v>0.47900899657485702</v>
      </c>
      <c r="P10" s="14">
        <v>0.55612485927269395</v>
      </c>
      <c r="Q10" s="14">
        <v>0.43586607370394398</v>
      </c>
      <c r="R10" s="14"/>
      <c r="S10" s="14">
        <v>0.46887761512304998</v>
      </c>
      <c r="T10" s="14">
        <v>0.49009059161026503</v>
      </c>
      <c r="U10" s="14">
        <v>0.48314185349995198</v>
      </c>
      <c r="V10" s="14">
        <v>0.50540344810673299</v>
      </c>
      <c r="W10" s="14">
        <v>0.44041893838413898</v>
      </c>
      <c r="X10" s="14">
        <v>0.56589768951939501</v>
      </c>
      <c r="Y10" s="14">
        <v>0.54683890131463597</v>
      </c>
      <c r="Z10" s="14">
        <v>0.503541872116539</v>
      </c>
      <c r="AA10" s="14">
        <v>0.38908399898732599</v>
      </c>
      <c r="AB10" s="14"/>
      <c r="AC10" s="14">
        <v>0.44948975352922099</v>
      </c>
      <c r="AD10" s="14">
        <v>0.59215974994946297</v>
      </c>
      <c r="AE10" s="14">
        <v>0.509207363403826</v>
      </c>
      <c r="AF10" s="14">
        <v>0.36538614256372998</v>
      </c>
      <c r="AG10" s="14">
        <v>0.43030651181208301</v>
      </c>
      <c r="AH10" s="14"/>
      <c r="AI10" s="14">
        <v>0.46078902917917702</v>
      </c>
      <c r="AJ10" s="14">
        <v>0.583558043191859</v>
      </c>
      <c r="AK10" s="14">
        <v>0.41062181801678799</v>
      </c>
      <c r="AL10" s="14">
        <v>0.46863068979949701</v>
      </c>
      <c r="AM10" s="14">
        <v>0.49533386867061202</v>
      </c>
      <c r="AN10" s="14">
        <v>0.43242826157900399</v>
      </c>
      <c r="AO10" s="14"/>
      <c r="AP10" s="14">
        <v>0.48091820612462199</v>
      </c>
      <c r="AQ10" s="14">
        <v>0.48938924793713401</v>
      </c>
      <c r="AR10" s="14"/>
      <c r="AS10" s="14" t="s">
        <v>88</v>
      </c>
      <c r="AT10" s="14" t="s">
        <v>88</v>
      </c>
      <c r="AU10" s="14">
        <v>0.48420235458883498</v>
      </c>
      <c r="AV10" s="14"/>
      <c r="AW10" s="14">
        <v>0.49450595411844001</v>
      </c>
      <c r="AX10" s="14">
        <v>0.43960244979885899</v>
      </c>
      <c r="AY10" s="14"/>
      <c r="AZ10" s="14">
        <v>0.486740293347595</v>
      </c>
      <c r="BA10" s="14">
        <v>0.46861432444629503</v>
      </c>
    </row>
    <row r="11" spans="2:53" x14ac:dyDescent="0.35">
      <c r="B11" s="15" t="s">
        <v>222</v>
      </c>
      <c r="C11" s="14">
        <v>0.14958401408358901</v>
      </c>
      <c r="D11" s="14">
        <v>9.4657001495294907E-2</v>
      </c>
      <c r="E11" s="14">
        <v>0.20176683665227901</v>
      </c>
      <c r="F11" s="14"/>
      <c r="G11" s="14">
        <v>0.53755186374684905</v>
      </c>
      <c r="H11" s="14">
        <v>0.118519081137753</v>
      </c>
      <c r="I11" s="14">
        <v>0.12872315619271801</v>
      </c>
      <c r="J11" s="14">
        <v>0.17914763007186699</v>
      </c>
      <c r="K11" s="14">
        <v>0.10082863391197899</v>
      </c>
      <c r="L11" s="14">
        <v>0.36483556380267601</v>
      </c>
      <c r="M11" s="14"/>
      <c r="N11" s="14">
        <v>9.69789076826542E-2</v>
      </c>
      <c r="O11" s="14">
        <v>0.19238016457674401</v>
      </c>
      <c r="P11" s="14">
        <v>0.13837273185153801</v>
      </c>
      <c r="Q11" s="14">
        <v>0.191982357256167</v>
      </c>
      <c r="R11" s="14"/>
      <c r="S11" s="14">
        <v>0.108153760408391</v>
      </c>
      <c r="T11" s="14">
        <v>0.142350787819918</v>
      </c>
      <c r="U11" s="14">
        <v>0.156042081605959</v>
      </c>
      <c r="V11" s="14">
        <v>0.13058538677699999</v>
      </c>
      <c r="W11" s="14">
        <v>0.155634967970222</v>
      </c>
      <c r="X11" s="14">
        <v>0.13090699430035699</v>
      </c>
      <c r="Y11" s="14">
        <v>0.17607498558843401</v>
      </c>
      <c r="Z11" s="14">
        <v>0.16319401296673799</v>
      </c>
      <c r="AA11" s="14">
        <v>0.20611010721828299</v>
      </c>
      <c r="AB11" s="14"/>
      <c r="AC11" s="14">
        <v>0.224134570363757</v>
      </c>
      <c r="AD11" s="14">
        <v>0.14317153593231399</v>
      </c>
      <c r="AE11" s="14">
        <v>0.100007773065505</v>
      </c>
      <c r="AF11" s="14">
        <v>0.13587297491921899</v>
      </c>
      <c r="AG11" s="14">
        <v>3.0181679071162999E-2</v>
      </c>
      <c r="AH11" s="14"/>
      <c r="AI11" s="14">
        <v>0.12144016428355101</v>
      </c>
      <c r="AJ11" s="14">
        <v>0.12932120198497499</v>
      </c>
      <c r="AK11" s="14">
        <v>0.125209052395305</v>
      </c>
      <c r="AL11" s="14">
        <v>0.17233261753088699</v>
      </c>
      <c r="AM11" s="14">
        <v>0.260187168368473</v>
      </c>
      <c r="AN11" s="14">
        <v>0.21196496031846099</v>
      </c>
      <c r="AO11" s="14"/>
      <c r="AP11" s="14">
        <v>0.12558401625846</v>
      </c>
      <c r="AQ11" s="14">
        <v>0.179116614687685</v>
      </c>
      <c r="AR11" s="14"/>
      <c r="AS11" s="14" t="s">
        <v>88</v>
      </c>
      <c r="AT11" s="14" t="s">
        <v>88</v>
      </c>
      <c r="AU11" s="14">
        <v>0.14958401408358901</v>
      </c>
      <c r="AV11" s="14"/>
      <c r="AW11" s="14">
        <v>0.15931645129329</v>
      </c>
      <c r="AX11" s="14">
        <v>8.4558892156539694E-2</v>
      </c>
      <c r="AY11" s="14"/>
      <c r="AZ11" s="14">
        <v>0.119760510093512</v>
      </c>
      <c r="BA11" s="14">
        <v>0.28781460318829</v>
      </c>
    </row>
    <row r="12" spans="2:53" x14ac:dyDescent="0.35">
      <c r="B12" s="15" t="s">
        <v>223</v>
      </c>
      <c r="C12" s="14">
        <v>2.8876885689026001E-2</v>
      </c>
      <c r="D12" s="14">
        <v>1.4316510543251899E-2</v>
      </c>
      <c r="E12" s="14">
        <v>4.2682931917681903E-2</v>
      </c>
      <c r="F12" s="14"/>
      <c r="G12" s="14">
        <v>0</v>
      </c>
      <c r="H12" s="14">
        <v>4.7471685397824599E-2</v>
      </c>
      <c r="I12" s="14">
        <v>2.7423474757058301E-2</v>
      </c>
      <c r="J12" s="14">
        <v>3.1754477407171203E-2</v>
      </c>
      <c r="K12" s="14">
        <v>8.2649269726376498E-3</v>
      </c>
      <c r="L12" s="14">
        <v>3.25062523223172E-2</v>
      </c>
      <c r="M12" s="14"/>
      <c r="N12" s="14">
        <v>1.85444317643748E-2</v>
      </c>
      <c r="O12" s="14">
        <v>2.4553127342051902E-2</v>
      </c>
      <c r="P12" s="14">
        <v>1.6082519294737401E-2</v>
      </c>
      <c r="Q12" s="14">
        <v>6.4848545040815594E-2</v>
      </c>
      <c r="R12" s="14"/>
      <c r="S12" s="14">
        <v>2.4659079024673399E-2</v>
      </c>
      <c r="T12" s="14">
        <v>3.5006838548603203E-2</v>
      </c>
      <c r="U12" s="14">
        <v>3.4981113871299097E-2</v>
      </c>
      <c r="V12" s="14">
        <v>2.9046601892716999E-2</v>
      </c>
      <c r="W12" s="14">
        <v>2.07020674696324E-2</v>
      </c>
      <c r="X12" s="14">
        <v>2.9144865118483101E-2</v>
      </c>
      <c r="Y12" s="14">
        <v>5.2985870607949501E-2</v>
      </c>
      <c r="Z12" s="14">
        <v>4.7180202883484602E-2</v>
      </c>
      <c r="AA12" s="14">
        <v>0</v>
      </c>
      <c r="AB12" s="14"/>
      <c r="AC12" s="14">
        <v>3.56307976262542E-2</v>
      </c>
      <c r="AD12" s="14">
        <v>4.2150924366270298E-2</v>
      </c>
      <c r="AE12" s="14">
        <v>1.9722940454103301E-2</v>
      </c>
      <c r="AF12" s="14">
        <v>0</v>
      </c>
      <c r="AG12" s="14">
        <v>0</v>
      </c>
      <c r="AH12" s="14"/>
      <c r="AI12" s="14">
        <v>2.2609569114153301E-2</v>
      </c>
      <c r="AJ12" s="14">
        <v>1.51428875812296E-2</v>
      </c>
      <c r="AK12" s="14">
        <v>2.3470540682036401E-2</v>
      </c>
      <c r="AL12" s="14">
        <v>4.7609305739167898E-2</v>
      </c>
      <c r="AM12" s="14">
        <v>7.4903625307121094E-2</v>
      </c>
      <c r="AN12" s="14">
        <v>1.9680663811169102E-2</v>
      </c>
      <c r="AO12" s="14"/>
      <c r="AP12" s="14">
        <v>2.8932972216947898E-2</v>
      </c>
      <c r="AQ12" s="14">
        <v>2.8859164841181499E-2</v>
      </c>
      <c r="AR12" s="14"/>
      <c r="AS12" s="14" t="s">
        <v>88</v>
      </c>
      <c r="AT12" s="14" t="s">
        <v>88</v>
      </c>
      <c r="AU12" s="14">
        <v>2.8876885689026001E-2</v>
      </c>
      <c r="AV12" s="14"/>
      <c r="AW12" s="14">
        <v>3.2013898877963798E-2</v>
      </c>
      <c r="AX12" s="14">
        <v>1.5646119923638201E-2</v>
      </c>
      <c r="AY12" s="14"/>
      <c r="AZ12" s="14">
        <v>1.8185063392121299E-2</v>
      </c>
      <c r="BA12" s="14">
        <v>7.82448286141562E-2</v>
      </c>
    </row>
    <row r="13" spans="2:53" x14ac:dyDescent="0.35">
      <c r="B13" s="15" t="s">
        <v>116</v>
      </c>
      <c r="C13" s="18">
        <v>1.23623024233551E-2</v>
      </c>
      <c r="D13" s="18">
        <v>4.7187474150430699E-3</v>
      </c>
      <c r="E13" s="18">
        <v>1.96028906725263E-2</v>
      </c>
      <c r="F13" s="18"/>
      <c r="G13" s="18">
        <v>0</v>
      </c>
      <c r="H13" s="18">
        <v>0</v>
      </c>
      <c r="I13" s="18">
        <v>1.98079107418716E-2</v>
      </c>
      <c r="J13" s="18">
        <v>9.9521975359555502E-3</v>
      </c>
      <c r="K13" s="18">
        <v>4.1379212522663304E-3</v>
      </c>
      <c r="L13" s="18">
        <v>0</v>
      </c>
      <c r="M13" s="18"/>
      <c r="N13" s="18">
        <v>1.0394661534201601E-2</v>
      </c>
      <c r="O13" s="18">
        <v>8.3862386090312307E-3</v>
      </c>
      <c r="P13" s="18">
        <v>6.92358736926131E-3</v>
      </c>
      <c r="Q13" s="18">
        <v>2.6607724187028801E-2</v>
      </c>
      <c r="R13" s="18"/>
      <c r="S13" s="18">
        <v>1.04359800559583E-2</v>
      </c>
      <c r="T13" s="18">
        <v>5.6691066397985103E-3</v>
      </c>
      <c r="U13" s="18">
        <v>2.68382957095483E-2</v>
      </c>
      <c r="V13" s="18">
        <v>3.2726178424397401E-2</v>
      </c>
      <c r="W13" s="18">
        <v>0</v>
      </c>
      <c r="X13" s="18">
        <v>0</v>
      </c>
      <c r="Y13" s="18">
        <v>0</v>
      </c>
      <c r="Z13" s="18">
        <v>1.5888086548923801E-2</v>
      </c>
      <c r="AA13" s="18">
        <v>1.92602781342282E-2</v>
      </c>
      <c r="AB13" s="18"/>
      <c r="AC13" s="18">
        <v>1.6221881836728499E-2</v>
      </c>
      <c r="AD13" s="18">
        <v>8.1612655512362207E-3</v>
      </c>
      <c r="AE13" s="18">
        <v>1.58242162111163E-2</v>
      </c>
      <c r="AF13" s="18">
        <v>5.4470890328600502E-3</v>
      </c>
      <c r="AG13" s="18">
        <v>0</v>
      </c>
      <c r="AH13" s="18"/>
      <c r="AI13" s="18">
        <v>6.2279005810529997E-3</v>
      </c>
      <c r="AJ13" s="18">
        <v>0</v>
      </c>
      <c r="AK13" s="18">
        <v>2.8806259046673399E-2</v>
      </c>
      <c r="AL13" s="18">
        <v>9.8581884141405608E-3</v>
      </c>
      <c r="AM13" s="18">
        <v>0</v>
      </c>
      <c r="AN13" s="18">
        <v>7.6260410184908506E-2</v>
      </c>
      <c r="AO13" s="18"/>
      <c r="AP13" s="18">
        <v>1.54162152826185E-2</v>
      </c>
      <c r="AQ13" s="18">
        <v>8.4215402018566806E-3</v>
      </c>
      <c r="AR13" s="18"/>
      <c r="AS13" s="18" t="s">
        <v>88</v>
      </c>
      <c r="AT13" s="18" t="s">
        <v>88</v>
      </c>
      <c r="AU13" s="18">
        <v>1.23623024233551E-2</v>
      </c>
      <c r="AV13" s="18"/>
      <c r="AW13" s="18">
        <v>8.1339905227363601E-3</v>
      </c>
      <c r="AX13" s="18">
        <v>2.3125630524265502E-3</v>
      </c>
      <c r="AY13" s="18"/>
      <c r="AZ13" s="18">
        <v>8.2055656527135392E-3</v>
      </c>
      <c r="BA13" s="18">
        <v>3.1564067317021001E-2</v>
      </c>
    </row>
    <row r="14" spans="2:53" x14ac:dyDescent="0.35">
      <c r="B14" s="26" t="s">
        <v>224</v>
      </c>
      <c r="C14" s="27">
        <v>0.744318865575333</v>
      </c>
      <c r="D14" s="27">
        <v>0.80933339439724705</v>
      </c>
      <c r="E14" s="27">
        <v>0.68235635343863299</v>
      </c>
      <c r="F14" s="27"/>
      <c r="G14" s="27">
        <v>0.46244813625315101</v>
      </c>
      <c r="H14" s="27">
        <v>0.81493245327307096</v>
      </c>
      <c r="I14" s="27">
        <v>0.772734593975271</v>
      </c>
      <c r="J14" s="27">
        <v>0.71627480353577</v>
      </c>
      <c r="K14" s="27">
        <v>0.71920628725553304</v>
      </c>
      <c r="L14" s="27">
        <v>0.53359561498799402</v>
      </c>
      <c r="M14" s="27"/>
      <c r="N14" s="27">
        <v>0.79109175215877203</v>
      </c>
      <c r="O14" s="27">
        <v>0.69996601342359299</v>
      </c>
      <c r="P14" s="27">
        <v>0.810757817710266</v>
      </c>
      <c r="Q14" s="27">
        <v>0.64426110804547798</v>
      </c>
      <c r="R14" s="27"/>
      <c r="S14" s="27">
        <v>0.82639405211467898</v>
      </c>
      <c r="T14" s="27">
        <v>0.71645089150963703</v>
      </c>
      <c r="U14" s="27">
        <v>0.70970502674608005</v>
      </c>
      <c r="V14" s="27">
        <v>0.76135944180228599</v>
      </c>
      <c r="W14" s="27">
        <v>0.73935479633102097</v>
      </c>
      <c r="X14" s="27">
        <v>0.79546026174890905</v>
      </c>
      <c r="Y14" s="27">
        <v>0.72061897007696796</v>
      </c>
      <c r="Z14" s="27">
        <v>0.71648932162234202</v>
      </c>
      <c r="AA14" s="27">
        <v>0.67784893799424994</v>
      </c>
      <c r="AB14" s="27"/>
      <c r="AC14" s="27">
        <v>0.65613579494771701</v>
      </c>
      <c r="AD14" s="27">
        <v>0.75818097490117997</v>
      </c>
      <c r="AE14" s="27">
        <v>0.78630899133839005</v>
      </c>
      <c r="AF14" s="27">
        <v>0.80724755912621704</v>
      </c>
      <c r="AG14" s="27">
        <v>0.95542159784356095</v>
      </c>
      <c r="AH14" s="27"/>
      <c r="AI14" s="27">
        <v>0.78129513044475296</v>
      </c>
      <c r="AJ14" s="27">
        <v>0.82092424873673597</v>
      </c>
      <c r="AK14" s="27">
        <v>0.705793372208674</v>
      </c>
      <c r="AL14" s="27">
        <v>0.68183364625814802</v>
      </c>
      <c r="AM14" s="27">
        <v>0.63148876881793903</v>
      </c>
      <c r="AN14" s="27">
        <v>0.609391828400066</v>
      </c>
      <c r="AO14" s="27"/>
      <c r="AP14" s="27">
        <v>0.76816939048542598</v>
      </c>
      <c r="AQ14" s="27">
        <v>0.71477790551172304</v>
      </c>
      <c r="AR14" s="27"/>
      <c r="AS14" s="27" t="s">
        <v>88</v>
      </c>
      <c r="AT14" s="27" t="s">
        <v>88</v>
      </c>
      <c r="AU14" s="27">
        <v>0.744318865575333</v>
      </c>
      <c r="AV14" s="27"/>
      <c r="AW14" s="27">
        <v>0.737446650684212</v>
      </c>
      <c r="AX14" s="27">
        <v>0.82896538592009394</v>
      </c>
      <c r="AY14" s="27"/>
      <c r="AZ14" s="27">
        <v>0.78894005158588398</v>
      </c>
      <c r="BA14" s="27">
        <v>0.53725933019817995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154</v>
      </c>
      <c r="C9" s="14">
        <v>0.68585787023244404</v>
      </c>
      <c r="D9" s="14">
        <v>0.676333009251324</v>
      </c>
      <c r="E9" s="14">
        <v>0.69481536569753799</v>
      </c>
      <c r="F9" s="14"/>
      <c r="G9" s="14">
        <v>1</v>
      </c>
      <c r="H9" s="14">
        <v>0.63084440368897798</v>
      </c>
      <c r="I9" s="14">
        <v>0.71581708556566004</v>
      </c>
      <c r="J9" s="14">
        <v>0.66362640599654499</v>
      </c>
      <c r="K9" s="14">
        <v>0.67021886682871301</v>
      </c>
      <c r="L9" s="14">
        <v>0.80975989197973997</v>
      </c>
      <c r="M9" s="14"/>
      <c r="N9" s="14">
        <v>0.76580704359018903</v>
      </c>
      <c r="O9" s="14">
        <v>0.68986827941912698</v>
      </c>
      <c r="P9" s="14">
        <v>0.66416967497162205</v>
      </c>
      <c r="Q9" s="14">
        <v>0.61286935709808299</v>
      </c>
      <c r="R9" s="14"/>
      <c r="S9" s="14">
        <v>0.72528223091982102</v>
      </c>
      <c r="T9" s="14">
        <v>0.70504187626911297</v>
      </c>
      <c r="U9" s="14">
        <v>0.67814870510129899</v>
      </c>
      <c r="V9" s="14">
        <v>0.62785315273952103</v>
      </c>
      <c r="W9" s="14">
        <v>0.70754180385420395</v>
      </c>
      <c r="X9" s="14">
        <v>0.64734551883175595</v>
      </c>
      <c r="Y9" s="14">
        <v>0.63825402872249004</v>
      </c>
      <c r="Z9" s="14">
        <v>0.79165369781683104</v>
      </c>
      <c r="AA9" s="14">
        <v>0.68207147424048697</v>
      </c>
      <c r="AB9" s="14"/>
      <c r="AC9" s="14">
        <v>0.58130077319809803</v>
      </c>
      <c r="AD9" s="14">
        <v>0.67168493203721102</v>
      </c>
      <c r="AE9" s="14">
        <v>0.76697859195520202</v>
      </c>
      <c r="AF9" s="14">
        <v>0.73542244172555105</v>
      </c>
      <c r="AG9" s="14">
        <v>0.868056393978757</v>
      </c>
      <c r="AH9" s="14"/>
      <c r="AI9" s="14">
        <v>0.71413638390499201</v>
      </c>
      <c r="AJ9" s="14">
        <v>0.72473858685553905</v>
      </c>
      <c r="AK9" s="14">
        <v>0.66390053524775605</v>
      </c>
      <c r="AL9" s="14">
        <v>0.60275680525669595</v>
      </c>
      <c r="AM9" s="14">
        <v>0.74188780982371905</v>
      </c>
      <c r="AN9" s="14">
        <v>0.61076498760504505</v>
      </c>
      <c r="AO9" s="14"/>
      <c r="AP9" s="14">
        <v>0.70088643867667</v>
      </c>
      <c r="AQ9" s="14">
        <v>0.67110239520687898</v>
      </c>
      <c r="AR9" s="14"/>
      <c r="AS9" s="14" t="s">
        <v>88</v>
      </c>
      <c r="AT9" s="14" t="s">
        <v>88</v>
      </c>
      <c r="AU9" s="14">
        <v>0.68585787023244404</v>
      </c>
      <c r="AV9" s="14"/>
      <c r="AW9" s="14">
        <v>0.68207134520608903</v>
      </c>
      <c r="AX9" s="14">
        <v>0.77282319650767495</v>
      </c>
      <c r="AY9" s="14"/>
      <c r="AZ9" s="14">
        <v>0.72209643861738104</v>
      </c>
      <c r="BA9" s="14">
        <v>0.55795886239293802</v>
      </c>
    </row>
    <row r="10" spans="2:53" x14ac:dyDescent="0.35">
      <c r="B10" s="15" t="s">
        <v>155</v>
      </c>
      <c r="C10" s="14">
        <v>0.123172006700137</v>
      </c>
      <c r="D10" s="14">
        <v>0.14168321640284801</v>
      </c>
      <c r="E10" s="14">
        <v>0.105027785970291</v>
      </c>
      <c r="F10" s="14"/>
      <c r="G10" s="14">
        <v>0</v>
      </c>
      <c r="H10" s="14">
        <v>0.23420121141602601</v>
      </c>
      <c r="I10" s="14">
        <v>0.11432765908353799</v>
      </c>
      <c r="J10" s="14">
        <v>0.117366574554555</v>
      </c>
      <c r="K10" s="14">
        <v>0.102007513775698</v>
      </c>
      <c r="L10" s="14">
        <v>0.100949421189786</v>
      </c>
      <c r="M10" s="14"/>
      <c r="N10" s="14">
        <v>0.107983566096958</v>
      </c>
      <c r="O10" s="14">
        <v>0.108236094664882</v>
      </c>
      <c r="P10" s="14">
        <v>0.135725036391148</v>
      </c>
      <c r="Q10" s="14">
        <v>0.14564963111780199</v>
      </c>
      <c r="R10" s="14"/>
      <c r="S10" s="14">
        <v>0.14217167685823401</v>
      </c>
      <c r="T10" s="14">
        <v>0.11102459350613</v>
      </c>
      <c r="U10" s="14">
        <v>8.4220171840133098E-2</v>
      </c>
      <c r="V10" s="14">
        <v>0.11682405790887899</v>
      </c>
      <c r="W10" s="14">
        <v>9.1048107047024193E-2</v>
      </c>
      <c r="X10" s="14">
        <v>0.11450336171191899</v>
      </c>
      <c r="Y10" s="14">
        <v>0.16068865840558</v>
      </c>
      <c r="Z10" s="14">
        <v>0.11744366075368699</v>
      </c>
      <c r="AA10" s="14">
        <v>0.15326220365756699</v>
      </c>
      <c r="AB10" s="14"/>
      <c r="AC10" s="14">
        <v>0.175937303017556</v>
      </c>
      <c r="AD10" s="14">
        <v>0.106171856727912</v>
      </c>
      <c r="AE10" s="14">
        <v>9.8456534714372101E-2</v>
      </c>
      <c r="AF10" s="14">
        <v>0.16232735451980601</v>
      </c>
      <c r="AG10" s="14">
        <v>0.10186790090132899</v>
      </c>
      <c r="AH10" s="14"/>
      <c r="AI10" s="14">
        <v>0.12693010926789799</v>
      </c>
      <c r="AJ10" s="14">
        <v>0.14007887985343101</v>
      </c>
      <c r="AK10" s="14">
        <v>0.11456778726694999</v>
      </c>
      <c r="AL10" s="14">
        <v>0.15897499405561799</v>
      </c>
      <c r="AM10" s="14">
        <v>0.17928657468954801</v>
      </c>
      <c r="AN10" s="14">
        <v>6.2367470716380803E-2</v>
      </c>
      <c r="AO10" s="14"/>
      <c r="AP10" s="14">
        <v>0.12488737469354</v>
      </c>
      <c r="AQ10" s="14">
        <v>0.121836666166597</v>
      </c>
      <c r="AR10" s="14"/>
      <c r="AS10" s="14" t="s">
        <v>88</v>
      </c>
      <c r="AT10" s="14" t="s">
        <v>88</v>
      </c>
      <c r="AU10" s="14">
        <v>0.123172006700137</v>
      </c>
      <c r="AV10" s="14"/>
      <c r="AW10" s="14">
        <v>0.117190742150549</v>
      </c>
      <c r="AX10" s="14">
        <v>0.13264449022338701</v>
      </c>
      <c r="AY10" s="14"/>
      <c r="AZ10" s="14">
        <v>0.122715144128975</v>
      </c>
      <c r="BA10" s="14">
        <v>0.12619171216522401</v>
      </c>
    </row>
    <row r="11" spans="2:53" x14ac:dyDescent="0.35">
      <c r="B11" s="15" t="s">
        <v>116</v>
      </c>
      <c r="C11" s="23">
        <v>0.19097012306741901</v>
      </c>
      <c r="D11" s="23">
        <v>0.18198377434582799</v>
      </c>
      <c r="E11" s="23">
        <v>0.20015684833217201</v>
      </c>
      <c r="F11" s="23"/>
      <c r="G11" s="23">
        <v>0</v>
      </c>
      <c r="H11" s="23">
        <v>0.134954384894996</v>
      </c>
      <c r="I11" s="23">
        <v>0.16985525535080201</v>
      </c>
      <c r="J11" s="23">
        <v>0.2190070194489</v>
      </c>
      <c r="K11" s="23">
        <v>0.22777361939558999</v>
      </c>
      <c r="L11" s="23">
        <v>8.9290686830474503E-2</v>
      </c>
      <c r="M11" s="23"/>
      <c r="N11" s="23">
        <v>0.126209390312852</v>
      </c>
      <c r="O11" s="23">
        <v>0.201895625915992</v>
      </c>
      <c r="P11" s="23">
        <v>0.20010528863723001</v>
      </c>
      <c r="Q11" s="23">
        <v>0.24148101178411499</v>
      </c>
      <c r="R11" s="23"/>
      <c r="S11" s="23">
        <v>0.132546092221944</v>
      </c>
      <c r="T11" s="23">
        <v>0.183933530224757</v>
      </c>
      <c r="U11" s="23">
        <v>0.23763112305856801</v>
      </c>
      <c r="V11" s="23">
        <v>0.25532278935160002</v>
      </c>
      <c r="W11" s="23">
        <v>0.201410089098772</v>
      </c>
      <c r="X11" s="23">
        <v>0.238151119456326</v>
      </c>
      <c r="Y11" s="23">
        <v>0.20105731287192999</v>
      </c>
      <c r="Z11" s="23">
        <v>9.0902641429481901E-2</v>
      </c>
      <c r="AA11" s="23">
        <v>0.16466632210194601</v>
      </c>
      <c r="AB11" s="23"/>
      <c r="AC11" s="23">
        <v>0.242761923784346</v>
      </c>
      <c r="AD11" s="23">
        <v>0.22214321123487801</v>
      </c>
      <c r="AE11" s="23">
        <v>0.13456487333042599</v>
      </c>
      <c r="AF11" s="23">
        <v>0.102250203754643</v>
      </c>
      <c r="AG11" s="23">
        <v>3.0075705119914298E-2</v>
      </c>
      <c r="AH11" s="23"/>
      <c r="AI11" s="23">
        <v>0.15893350682710999</v>
      </c>
      <c r="AJ11" s="23">
        <v>0.135182533291029</v>
      </c>
      <c r="AK11" s="23">
        <v>0.22153167748529301</v>
      </c>
      <c r="AL11" s="23">
        <v>0.238268200687686</v>
      </c>
      <c r="AM11" s="23">
        <v>7.8825615486732503E-2</v>
      </c>
      <c r="AN11" s="23">
        <v>0.32686754167857501</v>
      </c>
      <c r="AO11" s="23"/>
      <c r="AP11" s="23">
        <v>0.17422618662979</v>
      </c>
      <c r="AQ11" s="23">
        <v>0.207060938626524</v>
      </c>
      <c r="AR11" s="23"/>
      <c r="AS11" s="23" t="s">
        <v>88</v>
      </c>
      <c r="AT11" s="23" t="s">
        <v>88</v>
      </c>
      <c r="AU11" s="23">
        <v>0.19097012306741901</v>
      </c>
      <c r="AV11" s="23"/>
      <c r="AW11" s="23">
        <v>0.20073791264336099</v>
      </c>
      <c r="AX11" s="23">
        <v>9.4532313268938101E-2</v>
      </c>
      <c r="AY11" s="23"/>
      <c r="AZ11" s="23">
        <v>0.15518841725364399</v>
      </c>
      <c r="BA11" s="23">
        <v>0.31584942544183697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937</v>
      </c>
      <c r="D7" s="10">
        <v>381</v>
      </c>
      <c r="E7" s="10">
        <v>555</v>
      </c>
      <c r="F7" s="10"/>
      <c r="G7" s="10">
        <v>3</v>
      </c>
      <c r="H7" s="10">
        <v>79</v>
      </c>
      <c r="I7" s="10">
        <v>383</v>
      </c>
      <c r="J7" s="10">
        <v>343</v>
      </c>
      <c r="K7" s="10">
        <v>108</v>
      </c>
      <c r="L7" s="10">
        <v>21</v>
      </c>
      <c r="M7" s="10"/>
      <c r="N7" s="10">
        <v>445</v>
      </c>
      <c r="O7" s="10">
        <v>216</v>
      </c>
      <c r="P7" s="10">
        <v>134</v>
      </c>
      <c r="Q7" s="10">
        <v>139</v>
      </c>
      <c r="R7" s="10"/>
      <c r="S7" s="10">
        <v>179</v>
      </c>
      <c r="T7" s="10">
        <v>146</v>
      </c>
      <c r="U7" s="10">
        <v>68</v>
      </c>
      <c r="V7" s="10">
        <v>79</v>
      </c>
      <c r="W7" s="10">
        <v>82</v>
      </c>
      <c r="X7" s="10">
        <v>103</v>
      </c>
      <c r="Y7" s="10">
        <v>98</v>
      </c>
      <c r="Z7" s="10">
        <v>57</v>
      </c>
      <c r="AA7" s="10">
        <v>125</v>
      </c>
      <c r="AB7" s="10"/>
      <c r="AC7" s="10">
        <v>150</v>
      </c>
      <c r="AD7" s="10">
        <v>166</v>
      </c>
      <c r="AE7" s="10">
        <v>302</v>
      </c>
      <c r="AF7" s="10">
        <v>177</v>
      </c>
      <c r="AG7" s="10">
        <v>46</v>
      </c>
      <c r="AH7" s="10"/>
      <c r="AI7" s="10">
        <v>346</v>
      </c>
      <c r="AJ7" s="10">
        <v>184</v>
      </c>
      <c r="AK7" s="10">
        <v>93</v>
      </c>
      <c r="AL7" s="10">
        <v>125</v>
      </c>
      <c r="AM7" s="10">
        <v>51</v>
      </c>
      <c r="AN7" s="10">
        <v>56</v>
      </c>
      <c r="AO7" s="10"/>
      <c r="AP7" s="10">
        <v>510</v>
      </c>
      <c r="AQ7" s="10">
        <v>426</v>
      </c>
      <c r="AR7" s="10"/>
      <c r="AS7" s="10" t="s">
        <v>87</v>
      </c>
      <c r="AT7" s="10" t="s">
        <v>87</v>
      </c>
      <c r="AU7" s="10">
        <v>937</v>
      </c>
      <c r="AV7" s="10"/>
      <c r="AW7" s="10">
        <v>666</v>
      </c>
      <c r="AX7" s="10">
        <v>198</v>
      </c>
      <c r="AY7" s="10"/>
      <c r="AZ7" s="10">
        <v>776</v>
      </c>
      <c r="BA7" s="10">
        <v>160</v>
      </c>
    </row>
    <row r="8" spans="2:53" ht="30" customHeight="1" x14ac:dyDescent="0.35">
      <c r="B8" s="11" t="s">
        <v>19</v>
      </c>
      <c r="C8" s="11">
        <v>905</v>
      </c>
      <c r="D8" s="11">
        <v>444</v>
      </c>
      <c r="E8" s="11">
        <v>460</v>
      </c>
      <c r="F8" s="11"/>
      <c r="G8" s="11">
        <v>3</v>
      </c>
      <c r="H8" s="11">
        <v>68</v>
      </c>
      <c r="I8" s="11">
        <v>367</v>
      </c>
      <c r="J8" s="11">
        <v>336</v>
      </c>
      <c r="K8" s="11">
        <v>110</v>
      </c>
      <c r="L8" s="11">
        <v>23</v>
      </c>
      <c r="M8" s="11"/>
      <c r="N8" s="11">
        <v>280</v>
      </c>
      <c r="O8" s="11">
        <v>224</v>
      </c>
      <c r="P8" s="11">
        <v>204</v>
      </c>
      <c r="Q8" s="11">
        <v>195</v>
      </c>
      <c r="R8" s="11"/>
      <c r="S8" s="11">
        <v>146</v>
      </c>
      <c r="T8" s="11">
        <v>143</v>
      </c>
      <c r="U8" s="11">
        <v>87</v>
      </c>
      <c r="V8" s="11">
        <v>92</v>
      </c>
      <c r="W8" s="11">
        <v>91</v>
      </c>
      <c r="X8" s="11">
        <v>87</v>
      </c>
      <c r="Y8" s="11">
        <v>87</v>
      </c>
      <c r="Z8" s="11">
        <v>54</v>
      </c>
      <c r="AA8" s="11">
        <v>116</v>
      </c>
      <c r="AB8" s="11"/>
      <c r="AC8" s="11">
        <v>179</v>
      </c>
      <c r="AD8" s="11">
        <v>185</v>
      </c>
      <c r="AE8" s="11">
        <v>277</v>
      </c>
      <c r="AF8" s="11">
        <v>131</v>
      </c>
      <c r="AG8" s="11">
        <v>25</v>
      </c>
      <c r="AH8" s="11"/>
      <c r="AI8" s="11">
        <v>323</v>
      </c>
      <c r="AJ8" s="11">
        <v>171</v>
      </c>
      <c r="AK8" s="11">
        <v>81</v>
      </c>
      <c r="AL8" s="11">
        <v>132</v>
      </c>
      <c r="AM8" s="11">
        <v>49</v>
      </c>
      <c r="AN8" s="11">
        <v>60</v>
      </c>
      <c r="AO8" s="11"/>
      <c r="AP8" s="11">
        <v>492</v>
      </c>
      <c r="AQ8" s="11">
        <v>412</v>
      </c>
      <c r="AR8" s="11"/>
      <c r="AS8" s="11" t="s">
        <v>87</v>
      </c>
      <c r="AT8" s="11" t="s">
        <v>87</v>
      </c>
      <c r="AU8" s="11">
        <v>905</v>
      </c>
      <c r="AV8" s="11"/>
      <c r="AW8" s="11">
        <v>664</v>
      </c>
      <c r="AX8" s="11">
        <v>161</v>
      </c>
      <c r="AY8" s="11"/>
      <c r="AZ8" s="11">
        <v>746</v>
      </c>
      <c r="BA8" s="11">
        <v>158</v>
      </c>
    </row>
    <row r="9" spans="2:53" x14ac:dyDescent="0.35">
      <c r="B9" s="15" t="s">
        <v>214</v>
      </c>
      <c r="C9" s="14">
        <v>0.15912474319833</v>
      </c>
      <c r="D9" s="14">
        <v>0.197071688173688</v>
      </c>
      <c r="E9" s="14">
        <v>0.122894194397263</v>
      </c>
      <c r="F9" s="14"/>
      <c r="G9" s="14">
        <v>0</v>
      </c>
      <c r="H9" s="14">
        <v>0.19812412988745001</v>
      </c>
      <c r="I9" s="14">
        <v>0.177803699926502</v>
      </c>
      <c r="J9" s="14">
        <v>0.133793256167372</v>
      </c>
      <c r="K9" s="14">
        <v>0.15429042445115199</v>
      </c>
      <c r="L9" s="14">
        <v>0.159220303441648</v>
      </c>
      <c r="M9" s="14"/>
      <c r="N9" s="14">
        <v>0.155089992413557</v>
      </c>
      <c r="O9" s="14">
        <v>0.11418207529679</v>
      </c>
      <c r="P9" s="14">
        <v>0.16166410682619201</v>
      </c>
      <c r="Q9" s="14">
        <v>0.216062425230511</v>
      </c>
      <c r="R9" s="14"/>
      <c r="S9" s="14">
        <v>0.20917187447550101</v>
      </c>
      <c r="T9" s="14">
        <v>0.15675742544155899</v>
      </c>
      <c r="U9" s="14">
        <v>0.14918621793607201</v>
      </c>
      <c r="V9" s="14">
        <v>0.19093663894005999</v>
      </c>
      <c r="W9" s="14">
        <v>0.13682449510133901</v>
      </c>
      <c r="X9" s="14">
        <v>0.19861841068019201</v>
      </c>
      <c r="Y9" s="14">
        <v>0.111397909597415</v>
      </c>
      <c r="Z9" s="14">
        <v>0.172714123270057</v>
      </c>
      <c r="AA9" s="14">
        <v>9.8888330446049305E-2</v>
      </c>
      <c r="AB9" s="14"/>
      <c r="AC9" s="14">
        <v>0.15870315589342901</v>
      </c>
      <c r="AD9" s="14">
        <v>0.14670001564717799</v>
      </c>
      <c r="AE9" s="14">
        <v>0.168890847780127</v>
      </c>
      <c r="AF9" s="14">
        <v>0.13739114323875001</v>
      </c>
      <c r="AG9" s="14">
        <v>0.289130732213363</v>
      </c>
      <c r="AH9" s="14"/>
      <c r="AI9" s="14">
        <v>0.221097524985927</v>
      </c>
      <c r="AJ9" s="14">
        <v>0.180523753785888</v>
      </c>
      <c r="AK9" s="14">
        <v>0.177149713435027</v>
      </c>
      <c r="AL9" s="14">
        <v>0.124832024054243</v>
      </c>
      <c r="AM9" s="14">
        <v>5.54914313961044E-2</v>
      </c>
      <c r="AN9" s="14">
        <v>5.9881423386376899E-2</v>
      </c>
      <c r="AO9" s="14"/>
      <c r="AP9" s="14">
        <v>0.16883969682973499</v>
      </c>
      <c r="AQ9" s="14">
        <v>0.147766176200022</v>
      </c>
      <c r="AR9" s="14"/>
      <c r="AS9" s="14" t="s">
        <v>88</v>
      </c>
      <c r="AT9" s="14" t="s">
        <v>88</v>
      </c>
      <c r="AU9" s="14">
        <v>0.15912474319833</v>
      </c>
      <c r="AV9" s="14"/>
      <c r="AW9" s="14">
        <v>0.144939009673586</v>
      </c>
      <c r="AX9" s="14">
        <v>0.204069540930187</v>
      </c>
      <c r="AY9" s="14"/>
      <c r="AZ9" s="14">
        <v>0.176230049457483</v>
      </c>
      <c r="BA9" s="14">
        <v>7.9710787228156693E-2</v>
      </c>
    </row>
    <row r="10" spans="2:53" x14ac:dyDescent="0.35">
      <c r="B10" s="15" t="s">
        <v>215</v>
      </c>
      <c r="C10" s="14">
        <v>0.54247899282596501</v>
      </c>
      <c r="D10" s="14">
        <v>0.53783953525259198</v>
      </c>
      <c r="E10" s="14">
        <v>0.54812942586689495</v>
      </c>
      <c r="F10" s="14"/>
      <c r="G10" s="14">
        <v>0.43925619550893402</v>
      </c>
      <c r="H10" s="14">
        <v>0.59390781772850298</v>
      </c>
      <c r="I10" s="14">
        <v>0.54994243799091602</v>
      </c>
      <c r="J10" s="14">
        <v>0.552066352101795</v>
      </c>
      <c r="K10" s="14">
        <v>0.47682816387662202</v>
      </c>
      <c r="L10" s="14">
        <v>0.45625447401212299</v>
      </c>
      <c r="M10" s="14"/>
      <c r="N10" s="14">
        <v>0.54748966704292901</v>
      </c>
      <c r="O10" s="14">
        <v>0.50342246276609004</v>
      </c>
      <c r="P10" s="14">
        <v>0.60404943310785297</v>
      </c>
      <c r="Q10" s="14">
        <v>0.51710033645471098</v>
      </c>
      <c r="R10" s="14"/>
      <c r="S10" s="14">
        <v>0.53620089103826096</v>
      </c>
      <c r="T10" s="14">
        <v>0.53053221943367301</v>
      </c>
      <c r="U10" s="14">
        <v>0.46124732027122001</v>
      </c>
      <c r="V10" s="14">
        <v>0.48467702012146002</v>
      </c>
      <c r="W10" s="14">
        <v>0.57661506156466102</v>
      </c>
      <c r="X10" s="14">
        <v>0.50871497913188202</v>
      </c>
      <c r="Y10" s="14">
        <v>0.619055460669933</v>
      </c>
      <c r="Z10" s="14">
        <v>0.52760188227112503</v>
      </c>
      <c r="AA10" s="14">
        <v>0.61985646093818902</v>
      </c>
      <c r="AB10" s="14"/>
      <c r="AC10" s="14">
        <v>0.51417459668851595</v>
      </c>
      <c r="AD10" s="14">
        <v>0.61534991845585196</v>
      </c>
      <c r="AE10" s="14">
        <v>0.53361156034408996</v>
      </c>
      <c r="AF10" s="14">
        <v>0.56993601206021804</v>
      </c>
      <c r="AG10" s="14">
        <v>0.48076768082673099</v>
      </c>
      <c r="AH10" s="14"/>
      <c r="AI10" s="14">
        <v>0.52241330483515203</v>
      </c>
      <c r="AJ10" s="14">
        <v>0.56860989421172103</v>
      </c>
      <c r="AK10" s="14">
        <v>0.41860138455517298</v>
      </c>
      <c r="AL10" s="14">
        <v>0.51692608457501099</v>
      </c>
      <c r="AM10" s="14">
        <v>0.62449319607368103</v>
      </c>
      <c r="AN10" s="14">
        <v>0.54443409427174505</v>
      </c>
      <c r="AO10" s="14"/>
      <c r="AP10" s="14">
        <v>0.55782256443424605</v>
      </c>
      <c r="AQ10" s="14">
        <v>0.52342662508270299</v>
      </c>
      <c r="AR10" s="14"/>
      <c r="AS10" s="14" t="s">
        <v>88</v>
      </c>
      <c r="AT10" s="14" t="s">
        <v>88</v>
      </c>
      <c r="AU10" s="14">
        <v>0.54247899282596501</v>
      </c>
      <c r="AV10" s="14"/>
      <c r="AW10" s="14">
        <v>0.55551487043636805</v>
      </c>
      <c r="AX10" s="14">
        <v>0.53791222142536899</v>
      </c>
      <c r="AY10" s="14"/>
      <c r="AZ10" s="14">
        <v>0.53945742646543005</v>
      </c>
      <c r="BA10" s="14">
        <v>0.553639591864448</v>
      </c>
    </row>
    <row r="11" spans="2:53" x14ac:dyDescent="0.35">
      <c r="B11" s="15" t="s">
        <v>216</v>
      </c>
      <c r="C11" s="14">
        <v>0.14026874977095399</v>
      </c>
      <c r="D11" s="14">
        <v>0.110437440043008</v>
      </c>
      <c r="E11" s="14">
        <v>0.16715471304441301</v>
      </c>
      <c r="F11" s="14"/>
      <c r="G11" s="14">
        <v>0</v>
      </c>
      <c r="H11" s="14">
        <v>0.15059211767344999</v>
      </c>
      <c r="I11" s="14">
        <v>0.134852001666667</v>
      </c>
      <c r="J11" s="14">
        <v>0.138926609679005</v>
      </c>
      <c r="K11" s="14">
        <v>0.13106306171268101</v>
      </c>
      <c r="L11" s="14">
        <v>0.27979575500626702</v>
      </c>
      <c r="M11" s="14"/>
      <c r="N11" s="14">
        <v>0.13263225622003599</v>
      </c>
      <c r="O11" s="14">
        <v>0.171232035013862</v>
      </c>
      <c r="P11" s="14">
        <v>0.121642377459378</v>
      </c>
      <c r="Q11" s="14">
        <v>0.13309075342683799</v>
      </c>
      <c r="R11" s="14"/>
      <c r="S11" s="14">
        <v>0.13304799489639901</v>
      </c>
      <c r="T11" s="14">
        <v>0.14557989845966501</v>
      </c>
      <c r="U11" s="14">
        <v>8.2241739865503302E-2</v>
      </c>
      <c r="V11" s="14">
        <v>0.19704935457099401</v>
      </c>
      <c r="W11" s="14">
        <v>0.15981170930935601</v>
      </c>
      <c r="X11" s="14">
        <v>0.12653788933963001</v>
      </c>
      <c r="Y11" s="14">
        <v>8.8538215564501796E-2</v>
      </c>
      <c r="Z11" s="14">
        <v>0.150718362931754</v>
      </c>
      <c r="AA11" s="14">
        <v>0.17015272846294899</v>
      </c>
      <c r="AB11" s="14"/>
      <c r="AC11" s="14">
        <v>0.16760480582776299</v>
      </c>
      <c r="AD11" s="14">
        <v>0.103503877338399</v>
      </c>
      <c r="AE11" s="14">
        <v>0.15001644242690301</v>
      </c>
      <c r="AF11" s="14">
        <v>0.13337284555028001</v>
      </c>
      <c r="AG11" s="14">
        <v>8.8844540498803706E-2</v>
      </c>
      <c r="AH11" s="14"/>
      <c r="AI11" s="14">
        <v>0.109882532482574</v>
      </c>
      <c r="AJ11" s="14">
        <v>0.129749403548854</v>
      </c>
      <c r="AK11" s="14">
        <v>0.221070052988738</v>
      </c>
      <c r="AL11" s="14">
        <v>0.16528237151380501</v>
      </c>
      <c r="AM11" s="14">
        <v>8.92016479320627E-2</v>
      </c>
      <c r="AN11" s="14">
        <v>0.148378056691923</v>
      </c>
      <c r="AO11" s="14"/>
      <c r="AP11" s="14">
        <v>0.116417415300135</v>
      </c>
      <c r="AQ11" s="14">
        <v>0.16898894409992299</v>
      </c>
      <c r="AR11" s="14"/>
      <c r="AS11" s="14" t="s">
        <v>88</v>
      </c>
      <c r="AT11" s="14" t="s">
        <v>88</v>
      </c>
      <c r="AU11" s="14">
        <v>0.14026874977095399</v>
      </c>
      <c r="AV11" s="14"/>
      <c r="AW11" s="14">
        <v>0.132287466261655</v>
      </c>
      <c r="AX11" s="14">
        <v>0.126884357450358</v>
      </c>
      <c r="AY11" s="14"/>
      <c r="AZ11" s="14">
        <v>0.139652775140895</v>
      </c>
      <c r="BA11" s="14">
        <v>0.14410343828744601</v>
      </c>
    </row>
    <row r="12" spans="2:53" x14ac:dyDescent="0.35">
      <c r="B12" s="15" t="s">
        <v>217</v>
      </c>
      <c r="C12" s="14">
        <v>2.1054496301508699E-2</v>
      </c>
      <c r="D12" s="14">
        <v>2.7150700963515802E-2</v>
      </c>
      <c r="E12" s="14">
        <v>1.5224235933098801E-2</v>
      </c>
      <c r="F12" s="14"/>
      <c r="G12" s="14">
        <v>0</v>
      </c>
      <c r="H12" s="14">
        <v>0</v>
      </c>
      <c r="I12" s="14">
        <v>1.5405529732369199E-2</v>
      </c>
      <c r="J12" s="14">
        <v>3.2828457465098597E-2</v>
      </c>
      <c r="K12" s="14">
        <v>2.1761144406916701E-2</v>
      </c>
      <c r="L12" s="14">
        <v>0</v>
      </c>
      <c r="M12" s="14"/>
      <c r="N12" s="14">
        <v>1.8905857170536399E-2</v>
      </c>
      <c r="O12" s="14">
        <v>3.2919468851523602E-2</v>
      </c>
      <c r="P12" s="14">
        <v>5.6803636882388304E-3</v>
      </c>
      <c r="Q12" s="14">
        <v>2.6867431659837401E-2</v>
      </c>
      <c r="R12" s="14"/>
      <c r="S12" s="14">
        <v>9.70251395232739E-3</v>
      </c>
      <c r="T12" s="14">
        <v>2.2262524235926499E-2</v>
      </c>
      <c r="U12" s="14">
        <v>5.5360600740615599E-2</v>
      </c>
      <c r="V12" s="14">
        <v>2.68116077972562E-2</v>
      </c>
      <c r="W12" s="14">
        <v>7.2988288891517204E-3</v>
      </c>
      <c r="X12" s="14">
        <v>1.11572738232686E-2</v>
      </c>
      <c r="Y12" s="14">
        <v>2.1359213459811201E-2</v>
      </c>
      <c r="Z12" s="14">
        <v>2.1697600515538401E-2</v>
      </c>
      <c r="AA12" s="14">
        <v>2.11220189876541E-2</v>
      </c>
      <c r="AB12" s="14"/>
      <c r="AC12" s="14">
        <v>1.3420239125599399E-2</v>
      </c>
      <c r="AD12" s="14">
        <v>3.2273414795804499E-2</v>
      </c>
      <c r="AE12" s="14">
        <v>2.2563413893752601E-2</v>
      </c>
      <c r="AF12" s="14">
        <v>2.1103329277043399E-2</v>
      </c>
      <c r="AG12" s="14">
        <v>0</v>
      </c>
      <c r="AH12" s="14"/>
      <c r="AI12" s="14">
        <v>1.4728918401365001E-2</v>
      </c>
      <c r="AJ12" s="14">
        <v>5.1743988107943503E-3</v>
      </c>
      <c r="AK12" s="14">
        <v>5.5548830548860902E-2</v>
      </c>
      <c r="AL12" s="14">
        <v>8.2099049956594703E-3</v>
      </c>
      <c r="AM12" s="14">
        <v>2.6185608810701502E-2</v>
      </c>
      <c r="AN12" s="14">
        <v>5.8682456488897999E-2</v>
      </c>
      <c r="AO12" s="14"/>
      <c r="AP12" s="14">
        <v>2.8248009968234102E-2</v>
      </c>
      <c r="AQ12" s="14">
        <v>1.2492021579271701E-2</v>
      </c>
      <c r="AR12" s="14"/>
      <c r="AS12" s="14" t="s">
        <v>88</v>
      </c>
      <c r="AT12" s="14" t="s">
        <v>88</v>
      </c>
      <c r="AU12" s="14">
        <v>2.1054496301508699E-2</v>
      </c>
      <c r="AV12" s="14"/>
      <c r="AW12" s="14">
        <v>2.1311313809213198E-2</v>
      </c>
      <c r="AX12" s="14">
        <v>1.88509864116276E-2</v>
      </c>
      <c r="AY12" s="14"/>
      <c r="AZ12" s="14">
        <v>1.9407386296406301E-2</v>
      </c>
      <c r="BA12" s="14">
        <v>2.8944365891803599E-2</v>
      </c>
    </row>
    <row r="13" spans="2:53" x14ac:dyDescent="0.35">
      <c r="B13" s="15" t="s">
        <v>116</v>
      </c>
      <c r="C13" s="23">
        <v>6.3111765460625399E-2</v>
      </c>
      <c r="D13" s="23">
        <v>4.0578151548219699E-2</v>
      </c>
      <c r="E13" s="23">
        <v>8.4968550110448904E-2</v>
      </c>
      <c r="F13" s="23"/>
      <c r="G13" s="23">
        <v>0</v>
      </c>
      <c r="H13" s="23">
        <v>3.9257510452229902E-2</v>
      </c>
      <c r="I13" s="23">
        <v>5.7286154318425903E-2</v>
      </c>
      <c r="J13" s="23">
        <v>6.4107341972881607E-2</v>
      </c>
      <c r="K13" s="23">
        <v>8.7356874124446399E-2</v>
      </c>
      <c r="L13" s="23">
        <v>0.104729467539962</v>
      </c>
      <c r="M13" s="23"/>
      <c r="N13" s="23">
        <v>5.7004862581858003E-2</v>
      </c>
      <c r="O13" s="23">
        <v>0.11273644665252</v>
      </c>
      <c r="P13" s="23">
        <v>5.4332919087439598E-2</v>
      </c>
      <c r="Q13" s="23">
        <v>2.12870695951029E-2</v>
      </c>
      <c r="R13" s="23"/>
      <c r="S13" s="23">
        <v>3.0244743306074299E-2</v>
      </c>
      <c r="T13" s="23">
        <v>6.0044557329585198E-2</v>
      </c>
      <c r="U13" s="23">
        <v>0.10271730621172501</v>
      </c>
      <c r="V13" s="23">
        <v>5.9335250542177698E-2</v>
      </c>
      <c r="W13" s="23">
        <v>7.3580107187676796E-2</v>
      </c>
      <c r="X13" s="23">
        <v>8.9754800652192504E-2</v>
      </c>
      <c r="Y13" s="23">
        <v>8.7203516665058003E-2</v>
      </c>
      <c r="Z13" s="23">
        <v>7.2413548263428398E-2</v>
      </c>
      <c r="AA13" s="23">
        <v>3.0865218281896398E-2</v>
      </c>
      <c r="AB13" s="23"/>
      <c r="AC13" s="23">
        <v>9.9408398213023302E-2</v>
      </c>
      <c r="AD13" s="23">
        <v>5.3564737449821098E-2</v>
      </c>
      <c r="AE13" s="23">
        <v>6.8897155753860406E-2</v>
      </c>
      <c r="AF13" s="23">
        <v>2.5038871941275999E-2</v>
      </c>
      <c r="AG13" s="23">
        <v>1.34545781342034E-2</v>
      </c>
      <c r="AH13" s="23"/>
      <c r="AI13" s="23">
        <v>6.0571371487974202E-2</v>
      </c>
      <c r="AJ13" s="23">
        <v>6.1612416426936802E-2</v>
      </c>
      <c r="AK13" s="23">
        <v>6.0597035404260501E-2</v>
      </c>
      <c r="AL13" s="23">
        <v>7.7851162163223103E-2</v>
      </c>
      <c r="AM13" s="23">
        <v>4.5528328305852302E-2</v>
      </c>
      <c r="AN13" s="23">
        <v>9.6171994046429204E-2</v>
      </c>
      <c r="AO13" s="23"/>
      <c r="AP13" s="23">
        <v>5.6995209505242603E-2</v>
      </c>
      <c r="AQ13" s="23">
        <v>7.0519528249092106E-2</v>
      </c>
      <c r="AR13" s="23"/>
      <c r="AS13" s="23" t="s">
        <v>88</v>
      </c>
      <c r="AT13" s="23" t="s">
        <v>88</v>
      </c>
      <c r="AU13" s="23">
        <v>6.3111765460625399E-2</v>
      </c>
      <c r="AV13" s="23"/>
      <c r="AW13" s="23">
        <v>7.1958156460908404E-2</v>
      </c>
      <c r="AX13" s="23">
        <v>2.8101036878490498E-2</v>
      </c>
      <c r="AY13" s="23"/>
      <c r="AZ13" s="23">
        <v>5.2557041552055601E-2</v>
      </c>
      <c r="BA13" s="23">
        <v>0.113190758564872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B2:BA19"/>
  <sheetViews>
    <sheetView showGridLines="0" workbookViewId="0">
      <pane xSplit="2" topLeftCell="C1" activePane="topRight" state="frozen"/>
      <selection pane="topRight" activeCell="AT8" sqref="AT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937</v>
      </c>
      <c r="D7" s="10">
        <v>381</v>
      </c>
      <c r="E7" s="10">
        <v>555</v>
      </c>
      <c r="F7" s="10"/>
      <c r="G7" s="10">
        <v>3</v>
      </c>
      <c r="H7" s="10">
        <v>79</v>
      </c>
      <c r="I7" s="10">
        <v>383</v>
      </c>
      <c r="J7" s="10">
        <v>343</v>
      </c>
      <c r="K7" s="10">
        <v>108</v>
      </c>
      <c r="L7" s="10">
        <v>21</v>
      </c>
      <c r="M7" s="10"/>
      <c r="N7" s="10">
        <v>445</v>
      </c>
      <c r="O7" s="10">
        <v>216</v>
      </c>
      <c r="P7" s="10">
        <v>134</v>
      </c>
      <c r="Q7" s="10">
        <v>139</v>
      </c>
      <c r="R7" s="10"/>
      <c r="S7" s="10">
        <v>179</v>
      </c>
      <c r="T7" s="10">
        <v>146</v>
      </c>
      <c r="U7" s="10">
        <v>68</v>
      </c>
      <c r="V7" s="10">
        <v>79</v>
      </c>
      <c r="W7" s="10">
        <v>82</v>
      </c>
      <c r="X7" s="10">
        <v>103</v>
      </c>
      <c r="Y7" s="10">
        <v>98</v>
      </c>
      <c r="Z7" s="10">
        <v>57</v>
      </c>
      <c r="AA7" s="10">
        <v>125</v>
      </c>
      <c r="AB7" s="10"/>
      <c r="AC7" s="10">
        <v>150</v>
      </c>
      <c r="AD7" s="10">
        <v>166</v>
      </c>
      <c r="AE7" s="10">
        <v>302</v>
      </c>
      <c r="AF7" s="10">
        <v>177</v>
      </c>
      <c r="AG7" s="10">
        <v>46</v>
      </c>
      <c r="AH7" s="10"/>
      <c r="AI7" s="10">
        <v>346</v>
      </c>
      <c r="AJ7" s="10">
        <v>184</v>
      </c>
      <c r="AK7" s="10">
        <v>93</v>
      </c>
      <c r="AL7" s="10">
        <v>125</v>
      </c>
      <c r="AM7" s="10">
        <v>51</v>
      </c>
      <c r="AN7" s="10">
        <v>56</v>
      </c>
      <c r="AO7" s="10"/>
      <c r="AP7" s="10">
        <v>510</v>
      </c>
      <c r="AQ7" s="10">
        <v>426</v>
      </c>
      <c r="AR7" s="10"/>
      <c r="AS7" s="10" t="s">
        <v>87</v>
      </c>
      <c r="AT7" s="10" t="s">
        <v>87</v>
      </c>
      <c r="AU7" s="10">
        <v>937</v>
      </c>
      <c r="AV7" s="10"/>
      <c r="AW7" s="10">
        <v>666</v>
      </c>
      <c r="AX7" s="10">
        <v>198</v>
      </c>
      <c r="AY7" s="10"/>
      <c r="AZ7" s="10">
        <v>776</v>
      </c>
      <c r="BA7" s="10">
        <v>160</v>
      </c>
    </row>
    <row r="8" spans="2:53" ht="30" customHeight="1" x14ac:dyDescent="0.35">
      <c r="B8" s="11" t="s">
        <v>19</v>
      </c>
      <c r="C8" s="11">
        <v>905</v>
      </c>
      <c r="D8" s="11">
        <v>444</v>
      </c>
      <c r="E8" s="11">
        <v>460</v>
      </c>
      <c r="F8" s="11"/>
      <c r="G8" s="11">
        <v>3</v>
      </c>
      <c r="H8" s="11">
        <v>68</v>
      </c>
      <c r="I8" s="11">
        <v>367</v>
      </c>
      <c r="J8" s="11">
        <v>336</v>
      </c>
      <c r="K8" s="11">
        <v>110</v>
      </c>
      <c r="L8" s="11">
        <v>23</v>
      </c>
      <c r="M8" s="11"/>
      <c r="N8" s="11">
        <v>280</v>
      </c>
      <c r="O8" s="11">
        <v>224</v>
      </c>
      <c r="P8" s="11">
        <v>204</v>
      </c>
      <c r="Q8" s="11">
        <v>195</v>
      </c>
      <c r="R8" s="11"/>
      <c r="S8" s="11">
        <v>146</v>
      </c>
      <c r="T8" s="11">
        <v>143</v>
      </c>
      <c r="U8" s="11">
        <v>87</v>
      </c>
      <c r="V8" s="11">
        <v>92</v>
      </c>
      <c r="W8" s="11">
        <v>91</v>
      </c>
      <c r="X8" s="11">
        <v>87</v>
      </c>
      <c r="Y8" s="11">
        <v>87</v>
      </c>
      <c r="Z8" s="11">
        <v>54</v>
      </c>
      <c r="AA8" s="11">
        <v>116</v>
      </c>
      <c r="AB8" s="11"/>
      <c r="AC8" s="11">
        <v>179</v>
      </c>
      <c r="AD8" s="11">
        <v>185</v>
      </c>
      <c r="AE8" s="11">
        <v>277</v>
      </c>
      <c r="AF8" s="11">
        <v>131</v>
      </c>
      <c r="AG8" s="11">
        <v>25</v>
      </c>
      <c r="AH8" s="11"/>
      <c r="AI8" s="11">
        <v>323</v>
      </c>
      <c r="AJ8" s="11">
        <v>171</v>
      </c>
      <c r="AK8" s="11">
        <v>81</v>
      </c>
      <c r="AL8" s="11">
        <v>132</v>
      </c>
      <c r="AM8" s="11">
        <v>49</v>
      </c>
      <c r="AN8" s="11">
        <v>60</v>
      </c>
      <c r="AO8" s="11"/>
      <c r="AP8" s="11">
        <v>492</v>
      </c>
      <c r="AQ8" s="11">
        <v>412</v>
      </c>
      <c r="AR8" s="11"/>
      <c r="AS8" s="11" t="s">
        <v>87</v>
      </c>
      <c r="AT8" s="11" t="s">
        <v>87</v>
      </c>
      <c r="AU8" s="11">
        <v>905</v>
      </c>
      <c r="AV8" s="11"/>
      <c r="AW8" s="11">
        <v>664</v>
      </c>
      <c r="AX8" s="11">
        <v>161</v>
      </c>
      <c r="AY8" s="11"/>
      <c r="AZ8" s="11">
        <v>746</v>
      </c>
      <c r="BA8" s="11">
        <v>158</v>
      </c>
    </row>
    <row r="9" spans="2:53" x14ac:dyDescent="0.35">
      <c r="B9" s="15" t="s">
        <v>220</v>
      </c>
      <c r="C9" s="14">
        <v>0.208716421020474</v>
      </c>
      <c r="D9" s="14">
        <v>0.25760728069275601</v>
      </c>
      <c r="E9" s="14">
        <v>0.16204500537581801</v>
      </c>
      <c r="F9" s="14"/>
      <c r="G9" s="14">
        <v>0</v>
      </c>
      <c r="H9" s="14">
        <v>0.31195630131340002</v>
      </c>
      <c r="I9" s="14">
        <v>0.20797511773416399</v>
      </c>
      <c r="J9" s="14">
        <v>0.196808262617508</v>
      </c>
      <c r="K9" s="14">
        <v>0.17890721099005</v>
      </c>
      <c r="L9" s="14">
        <v>0.25977453340345003</v>
      </c>
      <c r="M9" s="14"/>
      <c r="N9" s="14">
        <v>0.25215410072274203</v>
      </c>
      <c r="O9" s="14">
        <v>0.17755610808060701</v>
      </c>
      <c r="P9" s="14">
        <v>0.20077874305507101</v>
      </c>
      <c r="Q9" s="14">
        <v>0.19352817371058001</v>
      </c>
      <c r="R9" s="14"/>
      <c r="S9" s="14">
        <v>0.29265668640180698</v>
      </c>
      <c r="T9" s="14">
        <v>0.17486003636818101</v>
      </c>
      <c r="U9" s="14">
        <v>0.22501431307432501</v>
      </c>
      <c r="V9" s="14">
        <v>0.221326837378295</v>
      </c>
      <c r="W9" s="14">
        <v>0.13204023381159499</v>
      </c>
      <c r="X9" s="14">
        <v>0.20776443602376601</v>
      </c>
      <c r="Y9" s="14">
        <v>0.209025904357453</v>
      </c>
      <c r="Z9" s="14">
        <v>0.23275934499119399</v>
      </c>
      <c r="AA9" s="14">
        <v>0.17208806051053199</v>
      </c>
      <c r="AB9" s="14"/>
      <c r="AC9" s="14">
        <v>0.18512524731954999</v>
      </c>
      <c r="AD9" s="14">
        <v>0.19782926581372801</v>
      </c>
      <c r="AE9" s="14">
        <v>0.18291426884188</v>
      </c>
      <c r="AF9" s="14">
        <v>0.30795733039781198</v>
      </c>
      <c r="AG9" s="14">
        <v>0.39473587497044799</v>
      </c>
      <c r="AH9" s="14"/>
      <c r="AI9" s="14">
        <v>0.26857012574499101</v>
      </c>
      <c r="AJ9" s="14">
        <v>0.17552716948217101</v>
      </c>
      <c r="AK9" s="14">
        <v>0.19423818782698299</v>
      </c>
      <c r="AL9" s="14">
        <v>0.22411816938222501</v>
      </c>
      <c r="AM9" s="14">
        <v>0.20602058333213799</v>
      </c>
      <c r="AN9" s="14">
        <v>9.5275581464348003E-2</v>
      </c>
      <c r="AO9" s="14"/>
      <c r="AP9" s="14">
        <v>0.25698000767863999</v>
      </c>
      <c r="AQ9" s="14">
        <v>0.151373943996712</v>
      </c>
      <c r="AR9" s="14"/>
      <c r="AS9" s="14" t="s">
        <v>88</v>
      </c>
      <c r="AT9" s="14" t="s">
        <v>88</v>
      </c>
      <c r="AU9" s="14">
        <v>0.208716421020474</v>
      </c>
      <c r="AV9" s="14"/>
      <c r="AW9" s="14">
        <v>0.19252441489927499</v>
      </c>
      <c r="AX9" s="14">
        <v>0.30561589290515701</v>
      </c>
      <c r="AY9" s="14"/>
      <c r="AZ9" s="14">
        <v>0.22505606771911199</v>
      </c>
      <c r="BA9" s="14">
        <v>0.126558198590558</v>
      </c>
    </row>
    <row r="10" spans="2:53" x14ac:dyDescent="0.35">
      <c r="B10" s="15" t="s">
        <v>221</v>
      </c>
      <c r="C10" s="14">
        <v>0.50011107041316905</v>
      </c>
      <c r="D10" s="14">
        <v>0.489714484473533</v>
      </c>
      <c r="E10" s="14">
        <v>0.50904608895163905</v>
      </c>
      <c r="F10" s="14"/>
      <c r="G10" s="14">
        <v>0</v>
      </c>
      <c r="H10" s="14">
        <v>0.423026858086681</v>
      </c>
      <c r="I10" s="14">
        <v>0.53274056689717197</v>
      </c>
      <c r="J10" s="14">
        <v>0.49420778645602698</v>
      </c>
      <c r="K10" s="14">
        <v>0.466216296631905</v>
      </c>
      <c r="L10" s="14">
        <v>0.51648023402464405</v>
      </c>
      <c r="M10" s="14"/>
      <c r="N10" s="14">
        <v>0.487849120689687</v>
      </c>
      <c r="O10" s="14">
        <v>0.48760460653592202</v>
      </c>
      <c r="P10" s="14">
        <v>0.52627738291338899</v>
      </c>
      <c r="Q10" s="14">
        <v>0.50122294981735704</v>
      </c>
      <c r="R10" s="14"/>
      <c r="S10" s="14">
        <v>0.47786083103134402</v>
      </c>
      <c r="T10" s="14">
        <v>0.49743198842957298</v>
      </c>
      <c r="U10" s="14">
        <v>0.42680271941207898</v>
      </c>
      <c r="V10" s="14">
        <v>0.48609268808976902</v>
      </c>
      <c r="W10" s="14">
        <v>0.56620994710211703</v>
      </c>
      <c r="X10" s="14">
        <v>0.54338050363581403</v>
      </c>
      <c r="Y10" s="14">
        <v>0.43297856096624199</v>
      </c>
      <c r="Z10" s="14">
        <v>0.45023164183004599</v>
      </c>
      <c r="AA10" s="14">
        <v>0.58706689613763496</v>
      </c>
      <c r="AB10" s="14"/>
      <c r="AC10" s="14">
        <v>0.45421449576397599</v>
      </c>
      <c r="AD10" s="14">
        <v>0.5123918848158</v>
      </c>
      <c r="AE10" s="14">
        <v>0.57323021864462398</v>
      </c>
      <c r="AF10" s="14">
        <v>0.45664588739097001</v>
      </c>
      <c r="AG10" s="14">
        <v>0.40632164637511398</v>
      </c>
      <c r="AH10" s="14"/>
      <c r="AI10" s="14">
        <v>0.47941673335617602</v>
      </c>
      <c r="AJ10" s="14">
        <v>0.576506574414412</v>
      </c>
      <c r="AK10" s="14">
        <v>0.492315489408645</v>
      </c>
      <c r="AL10" s="14">
        <v>0.41498911102907199</v>
      </c>
      <c r="AM10" s="14">
        <v>0.42746020057653</v>
      </c>
      <c r="AN10" s="14">
        <v>0.54479238235316396</v>
      </c>
      <c r="AO10" s="14"/>
      <c r="AP10" s="14">
        <v>0.49127848158306697</v>
      </c>
      <c r="AQ10" s="14">
        <v>0.50988028320715895</v>
      </c>
      <c r="AR10" s="14"/>
      <c r="AS10" s="14" t="s">
        <v>88</v>
      </c>
      <c r="AT10" s="14" t="s">
        <v>88</v>
      </c>
      <c r="AU10" s="14">
        <v>0.50011107041316905</v>
      </c>
      <c r="AV10" s="14"/>
      <c r="AW10" s="14">
        <v>0.51675267804347602</v>
      </c>
      <c r="AX10" s="14">
        <v>0.47817591793418002</v>
      </c>
      <c r="AY10" s="14"/>
      <c r="AZ10" s="14">
        <v>0.50709625473933095</v>
      </c>
      <c r="BA10" s="14">
        <v>0.47058696133337302</v>
      </c>
    </row>
    <row r="11" spans="2:53" x14ac:dyDescent="0.35">
      <c r="B11" s="15" t="s">
        <v>222</v>
      </c>
      <c r="C11" s="14">
        <v>0.168729706591524</v>
      </c>
      <c r="D11" s="14">
        <v>0.146472555559232</v>
      </c>
      <c r="E11" s="14">
        <v>0.190549473970681</v>
      </c>
      <c r="F11" s="14"/>
      <c r="G11" s="14">
        <v>0.43925619550893402</v>
      </c>
      <c r="H11" s="14">
        <v>0.17265951397969201</v>
      </c>
      <c r="I11" s="14">
        <v>0.14573491787830001</v>
      </c>
      <c r="J11" s="14">
        <v>0.17992062667264999</v>
      </c>
      <c r="K11" s="14">
        <v>0.19868903755247699</v>
      </c>
      <c r="L11" s="14">
        <v>0.18445880466589901</v>
      </c>
      <c r="M11" s="14"/>
      <c r="N11" s="14">
        <v>0.142288031793527</v>
      </c>
      <c r="O11" s="14">
        <v>0.179837746427294</v>
      </c>
      <c r="P11" s="14">
        <v>0.17208983518474399</v>
      </c>
      <c r="Q11" s="14">
        <v>0.19283315591328101</v>
      </c>
      <c r="R11" s="14"/>
      <c r="S11" s="14">
        <v>0.14911988650493299</v>
      </c>
      <c r="T11" s="14">
        <v>0.16195110155384501</v>
      </c>
      <c r="U11" s="14">
        <v>0.15557688370191</v>
      </c>
      <c r="V11" s="14">
        <v>0.18010721305542901</v>
      </c>
      <c r="W11" s="14">
        <v>0.19858246074717101</v>
      </c>
      <c r="X11" s="14">
        <v>0.14170293926552999</v>
      </c>
      <c r="Y11" s="14">
        <v>0.22078168809620899</v>
      </c>
      <c r="Z11" s="14">
        <v>0.229324521245931</v>
      </c>
      <c r="AA11" s="14">
        <v>0.132028452972696</v>
      </c>
      <c r="AB11" s="14"/>
      <c r="AC11" s="14">
        <v>0.22036124296557499</v>
      </c>
      <c r="AD11" s="14">
        <v>0.19421791044185399</v>
      </c>
      <c r="AE11" s="14">
        <v>0.13559472360406299</v>
      </c>
      <c r="AF11" s="14">
        <v>0.12404875802587501</v>
      </c>
      <c r="AG11" s="14">
        <v>9.1092538521412802E-2</v>
      </c>
      <c r="AH11" s="14"/>
      <c r="AI11" s="14">
        <v>0.13932105138645501</v>
      </c>
      <c r="AJ11" s="14">
        <v>0.16334864576099001</v>
      </c>
      <c r="AK11" s="14">
        <v>0.14675493433738901</v>
      </c>
      <c r="AL11" s="14">
        <v>0.22299542214448201</v>
      </c>
      <c r="AM11" s="14">
        <v>0.22340229666928499</v>
      </c>
      <c r="AN11" s="14">
        <v>0.164562547260061</v>
      </c>
      <c r="AO11" s="14"/>
      <c r="AP11" s="14">
        <v>0.14021169353347601</v>
      </c>
      <c r="AQ11" s="14">
        <v>0.20307080142661399</v>
      </c>
      <c r="AR11" s="14"/>
      <c r="AS11" s="14" t="s">
        <v>88</v>
      </c>
      <c r="AT11" s="14" t="s">
        <v>88</v>
      </c>
      <c r="AU11" s="14">
        <v>0.168729706591524</v>
      </c>
      <c r="AV11" s="14"/>
      <c r="AW11" s="14">
        <v>0.16716733265838199</v>
      </c>
      <c r="AX11" s="14">
        <v>0.10018865828135901</v>
      </c>
      <c r="AY11" s="14"/>
      <c r="AZ11" s="14">
        <v>0.15804481794337699</v>
      </c>
      <c r="BA11" s="14">
        <v>0.22012637731748499</v>
      </c>
    </row>
    <row r="12" spans="2:53" x14ac:dyDescent="0.35">
      <c r="B12" s="15" t="s">
        <v>223</v>
      </c>
      <c r="C12" s="14">
        <v>1.39883071892524E-2</v>
      </c>
      <c r="D12" s="14">
        <v>1.27497949221106E-2</v>
      </c>
      <c r="E12" s="14">
        <v>1.52124730355574E-2</v>
      </c>
      <c r="F12" s="14"/>
      <c r="G12" s="14">
        <v>0</v>
      </c>
      <c r="H12" s="14">
        <v>1.4377290619857E-2</v>
      </c>
      <c r="I12" s="14">
        <v>1.21345751897753E-2</v>
      </c>
      <c r="J12" s="14">
        <v>2.15585618884588E-2</v>
      </c>
      <c r="K12" s="14">
        <v>0</v>
      </c>
      <c r="L12" s="14">
        <v>0</v>
      </c>
      <c r="M12" s="14"/>
      <c r="N12" s="14">
        <v>6.9892495219129004E-3</v>
      </c>
      <c r="O12" s="14">
        <v>1.02719928344103E-2</v>
      </c>
      <c r="P12" s="14">
        <v>1.00461155997126E-2</v>
      </c>
      <c r="Q12" s="14">
        <v>3.2579955933922697E-2</v>
      </c>
      <c r="R12" s="14"/>
      <c r="S12" s="14">
        <v>1.41379180835045E-2</v>
      </c>
      <c r="T12" s="14">
        <v>3.2301979562735901E-2</v>
      </c>
      <c r="U12" s="14">
        <v>9.2103644905640897E-3</v>
      </c>
      <c r="V12" s="14">
        <v>0</v>
      </c>
      <c r="W12" s="14">
        <v>0</v>
      </c>
      <c r="X12" s="14">
        <v>2.23145476465373E-2</v>
      </c>
      <c r="Y12" s="14">
        <v>2.1359213459811201E-2</v>
      </c>
      <c r="Z12" s="14">
        <v>2.4893698048824998E-2</v>
      </c>
      <c r="AA12" s="14">
        <v>0</v>
      </c>
      <c r="AB12" s="14"/>
      <c r="AC12" s="14">
        <v>2.05184155835401E-2</v>
      </c>
      <c r="AD12" s="14">
        <v>2.8492927138970999E-2</v>
      </c>
      <c r="AE12" s="14">
        <v>9.8214426587680502E-3</v>
      </c>
      <c r="AF12" s="14">
        <v>0</v>
      </c>
      <c r="AG12" s="14">
        <v>0</v>
      </c>
      <c r="AH12" s="14"/>
      <c r="AI12" s="14">
        <v>7.7986394164909802E-3</v>
      </c>
      <c r="AJ12" s="14">
        <v>1.93706143685757E-3</v>
      </c>
      <c r="AK12" s="14">
        <v>2.7467367576632599E-2</v>
      </c>
      <c r="AL12" s="14">
        <v>1.5545036418613E-2</v>
      </c>
      <c r="AM12" s="14">
        <v>5.1273805806557902E-2</v>
      </c>
      <c r="AN12" s="14">
        <v>0</v>
      </c>
      <c r="AO12" s="14"/>
      <c r="AP12" s="14">
        <v>1.41087025289748E-2</v>
      </c>
      <c r="AQ12" s="14">
        <v>1.38664090872477E-2</v>
      </c>
      <c r="AR12" s="14"/>
      <c r="AS12" s="14" t="s">
        <v>88</v>
      </c>
      <c r="AT12" s="14" t="s">
        <v>88</v>
      </c>
      <c r="AU12" s="14">
        <v>1.39883071892524E-2</v>
      </c>
      <c r="AV12" s="14"/>
      <c r="AW12" s="14">
        <v>1.21515071984776E-2</v>
      </c>
      <c r="AX12" s="14">
        <v>1.0842876554823E-2</v>
      </c>
      <c r="AY12" s="14"/>
      <c r="AZ12" s="14">
        <v>8.6891111633000603E-3</v>
      </c>
      <c r="BA12" s="14">
        <v>3.90132174573153E-2</v>
      </c>
    </row>
    <row r="13" spans="2:53" x14ac:dyDescent="0.35">
      <c r="B13" s="15" t="s">
        <v>116</v>
      </c>
      <c r="C13" s="18">
        <v>2.93840633379919E-2</v>
      </c>
      <c r="D13" s="18">
        <v>9.9706660402489895E-3</v>
      </c>
      <c r="E13" s="18">
        <v>4.8160062634404102E-2</v>
      </c>
      <c r="F13" s="18"/>
      <c r="G13" s="18">
        <v>0</v>
      </c>
      <c r="H13" s="18">
        <v>2.8091649287213499E-2</v>
      </c>
      <c r="I13" s="18">
        <v>3.0909024911974701E-2</v>
      </c>
      <c r="J13" s="18">
        <v>2.4670639741143498E-2</v>
      </c>
      <c r="K13" s="18">
        <v>3.8248259394003302E-2</v>
      </c>
      <c r="L13" s="18">
        <v>3.9286427906006602E-2</v>
      </c>
      <c r="M13" s="18"/>
      <c r="N13" s="18">
        <v>2.80602217234639E-2</v>
      </c>
      <c r="O13" s="18">
        <v>5.2841544052005002E-2</v>
      </c>
      <c r="P13" s="18">
        <v>1.9755194220218101E-2</v>
      </c>
      <c r="Q13" s="18">
        <v>1.107746716642E-2</v>
      </c>
      <c r="R13" s="18"/>
      <c r="S13" s="18">
        <v>0</v>
      </c>
      <c r="T13" s="18">
        <v>2.6821319748420398E-2</v>
      </c>
      <c r="U13" s="18">
        <v>2.2050613006195E-2</v>
      </c>
      <c r="V13" s="18">
        <v>4.3746062464666197E-2</v>
      </c>
      <c r="W13" s="18">
        <v>3.6583080058393301E-2</v>
      </c>
      <c r="X13" s="18">
        <v>5.1200111882782902E-2</v>
      </c>
      <c r="Y13" s="18">
        <v>5.6246993116467497E-2</v>
      </c>
      <c r="Z13" s="18">
        <v>1.39645820312038E-2</v>
      </c>
      <c r="AA13" s="18">
        <v>2.8538275140367601E-2</v>
      </c>
      <c r="AB13" s="18"/>
      <c r="AC13" s="18">
        <v>4.5389189369504597E-2</v>
      </c>
      <c r="AD13" s="18">
        <v>2.1387722394204001E-2</v>
      </c>
      <c r="AE13" s="18">
        <v>3.7694286548224397E-2</v>
      </c>
      <c r="AF13" s="18">
        <v>6.9714385378991904E-3</v>
      </c>
      <c r="AG13" s="18">
        <v>0</v>
      </c>
      <c r="AH13" s="18"/>
      <c r="AI13" s="18">
        <v>3.3772008130845903E-2</v>
      </c>
      <c r="AJ13" s="18">
        <v>1.8118010423341501E-2</v>
      </c>
      <c r="AK13" s="18">
        <v>3.3615868069263401E-2</v>
      </c>
      <c r="AL13" s="18">
        <v>2.54674250678248E-2</v>
      </c>
      <c r="AM13" s="18">
        <v>1.4537295124638999E-2</v>
      </c>
      <c r="AN13" s="18">
        <v>4.3284427602001602E-2</v>
      </c>
      <c r="AO13" s="18"/>
      <c r="AP13" s="18">
        <v>1.9208430908441501E-2</v>
      </c>
      <c r="AQ13" s="18">
        <v>4.1589063506798397E-2</v>
      </c>
      <c r="AR13" s="18"/>
      <c r="AS13" s="18" t="s">
        <v>88</v>
      </c>
      <c r="AT13" s="18" t="s">
        <v>88</v>
      </c>
      <c r="AU13" s="18">
        <v>2.93840633379919E-2</v>
      </c>
      <c r="AV13" s="18"/>
      <c r="AW13" s="18">
        <v>2.9851963070269501E-2</v>
      </c>
      <c r="AX13" s="18">
        <v>1.8480528349233499E-2</v>
      </c>
      <c r="AY13" s="18"/>
      <c r="AZ13" s="18">
        <v>2.2463997118050399E-2</v>
      </c>
      <c r="BA13" s="18">
        <v>6.2137603674487799E-2</v>
      </c>
    </row>
    <row r="14" spans="2:53" x14ac:dyDescent="0.35">
      <c r="B14" s="26" t="s">
        <v>224</v>
      </c>
      <c r="C14" s="27">
        <v>0.70882749143364199</v>
      </c>
      <c r="D14" s="27">
        <v>0.74732176516628901</v>
      </c>
      <c r="E14" s="27">
        <v>0.67109109432745695</v>
      </c>
      <c r="F14" s="27"/>
      <c r="G14" s="27">
        <v>0</v>
      </c>
      <c r="H14" s="27">
        <v>0.73498315940008097</v>
      </c>
      <c r="I14" s="27">
        <v>0.74071568463133597</v>
      </c>
      <c r="J14" s="27">
        <v>0.69101604907353498</v>
      </c>
      <c r="K14" s="27">
        <v>0.64512350762195503</v>
      </c>
      <c r="L14" s="27">
        <v>0.77625476742809396</v>
      </c>
      <c r="M14" s="27"/>
      <c r="N14" s="27">
        <v>0.74000322141242902</v>
      </c>
      <c r="O14" s="27">
        <v>0.66516071461653004</v>
      </c>
      <c r="P14" s="27">
        <v>0.72705612596846003</v>
      </c>
      <c r="Q14" s="27">
        <v>0.694751123527937</v>
      </c>
      <c r="R14" s="27"/>
      <c r="S14" s="27">
        <v>0.770517517433151</v>
      </c>
      <c r="T14" s="27">
        <v>0.67229202479775496</v>
      </c>
      <c r="U14" s="27">
        <v>0.65181703248640399</v>
      </c>
      <c r="V14" s="27">
        <v>0.70741952546806397</v>
      </c>
      <c r="W14" s="27">
        <v>0.69825018091371205</v>
      </c>
      <c r="X14" s="27">
        <v>0.75114493965957996</v>
      </c>
      <c r="Y14" s="27">
        <v>0.64200446532369404</v>
      </c>
      <c r="Z14" s="27">
        <v>0.68299098682124004</v>
      </c>
      <c r="AA14" s="27">
        <v>0.75915495664816701</v>
      </c>
      <c r="AB14" s="27"/>
      <c r="AC14" s="27">
        <v>0.63933974308352504</v>
      </c>
      <c r="AD14" s="27">
        <v>0.71022115062952795</v>
      </c>
      <c r="AE14" s="27">
        <v>0.75614448748650298</v>
      </c>
      <c r="AF14" s="27">
        <v>0.76460321778878104</v>
      </c>
      <c r="AG14" s="27">
        <v>0.80105752134556196</v>
      </c>
      <c r="AH14" s="27"/>
      <c r="AI14" s="27">
        <v>0.74798685910116702</v>
      </c>
      <c r="AJ14" s="27">
        <v>0.75203374389658295</v>
      </c>
      <c r="AK14" s="27">
        <v>0.68655367723562799</v>
      </c>
      <c r="AL14" s="27">
        <v>0.63910728041129705</v>
      </c>
      <c r="AM14" s="27">
        <v>0.63348078390866802</v>
      </c>
      <c r="AN14" s="27">
        <v>0.64006796381751196</v>
      </c>
      <c r="AO14" s="27"/>
      <c r="AP14" s="27">
        <v>0.74825848926170702</v>
      </c>
      <c r="AQ14" s="27">
        <v>0.66125422720387095</v>
      </c>
      <c r="AR14" s="27"/>
      <c r="AS14" s="27" t="s">
        <v>88</v>
      </c>
      <c r="AT14" s="27" t="s">
        <v>88</v>
      </c>
      <c r="AU14" s="27">
        <v>0.70882749143364199</v>
      </c>
      <c r="AV14" s="27"/>
      <c r="AW14" s="27">
        <v>0.70927709294275099</v>
      </c>
      <c r="AX14" s="27">
        <v>0.78379181083933702</v>
      </c>
      <c r="AY14" s="27"/>
      <c r="AZ14" s="27">
        <v>0.73215232245844297</v>
      </c>
      <c r="BA14" s="27">
        <v>0.59714515992393102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B2:BA18"/>
  <sheetViews>
    <sheetView showGridLines="0" workbookViewId="0">
      <pane xSplit="2" topLeftCell="C1" activePane="topRight" state="frozen"/>
      <selection pane="topRight" activeCell="E13" sqref="E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937</v>
      </c>
      <c r="D7" s="10">
        <v>381</v>
      </c>
      <c r="E7" s="10">
        <v>555</v>
      </c>
      <c r="F7" s="10"/>
      <c r="G7" s="10">
        <v>3</v>
      </c>
      <c r="H7" s="10">
        <v>79</v>
      </c>
      <c r="I7" s="10">
        <v>383</v>
      </c>
      <c r="J7" s="10">
        <v>343</v>
      </c>
      <c r="K7" s="10">
        <v>108</v>
      </c>
      <c r="L7" s="10">
        <v>21</v>
      </c>
      <c r="M7" s="10"/>
      <c r="N7" s="10">
        <v>445</v>
      </c>
      <c r="O7" s="10">
        <v>216</v>
      </c>
      <c r="P7" s="10">
        <v>134</v>
      </c>
      <c r="Q7" s="10">
        <v>139</v>
      </c>
      <c r="R7" s="10"/>
      <c r="S7" s="10">
        <v>179</v>
      </c>
      <c r="T7" s="10">
        <v>146</v>
      </c>
      <c r="U7" s="10">
        <v>68</v>
      </c>
      <c r="V7" s="10">
        <v>79</v>
      </c>
      <c r="W7" s="10">
        <v>82</v>
      </c>
      <c r="X7" s="10">
        <v>103</v>
      </c>
      <c r="Y7" s="10">
        <v>98</v>
      </c>
      <c r="Z7" s="10">
        <v>57</v>
      </c>
      <c r="AA7" s="10">
        <v>125</v>
      </c>
      <c r="AB7" s="10"/>
      <c r="AC7" s="10">
        <v>150</v>
      </c>
      <c r="AD7" s="10">
        <v>166</v>
      </c>
      <c r="AE7" s="10">
        <v>302</v>
      </c>
      <c r="AF7" s="10">
        <v>177</v>
      </c>
      <c r="AG7" s="10">
        <v>46</v>
      </c>
      <c r="AH7" s="10"/>
      <c r="AI7" s="10">
        <v>346</v>
      </c>
      <c r="AJ7" s="10">
        <v>184</v>
      </c>
      <c r="AK7" s="10">
        <v>93</v>
      </c>
      <c r="AL7" s="10">
        <v>125</v>
      </c>
      <c r="AM7" s="10">
        <v>51</v>
      </c>
      <c r="AN7" s="10">
        <v>56</v>
      </c>
      <c r="AO7" s="10"/>
      <c r="AP7" s="10">
        <v>510</v>
      </c>
      <c r="AQ7" s="10">
        <v>426</v>
      </c>
      <c r="AR7" s="10"/>
      <c r="AS7" s="10" t="s">
        <v>87</v>
      </c>
      <c r="AT7" s="10" t="s">
        <v>87</v>
      </c>
      <c r="AU7" s="10">
        <v>937</v>
      </c>
      <c r="AV7" s="10"/>
      <c r="AW7" s="10">
        <v>666</v>
      </c>
      <c r="AX7" s="10">
        <v>198</v>
      </c>
      <c r="AY7" s="10"/>
      <c r="AZ7" s="10">
        <v>776</v>
      </c>
      <c r="BA7" s="10">
        <v>160</v>
      </c>
    </row>
    <row r="8" spans="2:53" ht="30" customHeight="1" x14ac:dyDescent="0.35">
      <c r="B8" s="11" t="s">
        <v>19</v>
      </c>
      <c r="C8" s="11">
        <v>905</v>
      </c>
      <c r="D8" s="11">
        <v>444</v>
      </c>
      <c r="E8" s="11">
        <v>460</v>
      </c>
      <c r="F8" s="11"/>
      <c r="G8" s="11">
        <v>3</v>
      </c>
      <c r="H8" s="11">
        <v>68</v>
      </c>
      <c r="I8" s="11">
        <v>367</v>
      </c>
      <c r="J8" s="11">
        <v>336</v>
      </c>
      <c r="K8" s="11">
        <v>110</v>
      </c>
      <c r="L8" s="11">
        <v>23</v>
      </c>
      <c r="M8" s="11"/>
      <c r="N8" s="11">
        <v>280</v>
      </c>
      <c r="O8" s="11">
        <v>224</v>
      </c>
      <c r="P8" s="11">
        <v>204</v>
      </c>
      <c r="Q8" s="11">
        <v>195</v>
      </c>
      <c r="R8" s="11"/>
      <c r="S8" s="11">
        <v>146</v>
      </c>
      <c r="T8" s="11">
        <v>143</v>
      </c>
      <c r="U8" s="11">
        <v>87</v>
      </c>
      <c r="V8" s="11">
        <v>92</v>
      </c>
      <c r="W8" s="11">
        <v>91</v>
      </c>
      <c r="X8" s="11">
        <v>87</v>
      </c>
      <c r="Y8" s="11">
        <v>87</v>
      </c>
      <c r="Z8" s="11">
        <v>54</v>
      </c>
      <c r="AA8" s="11">
        <v>116</v>
      </c>
      <c r="AB8" s="11"/>
      <c r="AC8" s="11">
        <v>179</v>
      </c>
      <c r="AD8" s="11">
        <v>185</v>
      </c>
      <c r="AE8" s="11">
        <v>277</v>
      </c>
      <c r="AF8" s="11">
        <v>131</v>
      </c>
      <c r="AG8" s="11">
        <v>25</v>
      </c>
      <c r="AH8" s="11"/>
      <c r="AI8" s="11">
        <v>323</v>
      </c>
      <c r="AJ8" s="11">
        <v>171</v>
      </c>
      <c r="AK8" s="11">
        <v>81</v>
      </c>
      <c r="AL8" s="11">
        <v>132</v>
      </c>
      <c r="AM8" s="11">
        <v>49</v>
      </c>
      <c r="AN8" s="11">
        <v>60</v>
      </c>
      <c r="AO8" s="11"/>
      <c r="AP8" s="11">
        <v>492</v>
      </c>
      <c r="AQ8" s="11">
        <v>412</v>
      </c>
      <c r="AR8" s="11"/>
      <c r="AS8" s="11" t="s">
        <v>87</v>
      </c>
      <c r="AT8" s="11" t="s">
        <v>87</v>
      </c>
      <c r="AU8" s="11">
        <v>905</v>
      </c>
      <c r="AV8" s="11"/>
      <c r="AW8" s="11">
        <v>664</v>
      </c>
      <c r="AX8" s="11">
        <v>161</v>
      </c>
      <c r="AY8" s="11"/>
      <c r="AZ8" s="11">
        <v>746</v>
      </c>
      <c r="BA8" s="11">
        <v>158</v>
      </c>
    </row>
    <row r="9" spans="2:53" x14ac:dyDescent="0.35">
      <c r="B9" s="15" t="s">
        <v>226</v>
      </c>
      <c r="C9" s="14">
        <v>0.17072767122014501</v>
      </c>
      <c r="D9" s="14">
        <v>0.21231048864857099</v>
      </c>
      <c r="E9" s="14">
        <v>0.13101779006232001</v>
      </c>
      <c r="F9" s="14"/>
      <c r="G9" s="14">
        <v>0.43925619550893402</v>
      </c>
      <c r="H9" s="14">
        <v>0.31686223423475401</v>
      </c>
      <c r="I9" s="14">
        <v>0.18087828641165399</v>
      </c>
      <c r="J9" s="14">
        <v>0.14276676170115299</v>
      </c>
      <c r="K9" s="14">
        <v>0.11848960422893</v>
      </c>
      <c r="L9" s="14">
        <v>0.203553294734235</v>
      </c>
      <c r="M9" s="14"/>
      <c r="N9" s="14">
        <v>0.198679714870964</v>
      </c>
      <c r="O9" s="14">
        <v>0.116744471617606</v>
      </c>
      <c r="P9" s="14">
        <v>0.19379646230681899</v>
      </c>
      <c r="Q9" s="14">
        <v>0.170994503419545</v>
      </c>
      <c r="R9" s="14"/>
      <c r="S9" s="14">
        <v>0.24724032078816899</v>
      </c>
      <c r="T9" s="14">
        <v>0.147317748005276</v>
      </c>
      <c r="U9" s="14">
        <v>0.15714925733114599</v>
      </c>
      <c r="V9" s="14">
        <v>0.20091314319207901</v>
      </c>
      <c r="W9" s="14">
        <v>9.8736304559133403E-2</v>
      </c>
      <c r="X9" s="14">
        <v>0.17555599297051799</v>
      </c>
      <c r="Y9" s="14">
        <v>0.15160178761875401</v>
      </c>
      <c r="Z9" s="14">
        <v>0.122469832466489</v>
      </c>
      <c r="AA9" s="14">
        <v>0.17934525423508499</v>
      </c>
      <c r="AB9" s="14"/>
      <c r="AC9" s="14">
        <v>0.16684439424849001</v>
      </c>
      <c r="AD9" s="14">
        <v>0.124055075677241</v>
      </c>
      <c r="AE9" s="14">
        <v>0.14840460155702101</v>
      </c>
      <c r="AF9" s="14">
        <v>0.23285544094225299</v>
      </c>
      <c r="AG9" s="14">
        <v>0.39431798138873397</v>
      </c>
      <c r="AH9" s="14"/>
      <c r="AI9" s="14">
        <v>0.23196590656368599</v>
      </c>
      <c r="AJ9" s="14">
        <v>0.185748993105458</v>
      </c>
      <c r="AK9" s="14">
        <v>0.15301521215045899</v>
      </c>
      <c r="AL9" s="14">
        <v>0.13571447538484599</v>
      </c>
      <c r="AM9" s="14">
        <v>2.8010405947950401E-2</v>
      </c>
      <c r="AN9" s="14">
        <v>0.12596925830142899</v>
      </c>
      <c r="AO9" s="14"/>
      <c r="AP9" s="14">
        <v>0.20823177207697099</v>
      </c>
      <c r="AQ9" s="14">
        <v>0.12461201388479801</v>
      </c>
      <c r="AR9" s="14"/>
      <c r="AS9" s="14" t="s">
        <v>88</v>
      </c>
      <c r="AT9" s="14" t="s">
        <v>88</v>
      </c>
      <c r="AU9" s="14">
        <v>0.17072767122014501</v>
      </c>
      <c r="AV9" s="14"/>
      <c r="AW9" s="14">
        <v>0.15378871673789099</v>
      </c>
      <c r="AX9" s="14">
        <v>0.272771435395676</v>
      </c>
      <c r="AY9" s="14"/>
      <c r="AZ9" s="14">
        <v>0.18767729322610799</v>
      </c>
      <c r="BA9" s="14">
        <v>8.5445978421192795E-2</v>
      </c>
    </row>
    <row r="10" spans="2:53" x14ac:dyDescent="0.35">
      <c r="B10" s="15" t="s">
        <v>227</v>
      </c>
      <c r="C10" s="14">
        <v>0.35785359726673399</v>
      </c>
      <c r="D10" s="14">
        <v>0.394897724325601</v>
      </c>
      <c r="E10" s="14">
        <v>0.322925002278798</v>
      </c>
      <c r="F10" s="14"/>
      <c r="G10" s="14">
        <v>0</v>
      </c>
      <c r="H10" s="14">
        <v>0.276111197959584</v>
      </c>
      <c r="I10" s="14">
        <v>0.37808306081799198</v>
      </c>
      <c r="J10" s="14">
        <v>0.366420224879486</v>
      </c>
      <c r="K10" s="14">
        <v>0.33494161968074698</v>
      </c>
      <c r="L10" s="14">
        <v>0.30308144597019299</v>
      </c>
      <c r="M10" s="14"/>
      <c r="N10" s="14">
        <v>0.35155125092463702</v>
      </c>
      <c r="O10" s="14">
        <v>0.35661555613835599</v>
      </c>
      <c r="P10" s="14">
        <v>0.44688466839700203</v>
      </c>
      <c r="Q10" s="14">
        <v>0.27404332807666498</v>
      </c>
      <c r="R10" s="14"/>
      <c r="S10" s="14">
        <v>0.39241165230986202</v>
      </c>
      <c r="T10" s="14">
        <v>0.34343080607825499</v>
      </c>
      <c r="U10" s="14">
        <v>0.321917283181612</v>
      </c>
      <c r="V10" s="14">
        <v>0.38735158653380403</v>
      </c>
      <c r="W10" s="14">
        <v>0.37775574086123598</v>
      </c>
      <c r="X10" s="14">
        <v>0.40029087896114202</v>
      </c>
      <c r="Y10" s="14">
        <v>0.39091619262864202</v>
      </c>
      <c r="Z10" s="14">
        <v>0.28675934880362203</v>
      </c>
      <c r="AA10" s="14">
        <v>0.29695683660473499</v>
      </c>
      <c r="AB10" s="14"/>
      <c r="AC10" s="14">
        <v>0.29332408257363002</v>
      </c>
      <c r="AD10" s="14">
        <v>0.39619153151084102</v>
      </c>
      <c r="AE10" s="14">
        <v>0.418191825941714</v>
      </c>
      <c r="AF10" s="14">
        <v>0.34409280991771501</v>
      </c>
      <c r="AG10" s="14">
        <v>0.33637736453114297</v>
      </c>
      <c r="AH10" s="14"/>
      <c r="AI10" s="14">
        <v>0.33481270327896501</v>
      </c>
      <c r="AJ10" s="14">
        <v>0.39377400128512302</v>
      </c>
      <c r="AK10" s="14">
        <v>0.31787915968549102</v>
      </c>
      <c r="AL10" s="14">
        <v>0.38876308632289103</v>
      </c>
      <c r="AM10" s="14">
        <v>0.31786991103172701</v>
      </c>
      <c r="AN10" s="14">
        <v>0.339173251899063</v>
      </c>
      <c r="AO10" s="14"/>
      <c r="AP10" s="14">
        <v>0.35992546794298402</v>
      </c>
      <c r="AQ10" s="14">
        <v>0.35593976595400401</v>
      </c>
      <c r="AR10" s="14"/>
      <c r="AS10" s="14" t="s">
        <v>88</v>
      </c>
      <c r="AT10" s="14" t="s">
        <v>88</v>
      </c>
      <c r="AU10" s="14">
        <v>0.35785359726673399</v>
      </c>
      <c r="AV10" s="14"/>
      <c r="AW10" s="14">
        <v>0.35310382596014001</v>
      </c>
      <c r="AX10" s="14">
        <v>0.42130377485521597</v>
      </c>
      <c r="AY10" s="14"/>
      <c r="AZ10" s="14">
        <v>0.39248811160802299</v>
      </c>
      <c r="BA10" s="14">
        <v>0.197295787979513</v>
      </c>
    </row>
    <row r="11" spans="2:53" x14ac:dyDescent="0.35">
      <c r="B11" s="15" t="s">
        <v>228</v>
      </c>
      <c r="C11" s="14">
        <v>0.26171953063002001</v>
      </c>
      <c r="D11" s="14">
        <v>0.23475978624461799</v>
      </c>
      <c r="E11" s="14">
        <v>0.28827405213606799</v>
      </c>
      <c r="F11" s="14"/>
      <c r="G11" s="14">
        <v>0</v>
      </c>
      <c r="H11" s="14">
        <v>0.21514917126751701</v>
      </c>
      <c r="I11" s="14">
        <v>0.25509444776465501</v>
      </c>
      <c r="J11" s="14">
        <v>0.27070871111746497</v>
      </c>
      <c r="K11" s="14">
        <v>0.25596482315366098</v>
      </c>
      <c r="L11" s="14">
        <v>0.43625307071133301</v>
      </c>
      <c r="M11" s="14"/>
      <c r="N11" s="14">
        <v>0.25707046786686399</v>
      </c>
      <c r="O11" s="14">
        <v>0.28912126498044399</v>
      </c>
      <c r="P11" s="14">
        <v>0.18219611436041799</v>
      </c>
      <c r="Q11" s="14">
        <v>0.31957197176677399</v>
      </c>
      <c r="R11" s="14"/>
      <c r="S11" s="14">
        <v>0.21057703036952899</v>
      </c>
      <c r="T11" s="14">
        <v>0.23245692780940999</v>
      </c>
      <c r="U11" s="14">
        <v>0.24299706558017201</v>
      </c>
      <c r="V11" s="14">
        <v>0.258027887155312</v>
      </c>
      <c r="W11" s="14">
        <v>0.35487597508489499</v>
      </c>
      <c r="X11" s="14">
        <v>0.20742218994582801</v>
      </c>
      <c r="Y11" s="14">
        <v>0.24835057292177601</v>
      </c>
      <c r="Z11" s="14">
        <v>0.30848569874038201</v>
      </c>
      <c r="AA11" s="14">
        <v>0.33489229725442399</v>
      </c>
      <c r="AB11" s="14"/>
      <c r="AC11" s="14">
        <v>0.265127793505823</v>
      </c>
      <c r="AD11" s="14">
        <v>0.26755493979419098</v>
      </c>
      <c r="AE11" s="14">
        <v>0.27155707357720299</v>
      </c>
      <c r="AF11" s="14">
        <v>0.24006732846881601</v>
      </c>
      <c r="AG11" s="14">
        <v>0.12836995826962599</v>
      </c>
      <c r="AH11" s="14"/>
      <c r="AI11" s="14">
        <v>0.26368884027964801</v>
      </c>
      <c r="AJ11" s="14">
        <v>0.27257189759213502</v>
      </c>
      <c r="AK11" s="14">
        <v>0.29449059326114402</v>
      </c>
      <c r="AL11" s="14">
        <v>0.21637301809086301</v>
      </c>
      <c r="AM11" s="14">
        <v>0.231811803827603</v>
      </c>
      <c r="AN11" s="14">
        <v>0.25972782334774303</v>
      </c>
      <c r="AO11" s="14"/>
      <c r="AP11" s="14">
        <v>0.249977538812553</v>
      </c>
      <c r="AQ11" s="14">
        <v>0.27616095196636697</v>
      </c>
      <c r="AR11" s="14"/>
      <c r="AS11" s="14" t="s">
        <v>88</v>
      </c>
      <c r="AT11" s="14" t="s">
        <v>88</v>
      </c>
      <c r="AU11" s="14">
        <v>0.26171953063002001</v>
      </c>
      <c r="AV11" s="14"/>
      <c r="AW11" s="14">
        <v>0.28083496951181602</v>
      </c>
      <c r="AX11" s="14">
        <v>0.17095184979883701</v>
      </c>
      <c r="AY11" s="14"/>
      <c r="AZ11" s="14">
        <v>0.23115657816271101</v>
      </c>
      <c r="BA11" s="14">
        <v>0.40725888458533199</v>
      </c>
    </row>
    <row r="12" spans="2:53" x14ac:dyDescent="0.35">
      <c r="B12" s="15" t="s">
        <v>229</v>
      </c>
      <c r="C12" s="14">
        <v>0.101894217453651</v>
      </c>
      <c r="D12" s="14">
        <v>5.9308465961343398E-2</v>
      </c>
      <c r="E12" s="14">
        <v>0.140990545864004</v>
      </c>
      <c r="F12" s="14"/>
      <c r="G12" s="14">
        <v>0</v>
      </c>
      <c r="H12" s="14">
        <v>9.4873501422965398E-2</v>
      </c>
      <c r="I12" s="14">
        <v>9.5913346096139995E-2</v>
      </c>
      <c r="J12" s="14">
        <v>0.11296235665507</v>
      </c>
      <c r="K12" s="14">
        <v>0.10788187992033001</v>
      </c>
      <c r="L12" s="14">
        <v>3.9286427906006602E-2</v>
      </c>
      <c r="M12" s="14"/>
      <c r="N12" s="14">
        <v>8.7766333793799098E-2</v>
      </c>
      <c r="O12" s="14">
        <v>9.9615786234170695E-2</v>
      </c>
      <c r="P12" s="14">
        <v>7.0556482557764505E-2</v>
      </c>
      <c r="Q12" s="14">
        <v>0.158877342059701</v>
      </c>
      <c r="R12" s="14"/>
      <c r="S12" s="14">
        <v>6.9606162114643003E-2</v>
      </c>
      <c r="T12" s="14">
        <v>0.145377013466889</v>
      </c>
      <c r="U12" s="14">
        <v>9.6617443144006596E-2</v>
      </c>
      <c r="V12" s="14">
        <v>5.5045870244631999E-2</v>
      </c>
      <c r="W12" s="14">
        <v>0.104598349526213</v>
      </c>
      <c r="X12" s="14">
        <v>9.7987363424154594E-2</v>
      </c>
      <c r="Y12" s="14">
        <v>9.0100619601948095E-2</v>
      </c>
      <c r="Z12" s="14">
        <v>0.197597956461181</v>
      </c>
      <c r="AA12" s="14">
        <v>9.4925520822968401E-2</v>
      </c>
      <c r="AB12" s="14"/>
      <c r="AC12" s="14">
        <v>0.16036338521280699</v>
      </c>
      <c r="AD12" s="14">
        <v>0.13452507065470201</v>
      </c>
      <c r="AE12" s="14">
        <v>6.6278868974586805E-2</v>
      </c>
      <c r="AF12" s="14">
        <v>4.75502342001516E-2</v>
      </c>
      <c r="AG12" s="14">
        <v>3.5792439054717899E-2</v>
      </c>
      <c r="AH12" s="14"/>
      <c r="AI12" s="14">
        <v>8.0404261481002701E-2</v>
      </c>
      <c r="AJ12" s="14">
        <v>6.6585423460306201E-2</v>
      </c>
      <c r="AK12" s="14">
        <v>5.78206107862149E-2</v>
      </c>
      <c r="AL12" s="14">
        <v>0.12974309486671201</v>
      </c>
      <c r="AM12" s="14">
        <v>0.26352010675218601</v>
      </c>
      <c r="AN12" s="14">
        <v>9.5699815668171706E-2</v>
      </c>
      <c r="AO12" s="14"/>
      <c r="AP12" s="14">
        <v>7.8290450343562995E-2</v>
      </c>
      <c r="AQ12" s="14">
        <v>0.13025834360594099</v>
      </c>
      <c r="AR12" s="14"/>
      <c r="AS12" s="14" t="s">
        <v>88</v>
      </c>
      <c r="AT12" s="14" t="s">
        <v>88</v>
      </c>
      <c r="AU12" s="14">
        <v>0.101894217453651</v>
      </c>
      <c r="AV12" s="14"/>
      <c r="AW12" s="14">
        <v>9.9768192387084995E-2</v>
      </c>
      <c r="AX12" s="14">
        <v>4.9301112431380599E-2</v>
      </c>
      <c r="AY12" s="14"/>
      <c r="AZ12" s="14">
        <v>8.7312210950049401E-2</v>
      </c>
      <c r="BA12" s="14">
        <v>0.171179627366497</v>
      </c>
    </row>
    <row r="13" spans="2:53" x14ac:dyDescent="0.35">
      <c r="B13" s="15" t="s">
        <v>116</v>
      </c>
      <c r="C13" s="23">
        <v>4.8294996341581603E-2</v>
      </c>
      <c r="D13" s="23">
        <v>3.1908036245785698E-2</v>
      </c>
      <c r="E13" s="23">
        <v>6.4194961919815302E-2</v>
      </c>
      <c r="F13" s="23"/>
      <c r="G13" s="23">
        <v>0</v>
      </c>
      <c r="H13" s="23">
        <v>3.9257510452229902E-2</v>
      </c>
      <c r="I13" s="23">
        <v>5.1463205410147102E-2</v>
      </c>
      <c r="J13" s="23">
        <v>4.6492710437043699E-2</v>
      </c>
      <c r="K13" s="23">
        <v>5.6325357394023702E-2</v>
      </c>
      <c r="L13" s="23">
        <v>1.7825760678232501E-2</v>
      </c>
      <c r="M13" s="23"/>
      <c r="N13" s="23">
        <v>5.0489476757839498E-2</v>
      </c>
      <c r="O13" s="23">
        <v>7.7978018867551194E-2</v>
      </c>
      <c r="P13" s="23">
        <v>4.06246285366876E-2</v>
      </c>
      <c r="Q13" s="23">
        <v>1.6054398727287901E-2</v>
      </c>
      <c r="R13" s="23"/>
      <c r="S13" s="23">
        <v>3.4847075876324303E-2</v>
      </c>
      <c r="T13" s="23">
        <v>3.7587281771478701E-2</v>
      </c>
      <c r="U13" s="23">
        <v>7.0251594934056E-2</v>
      </c>
      <c r="V13" s="23">
        <v>5.9335250542177698E-2</v>
      </c>
      <c r="W13" s="23">
        <v>3.04758981681949E-2</v>
      </c>
      <c r="X13" s="23">
        <v>6.6331272987080095E-2</v>
      </c>
      <c r="Y13" s="23">
        <v>5.6246993116467497E-2</v>
      </c>
      <c r="Z13" s="23">
        <v>5.15302898489024E-2</v>
      </c>
      <c r="AA13" s="23">
        <v>4.6031242148483198E-2</v>
      </c>
      <c r="AB13" s="23"/>
      <c r="AC13" s="23">
        <v>5.75571486396209E-2</v>
      </c>
      <c r="AD13" s="23">
        <v>3.8086979547481498E-2</v>
      </c>
      <c r="AE13" s="23">
        <v>6.2279215025957901E-2</v>
      </c>
      <c r="AF13" s="23">
        <v>2.8111955401525598E-2</v>
      </c>
      <c r="AG13" s="23">
        <v>3.4637041446017598E-2</v>
      </c>
      <c r="AH13" s="23"/>
      <c r="AI13" s="23">
        <v>4.8054159401554601E-2</v>
      </c>
      <c r="AJ13" s="23">
        <v>2.90709489455463E-2</v>
      </c>
      <c r="AK13" s="23">
        <v>8.4892678012956899E-2</v>
      </c>
      <c r="AL13" s="23">
        <v>5.5661585813574402E-2</v>
      </c>
      <c r="AM13" s="23">
        <v>3.2269536729783499E-2</v>
      </c>
      <c r="AN13" s="23">
        <v>7.08753234445689E-2</v>
      </c>
      <c r="AO13" s="23"/>
      <c r="AP13" s="23">
        <v>4.0685933732738801E-2</v>
      </c>
      <c r="AQ13" s="23">
        <v>5.7462892662814798E-2</v>
      </c>
      <c r="AR13" s="23"/>
      <c r="AS13" s="23" t="s">
        <v>88</v>
      </c>
      <c r="AT13" s="23" t="s">
        <v>88</v>
      </c>
      <c r="AU13" s="23">
        <v>4.8294996341581603E-2</v>
      </c>
      <c r="AV13" s="23"/>
      <c r="AW13" s="23">
        <v>5.07218231423643E-2</v>
      </c>
      <c r="AX13" s="23">
        <v>3.2409062781871702E-2</v>
      </c>
      <c r="AY13" s="23"/>
      <c r="AZ13" s="23">
        <v>4.2186239929128802E-2</v>
      </c>
      <c r="BA13" s="23">
        <v>7.7357791353510105E-2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359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937</v>
      </c>
      <c r="D7" s="10">
        <v>381</v>
      </c>
      <c r="E7" s="10">
        <v>555</v>
      </c>
      <c r="F7" s="10"/>
      <c r="G7" s="10">
        <v>3</v>
      </c>
      <c r="H7" s="10">
        <v>79</v>
      </c>
      <c r="I7" s="10">
        <v>383</v>
      </c>
      <c r="J7" s="10">
        <v>343</v>
      </c>
      <c r="K7" s="10">
        <v>108</v>
      </c>
      <c r="L7" s="10">
        <v>21</v>
      </c>
      <c r="M7" s="10"/>
      <c r="N7" s="10">
        <v>445</v>
      </c>
      <c r="O7" s="10">
        <v>216</v>
      </c>
      <c r="P7" s="10">
        <v>134</v>
      </c>
      <c r="Q7" s="10">
        <v>139</v>
      </c>
      <c r="R7" s="10"/>
      <c r="S7" s="10">
        <v>179</v>
      </c>
      <c r="T7" s="10">
        <v>146</v>
      </c>
      <c r="U7" s="10">
        <v>68</v>
      </c>
      <c r="V7" s="10">
        <v>79</v>
      </c>
      <c r="W7" s="10">
        <v>82</v>
      </c>
      <c r="X7" s="10">
        <v>103</v>
      </c>
      <c r="Y7" s="10">
        <v>98</v>
      </c>
      <c r="Z7" s="10">
        <v>57</v>
      </c>
      <c r="AA7" s="10">
        <v>125</v>
      </c>
      <c r="AB7" s="10"/>
      <c r="AC7" s="10">
        <v>150</v>
      </c>
      <c r="AD7" s="10">
        <v>166</v>
      </c>
      <c r="AE7" s="10">
        <v>302</v>
      </c>
      <c r="AF7" s="10">
        <v>177</v>
      </c>
      <c r="AG7" s="10">
        <v>46</v>
      </c>
      <c r="AH7" s="10"/>
      <c r="AI7" s="10">
        <v>346</v>
      </c>
      <c r="AJ7" s="10">
        <v>184</v>
      </c>
      <c r="AK7" s="10">
        <v>93</v>
      </c>
      <c r="AL7" s="10">
        <v>125</v>
      </c>
      <c r="AM7" s="10">
        <v>51</v>
      </c>
      <c r="AN7" s="10">
        <v>56</v>
      </c>
      <c r="AO7" s="10"/>
      <c r="AP7" s="10">
        <v>510</v>
      </c>
      <c r="AQ7" s="10">
        <v>426</v>
      </c>
      <c r="AR7" s="10"/>
      <c r="AS7" s="10" t="s">
        <v>87</v>
      </c>
      <c r="AT7" s="10" t="s">
        <v>87</v>
      </c>
      <c r="AU7" s="10">
        <v>937</v>
      </c>
      <c r="AV7" s="10"/>
      <c r="AW7" s="10">
        <v>666</v>
      </c>
      <c r="AX7" s="10">
        <v>198</v>
      </c>
      <c r="AY7" s="10"/>
      <c r="AZ7" s="10">
        <v>776</v>
      </c>
      <c r="BA7" s="10">
        <v>160</v>
      </c>
    </row>
    <row r="8" spans="2:53" ht="30" customHeight="1" x14ac:dyDescent="0.35">
      <c r="B8" s="11" t="s">
        <v>19</v>
      </c>
      <c r="C8" s="11">
        <v>905</v>
      </c>
      <c r="D8" s="11">
        <v>444</v>
      </c>
      <c r="E8" s="11">
        <v>460</v>
      </c>
      <c r="F8" s="11"/>
      <c r="G8" s="11">
        <v>3</v>
      </c>
      <c r="H8" s="11">
        <v>68</v>
      </c>
      <c r="I8" s="11">
        <v>367</v>
      </c>
      <c r="J8" s="11">
        <v>336</v>
      </c>
      <c r="K8" s="11">
        <v>110</v>
      </c>
      <c r="L8" s="11">
        <v>23</v>
      </c>
      <c r="M8" s="11"/>
      <c r="N8" s="11">
        <v>280</v>
      </c>
      <c r="O8" s="11">
        <v>224</v>
      </c>
      <c r="P8" s="11">
        <v>204</v>
      </c>
      <c r="Q8" s="11">
        <v>195</v>
      </c>
      <c r="R8" s="11"/>
      <c r="S8" s="11">
        <v>146</v>
      </c>
      <c r="T8" s="11">
        <v>143</v>
      </c>
      <c r="U8" s="11">
        <v>87</v>
      </c>
      <c r="V8" s="11">
        <v>92</v>
      </c>
      <c r="W8" s="11">
        <v>91</v>
      </c>
      <c r="X8" s="11">
        <v>87</v>
      </c>
      <c r="Y8" s="11">
        <v>87</v>
      </c>
      <c r="Z8" s="11">
        <v>54</v>
      </c>
      <c r="AA8" s="11">
        <v>116</v>
      </c>
      <c r="AB8" s="11"/>
      <c r="AC8" s="11">
        <v>179</v>
      </c>
      <c r="AD8" s="11">
        <v>185</v>
      </c>
      <c r="AE8" s="11">
        <v>277</v>
      </c>
      <c r="AF8" s="11">
        <v>131</v>
      </c>
      <c r="AG8" s="11">
        <v>25</v>
      </c>
      <c r="AH8" s="11"/>
      <c r="AI8" s="11">
        <v>323</v>
      </c>
      <c r="AJ8" s="11">
        <v>171</v>
      </c>
      <c r="AK8" s="11">
        <v>81</v>
      </c>
      <c r="AL8" s="11">
        <v>132</v>
      </c>
      <c r="AM8" s="11">
        <v>49</v>
      </c>
      <c r="AN8" s="11">
        <v>60</v>
      </c>
      <c r="AO8" s="11"/>
      <c r="AP8" s="11">
        <v>492</v>
      </c>
      <c r="AQ8" s="11">
        <v>412</v>
      </c>
      <c r="AR8" s="11"/>
      <c r="AS8" s="11" t="s">
        <v>87</v>
      </c>
      <c r="AT8" s="11" t="s">
        <v>87</v>
      </c>
      <c r="AU8" s="11">
        <v>905</v>
      </c>
      <c r="AV8" s="11"/>
      <c r="AW8" s="11">
        <v>664</v>
      </c>
      <c r="AX8" s="11">
        <v>161</v>
      </c>
      <c r="AY8" s="11"/>
      <c r="AZ8" s="11">
        <v>746</v>
      </c>
      <c r="BA8" s="11">
        <v>158</v>
      </c>
    </row>
    <row r="9" spans="2:53" ht="29" x14ac:dyDescent="0.35">
      <c r="B9" s="15" t="s">
        <v>231</v>
      </c>
      <c r="C9" s="14">
        <v>7.8239062183975694E-2</v>
      </c>
      <c r="D9" s="14">
        <v>6.4201642825305494E-2</v>
      </c>
      <c r="E9" s="14">
        <v>9.19394101103196E-2</v>
      </c>
      <c r="F9" s="14"/>
      <c r="G9" s="14">
        <v>0</v>
      </c>
      <c r="H9" s="14">
        <v>0.111920220229613</v>
      </c>
      <c r="I9" s="14">
        <v>9.0733254132562793E-2</v>
      </c>
      <c r="J9" s="14">
        <v>7.8066870005588401E-2</v>
      </c>
      <c r="K9" s="14">
        <v>3.4312749856262703E-2</v>
      </c>
      <c r="L9" s="14">
        <v>0</v>
      </c>
      <c r="M9" s="14"/>
      <c r="N9" s="14">
        <v>7.5648453526667894E-2</v>
      </c>
      <c r="O9" s="14">
        <v>6.3480175843299305E-2</v>
      </c>
      <c r="P9" s="14">
        <v>7.5448161999046595E-2</v>
      </c>
      <c r="Q9" s="14">
        <v>0.10290599300702</v>
      </c>
      <c r="R9" s="14"/>
      <c r="S9" s="14">
        <v>8.6737881576366097E-2</v>
      </c>
      <c r="T9" s="14">
        <v>4.0978949971419598E-2</v>
      </c>
      <c r="U9" s="14">
        <v>6.9079072757397497E-2</v>
      </c>
      <c r="V9" s="14">
        <v>0.122156895559418</v>
      </c>
      <c r="W9" s="14">
        <v>8.5416280883546802E-2</v>
      </c>
      <c r="X9" s="14">
        <v>9.4184776709770199E-2</v>
      </c>
      <c r="Y9" s="14">
        <v>7.8068415281426204E-2</v>
      </c>
      <c r="Z9" s="14">
        <v>6.7052775854612806E-2</v>
      </c>
      <c r="AA9" s="14">
        <v>7.3283194167858196E-2</v>
      </c>
      <c r="AB9" s="14"/>
      <c r="AC9" s="14">
        <v>9.3653650298781296E-2</v>
      </c>
      <c r="AD9" s="14">
        <v>8.9881581365535798E-2</v>
      </c>
      <c r="AE9" s="14">
        <v>6.4958295505772895E-2</v>
      </c>
      <c r="AF9" s="14">
        <v>9.8799799520341999E-2</v>
      </c>
      <c r="AG9" s="14">
        <v>5.9572468222720901E-2</v>
      </c>
      <c r="AH9" s="14"/>
      <c r="AI9" s="14">
        <v>0.105171368766464</v>
      </c>
      <c r="AJ9" s="14">
        <v>6.7362583052304206E-2</v>
      </c>
      <c r="AK9" s="14">
        <v>6.9649524471912194E-2</v>
      </c>
      <c r="AL9" s="14">
        <v>4.8302512893443901E-2</v>
      </c>
      <c r="AM9" s="14">
        <v>8.9996831647698602E-2</v>
      </c>
      <c r="AN9" s="14">
        <v>3.8461090047541599E-2</v>
      </c>
      <c r="AO9" s="14"/>
      <c r="AP9" s="14">
        <v>7.3175654095446199E-2</v>
      </c>
      <c r="AQ9" s="14">
        <v>8.4412168908393606E-2</v>
      </c>
      <c r="AR9" s="14"/>
      <c r="AS9" s="14" t="s">
        <v>88</v>
      </c>
      <c r="AT9" s="14" t="s">
        <v>88</v>
      </c>
      <c r="AU9" s="14">
        <v>7.8239062183975694E-2</v>
      </c>
      <c r="AV9" s="14"/>
      <c r="AW9" s="14">
        <v>7.6314931899961094E-2</v>
      </c>
      <c r="AX9" s="14">
        <v>9.8470290078900499E-2</v>
      </c>
      <c r="AY9" s="14"/>
      <c r="AZ9" s="14">
        <v>7.9226142344979697E-2</v>
      </c>
      <c r="BA9" s="14">
        <v>7.4117531723988994E-2</v>
      </c>
    </row>
    <row r="10" spans="2:53" ht="29" x14ac:dyDescent="0.35">
      <c r="B10" s="15" t="s">
        <v>232</v>
      </c>
      <c r="C10" s="14">
        <v>0.76053831233529501</v>
      </c>
      <c r="D10" s="14">
        <v>0.80744420172554199</v>
      </c>
      <c r="E10" s="14">
        <v>0.71480648155367399</v>
      </c>
      <c r="F10" s="14"/>
      <c r="G10" s="14">
        <v>1</v>
      </c>
      <c r="H10" s="14">
        <v>0.69529370470243901</v>
      </c>
      <c r="I10" s="14">
        <v>0.73688080699707004</v>
      </c>
      <c r="J10" s="14">
        <v>0.78893683319935803</v>
      </c>
      <c r="K10" s="14">
        <v>0.77905313043079805</v>
      </c>
      <c r="L10" s="14">
        <v>0.79776380775922295</v>
      </c>
      <c r="M10" s="14"/>
      <c r="N10" s="14">
        <v>0.759296297681053</v>
      </c>
      <c r="O10" s="14">
        <v>0.728914203333908</v>
      </c>
      <c r="P10" s="14">
        <v>0.80565583316143496</v>
      </c>
      <c r="Q10" s="14">
        <v>0.75182613701203904</v>
      </c>
      <c r="R10" s="14"/>
      <c r="S10" s="14">
        <v>0.74764899293046405</v>
      </c>
      <c r="T10" s="14">
        <v>0.78631760835092801</v>
      </c>
      <c r="U10" s="14">
        <v>0.76833573376424202</v>
      </c>
      <c r="V10" s="14">
        <v>0.76992933591026103</v>
      </c>
      <c r="W10" s="14">
        <v>0.72830908809240602</v>
      </c>
      <c r="X10" s="14">
        <v>0.70303882719885202</v>
      </c>
      <c r="Y10" s="14">
        <v>0.79072677158222704</v>
      </c>
      <c r="Z10" s="14">
        <v>0.79171036209718004</v>
      </c>
      <c r="AA10" s="14">
        <v>0.76259131088952403</v>
      </c>
      <c r="AB10" s="14"/>
      <c r="AC10" s="14">
        <v>0.71205820458108104</v>
      </c>
      <c r="AD10" s="14">
        <v>0.76154448898704497</v>
      </c>
      <c r="AE10" s="14">
        <v>0.78199389730340096</v>
      </c>
      <c r="AF10" s="14">
        <v>0.75287121541231194</v>
      </c>
      <c r="AG10" s="14">
        <v>0.80793428292153602</v>
      </c>
      <c r="AH10" s="14"/>
      <c r="AI10" s="14">
        <v>0.72998358171699995</v>
      </c>
      <c r="AJ10" s="14">
        <v>0.756371301851954</v>
      </c>
      <c r="AK10" s="14">
        <v>0.77118933005532697</v>
      </c>
      <c r="AL10" s="14">
        <v>0.84400690822844404</v>
      </c>
      <c r="AM10" s="14">
        <v>0.75712310441343</v>
      </c>
      <c r="AN10" s="14">
        <v>0.73623204605624604</v>
      </c>
      <c r="AO10" s="14"/>
      <c r="AP10" s="14">
        <v>0.78960360123441198</v>
      </c>
      <c r="AQ10" s="14">
        <v>0.72543222482250103</v>
      </c>
      <c r="AR10" s="14"/>
      <c r="AS10" s="14" t="s">
        <v>88</v>
      </c>
      <c r="AT10" s="14" t="s">
        <v>88</v>
      </c>
      <c r="AU10" s="14">
        <v>0.76053831233529501</v>
      </c>
      <c r="AV10" s="14"/>
      <c r="AW10" s="14">
        <v>0.75918362376088</v>
      </c>
      <c r="AX10" s="14">
        <v>0.79956894656463295</v>
      </c>
      <c r="AY10" s="14"/>
      <c r="AZ10" s="14">
        <v>0.76201050172433005</v>
      </c>
      <c r="BA10" s="14">
        <v>0.75201295160952597</v>
      </c>
    </row>
    <row r="11" spans="2:53" ht="29" x14ac:dyDescent="0.35">
      <c r="B11" s="15" t="s">
        <v>233</v>
      </c>
      <c r="C11" s="14">
        <v>8.9970628568198693E-2</v>
      </c>
      <c r="D11" s="14">
        <v>9.6178345190205503E-2</v>
      </c>
      <c r="E11" s="14">
        <v>8.4182607390772102E-2</v>
      </c>
      <c r="F11" s="14"/>
      <c r="G11" s="14">
        <v>0</v>
      </c>
      <c r="H11" s="14">
        <v>0.129005279380974</v>
      </c>
      <c r="I11" s="14">
        <v>0.10041663954371299</v>
      </c>
      <c r="J11" s="14">
        <v>6.2817381521975205E-2</v>
      </c>
      <c r="K11" s="14">
        <v>0.114921312800094</v>
      </c>
      <c r="L11" s="14">
        <v>9.7506724700814798E-2</v>
      </c>
      <c r="M11" s="14"/>
      <c r="N11" s="14">
        <v>0.10709647249738601</v>
      </c>
      <c r="O11" s="14">
        <v>7.6812621806743003E-2</v>
      </c>
      <c r="P11" s="14">
        <v>8.6913936877238196E-2</v>
      </c>
      <c r="Q11" s="14">
        <v>8.5018424327861997E-2</v>
      </c>
      <c r="R11" s="14"/>
      <c r="S11" s="14">
        <v>0.118183984827922</v>
      </c>
      <c r="T11" s="14">
        <v>0.10023615259357301</v>
      </c>
      <c r="U11" s="14">
        <v>4.5964102009283199E-2</v>
      </c>
      <c r="V11" s="14">
        <v>3.8314711517177399E-2</v>
      </c>
      <c r="W11" s="14">
        <v>0.104048753567151</v>
      </c>
      <c r="X11" s="14">
        <v>0.11524351465548099</v>
      </c>
      <c r="Y11" s="14">
        <v>6.3463641812469898E-2</v>
      </c>
      <c r="Z11" s="14">
        <v>0.102866069223537</v>
      </c>
      <c r="AA11" s="14">
        <v>9.9947782816897701E-2</v>
      </c>
      <c r="AB11" s="14"/>
      <c r="AC11" s="14">
        <v>7.8861231269953896E-2</v>
      </c>
      <c r="AD11" s="14">
        <v>8.6884327183259294E-2</v>
      </c>
      <c r="AE11" s="14">
        <v>8.52465294527672E-2</v>
      </c>
      <c r="AF11" s="14">
        <v>0.124797394081844</v>
      </c>
      <c r="AG11" s="14">
        <v>6.1664726964087299E-2</v>
      </c>
      <c r="AH11" s="14"/>
      <c r="AI11" s="14">
        <v>9.8308791430364903E-2</v>
      </c>
      <c r="AJ11" s="14">
        <v>0.121515904294446</v>
      </c>
      <c r="AK11" s="14">
        <v>7.1671861147966906E-2</v>
      </c>
      <c r="AL11" s="14">
        <v>5.8661565658876903E-2</v>
      </c>
      <c r="AM11" s="14">
        <v>5.7599957251870497E-2</v>
      </c>
      <c r="AN11" s="14">
        <v>8.5961699687423301E-2</v>
      </c>
      <c r="AO11" s="14"/>
      <c r="AP11" s="14">
        <v>7.8147316787016793E-2</v>
      </c>
      <c r="AQ11" s="14">
        <v>0.10423956505370301</v>
      </c>
      <c r="AR11" s="14"/>
      <c r="AS11" s="14" t="s">
        <v>88</v>
      </c>
      <c r="AT11" s="14" t="s">
        <v>88</v>
      </c>
      <c r="AU11" s="14">
        <v>8.9970628568198693E-2</v>
      </c>
      <c r="AV11" s="14"/>
      <c r="AW11" s="14">
        <v>9.2591940327459599E-2</v>
      </c>
      <c r="AX11" s="14">
        <v>7.1698514558500404E-2</v>
      </c>
      <c r="AY11" s="14"/>
      <c r="AZ11" s="14">
        <v>9.8554963201161E-2</v>
      </c>
      <c r="BA11" s="14">
        <v>5.0184099350886198E-2</v>
      </c>
    </row>
    <row r="12" spans="2:53" x14ac:dyDescent="0.35">
      <c r="B12" s="15" t="s">
        <v>116</v>
      </c>
      <c r="C12" s="23">
        <v>7.1251996912530202E-2</v>
      </c>
      <c r="D12" s="23">
        <v>3.2175810258946599E-2</v>
      </c>
      <c r="E12" s="23">
        <v>0.109071500945235</v>
      </c>
      <c r="F12" s="23"/>
      <c r="G12" s="23">
        <v>0</v>
      </c>
      <c r="H12" s="23">
        <v>6.3780795686972799E-2</v>
      </c>
      <c r="I12" s="23">
        <v>7.1969299326654204E-2</v>
      </c>
      <c r="J12" s="23">
        <v>7.0178915273078804E-2</v>
      </c>
      <c r="K12" s="23">
        <v>7.1712806912844707E-2</v>
      </c>
      <c r="L12" s="23">
        <v>0.104729467539962</v>
      </c>
      <c r="M12" s="23"/>
      <c r="N12" s="23">
        <v>5.7958776294893502E-2</v>
      </c>
      <c r="O12" s="23">
        <v>0.13079299901604999</v>
      </c>
      <c r="P12" s="23">
        <v>3.1982067962280397E-2</v>
      </c>
      <c r="Q12" s="23">
        <v>6.0249445653079402E-2</v>
      </c>
      <c r="R12" s="23"/>
      <c r="S12" s="23">
        <v>4.7429140665247699E-2</v>
      </c>
      <c r="T12" s="23">
        <v>7.24672890840794E-2</v>
      </c>
      <c r="U12" s="23">
        <v>0.116621091469077</v>
      </c>
      <c r="V12" s="23">
        <v>6.9599057013143797E-2</v>
      </c>
      <c r="W12" s="23">
        <v>8.2225877456895802E-2</v>
      </c>
      <c r="X12" s="23">
        <v>8.7532881435896506E-2</v>
      </c>
      <c r="Y12" s="23">
        <v>6.7741171323876595E-2</v>
      </c>
      <c r="Z12" s="23">
        <v>3.8370792824670499E-2</v>
      </c>
      <c r="AA12" s="23">
        <v>6.4177712125720002E-2</v>
      </c>
      <c r="AB12" s="23"/>
      <c r="AC12" s="23">
        <v>0.115426913850183</v>
      </c>
      <c r="AD12" s="23">
        <v>6.1689602464160401E-2</v>
      </c>
      <c r="AE12" s="23">
        <v>6.7801277738058996E-2</v>
      </c>
      <c r="AF12" s="23">
        <v>2.35315909855018E-2</v>
      </c>
      <c r="AG12" s="23">
        <v>7.0828521891656296E-2</v>
      </c>
      <c r="AH12" s="23"/>
      <c r="AI12" s="23">
        <v>6.6536258086170905E-2</v>
      </c>
      <c r="AJ12" s="23">
        <v>5.4750210801295898E-2</v>
      </c>
      <c r="AK12" s="23">
        <v>8.7489284324794497E-2</v>
      </c>
      <c r="AL12" s="23">
        <v>4.9029013219235001E-2</v>
      </c>
      <c r="AM12" s="23">
        <v>9.5280106687000599E-2</v>
      </c>
      <c r="AN12" s="23">
        <v>0.13934516420878901</v>
      </c>
      <c r="AO12" s="23"/>
      <c r="AP12" s="23">
        <v>5.9073427883125099E-2</v>
      </c>
      <c r="AQ12" s="23">
        <v>8.5916041215402306E-2</v>
      </c>
      <c r="AR12" s="23"/>
      <c r="AS12" s="23" t="s">
        <v>88</v>
      </c>
      <c r="AT12" s="23" t="s">
        <v>88</v>
      </c>
      <c r="AU12" s="23">
        <v>7.1251996912530202E-2</v>
      </c>
      <c r="AV12" s="23"/>
      <c r="AW12" s="23">
        <v>7.1909504011699404E-2</v>
      </c>
      <c r="AX12" s="23">
        <v>3.0262248797966199E-2</v>
      </c>
      <c r="AY12" s="23"/>
      <c r="AZ12" s="23">
        <v>6.0208392729529499E-2</v>
      </c>
      <c r="BA12" s="23">
        <v>0.123685417315599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937</v>
      </c>
      <c r="D7" s="10">
        <v>381</v>
      </c>
      <c r="E7" s="10">
        <v>555</v>
      </c>
      <c r="F7" s="10"/>
      <c r="G7" s="10">
        <v>3</v>
      </c>
      <c r="H7" s="10">
        <v>79</v>
      </c>
      <c r="I7" s="10">
        <v>383</v>
      </c>
      <c r="J7" s="10">
        <v>343</v>
      </c>
      <c r="K7" s="10">
        <v>108</v>
      </c>
      <c r="L7" s="10">
        <v>21</v>
      </c>
      <c r="M7" s="10"/>
      <c r="N7" s="10">
        <v>445</v>
      </c>
      <c r="O7" s="10">
        <v>216</v>
      </c>
      <c r="P7" s="10">
        <v>134</v>
      </c>
      <c r="Q7" s="10">
        <v>139</v>
      </c>
      <c r="R7" s="10"/>
      <c r="S7" s="10">
        <v>179</v>
      </c>
      <c r="T7" s="10">
        <v>146</v>
      </c>
      <c r="U7" s="10">
        <v>68</v>
      </c>
      <c r="V7" s="10">
        <v>79</v>
      </c>
      <c r="W7" s="10">
        <v>82</v>
      </c>
      <c r="X7" s="10">
        <v>103</v>
      </c>
      <c r="Y7" s="10">
        <v>98</v>
      </c>
      <c r="Z7" s="10">
        <v>57</v>
      </c>
      <c r="AA7" s="10">
        <v>125</v>
      </c>
      <c r="AB7" s="10"/>
      <c r="AC7" s="10">
        <v>150</v>
      </c>
      <c r="AD7" s="10">
        <v>166</v>
      </c>
      <c r="AE7" s="10">
        <v>302</v>
      </c>
      <c r="AF7" s="10">
        <v>177</v>
      </c>
      <c r="AG7" s="10">
        <v>46</v>
      </c>
      <c r="AH7" s="10"/>
      <c r="AI7" s="10">
        <v>346</v>
      </c>
      <c r="AJ7" s="10">
        <v>184</v>
      </c>
      <c r="AK7" s="10">
        <v>93</v>
      </c>
      <c r="AL7" s="10">
        <v>125</v>
      </c>
      <c r="AM7" s="10">
        <v>51</v>
      </c>
      <c r="AN7" s="10">
        <v>56</v>
      </c>
      <c r="AO7" s="10"/>
      <c r="AP7" s="10">
        <v>510</v>
      </c>
      <c r="AQ7" s="10">
        <v>426</v>
      </c>
      <c r="AR7" s="10"/>
      <c r="AS7" s="10" t="s">
        <v>87</v>
      </c>
      <c r="AT7" s="10" t="s">
        <v>87</v>
      </c>
      <c r="AU7" s="10">
        <v>937</v>
      </c>
      <c r="AV7" s="10"/>
      <c r="AW7" s="10">
        <v>666</v>
      </c>
      <c r="AX7" s="10">
        <v>198</v>
      </c>
      <c r="AY7" s="10"/>
      <c r="AZ7" s="10">
        <v>776</v>
      </c>
      <c r="BA7" s="10">
        <v>160</v>
      </c>
    </row>
    <row r="8" spans="2:53" ht="30" customHeight="1" x14ac:dyDescent="0.35">
      <c r="B8" s="11" t="s">
        <v>19</v>
      </c>
      <c r="C8" s="11">
        <v>905</v>
      </c>
      <c r="D8" s="11">
        <v>444</v>
      </c>
      <c r="E8" s="11">
        <v>460</v>
      </c>
      <c r="F8" s="11"/>
      <c r="G8" s="11">
        <v>3</v>
      </c>
      <c r="H8" s="11">
        <v>68</v>
      </c>
      <c r="I8" s="11">
        <v>367</v>
      </c>
      <c r="J8" s="11">
        <v>336</v>
      </c>
      <c r="K8" s="11">
        <v>110</v>
      </c>
      <c r="L8" s="11">
        <v>23</v>
      </c>
      <c r="M8" s="11"/>
      <c r="N8" s="11">
        <v>280</v>
      </c>
      <c r="O8" s="11">
        <v>224</v>
      </c>
      <c r="P8" s="11">
        <v>204</v>
      </c>
      <c r="Q8" s="11">
        <v>195</v>
      </c>
      <c r="R8" s="11"/>
      <c r="S8" s="11">
        <v>146</v>
      </c>
      <c r="T8" s="11">
        <v>143</v>
      </c>
      <c r="U8" s="11">
        <v>87</v>
      </c>
      <c r="V8" s="11">
        <v>92</v>
      </c>
      <c r="W8" s="11">
        <v>91</v>
      </c>
      <c r="X8" s="11">
        <v>87</v>
      </c>
      <c r="Y8" s="11">
        <v>87</v>
      </c>
      <c r="Z8" s="11">
        <v>54</v>
      </c>
      <c r="AA8" s="11">
        <v>116</v>
      </c>
      <c r="AB8" s="11"/>
      <c r="AC8" s="11">
        <v>179</v>
      </c>
      <c r="AD8" s="11">
        <v>185</v>
      </c>
      <c r="AE8" s="11">
        <v>277</v>
      </c>
      <c r="AF8" s="11">
        <v>131</v>
      </c>
      <c r="AG8" s="11">
        <v>25</v>
      </c>
      <c r="AH8" s="11"/>
      <c r="AI8" s="11">
        <v>323</v>
      </c>
      <c r="AJ8" s="11">
        <v>171</v>
      </c>
      <c r="AK8" s="11">
        <v>81</v>
      </c>
      <c r="AL8" s="11">
        <v>132</v>
      </c>
      <c r="AM8" s="11">
        <v>49</v>
      </c>
      <c r="AN8" s="11">
        <v>60</v>
      </c>
      <c r="AO8" s="11"/>
      <c r="AP8" s="11">
        <v>492</v>
      </c>
      <c r="AQ8" s="11">
        <v>412</v>
      </c>
      <c r="AR8" s="11"/>
      <c r="AS8" s="11" t="s">
        <v>87</v>
      </c>
      <c r="AT8" s="11" t="s">
        <v>87</v>
      </c>
      <c r="AU8" s="11">
        <v>905</v>
      </c>
      <c r="AV8" s="11"/>
      <c r="AW8" s="11">
        <v>664</v>
      </c>
      <c r="AX8" s="11">
        <v>161</v>
      </c>
      <c r="AY8" s="11"/>
      <c r="AZ8" s="11">
        <v>746</v>
      </c>
      <c r="BA8" s="11">
        <v>158</v>
      </c>
    </row>
    <row r="9" spans="2:53" x14ac:dyDescent="0.35">
      <c r="B9" s="15" t="s">
        <v>235</v>
      </c>
      <c r="C9" s="14">
        <v>0.22550877648795301</v>
      </c>
      <c r="D9" s="14">
        <v>0.295069629043618</v>
      </c>
      <c r="E9" s="14">
        <v>0.158950475975324</v>
      </c>
      <c r="F9" s="14"/>
      <c r="G9" s="14">
        <v>0.182858017741347</v>
      </c>
      <c r="H9" s="14">
        <v>0.38536884205411898</v>
      </c>
      <c r="I9" s="14">
        <v>0.23412060798180201</v>
      </c>
      <c r="J9" s="14">
        <v>0.18033210425787</v>
      </c>
      <c r="K9" s="14">
        <v>0.22254687723147601</v>
      </c>
      <c r="L9" s="14">
        <v>0.298533804620012</v>
      </c>
      <c r="M9" s="14"/>
      <c r="N9" s="14">
        <v>0.25889657370861902</v>
      </c>
      <c r="O9" s="14">
        <v>0.149833855696242</v>
      </c>
      <c r="P9" s="14">
        <v>0.24002293894792501</v>
      </c>
      <c r="Q9" s="14">
        <v>0.25255353588674401</v>
      </c>
      <c r="R9" s="14"/>
      <c r="S9" s="14">
        <v>0.27614067684507998</v>
      </c>
      <c r="T9" s="14">
        <v>0.208764971969083</v>
      </c>
      <c r="U9" s="14">
        <v>0.26048138889873501</v>
      </c>
      <c r="V9" s="14">
        <v>0.21287046155279399</v>
      </c>
      <c r="W9" s="14">
        <v>0.14697584379190901</v>
      </c>
      <c r="X9" s="14">
        <v>0.27877589404292802</v>
      </c>
      <c r="Y9" s="14">
        <v>0.21667536310242799</v>
      </c>
      <c r="Z9" s="14">
        <v>0.24274813469472301</v>
      </c>
      <c r="AA9" s="14">
        <v>0.186516589307791</v>
      </c>
      <c r="AB9" s="14"/>
      <c r="AC9" s="14">
        <v>0.19297902367022701</v>
      </c>
      <c r="AD9" s="14">
        <v>0.177034174964773</v>
      </c>
      <c r="AE9" s="14">
        <v>0.22909235677699899</v>
      </c>
      <c r="AF9" s="14">
        <v>0.30754859608949298</v>
      </c>
      <c r="AG9" s="14">
        <v>0.48433308226183702</v>
      </c>
      <c r="AH9" s="14"/>
      <c r="AI9" s="14">
        <v>0.28805458812207102</v>
      </c>
      <c r="AJ9" s="14">
        <v>0.22589287974372099</v>
      </c>
      <c r="AK9" s="14">
        <v>0.191980180297148</v>
      </c>
      <c r="AL9" s="14">
        <v>0.221189928200485</v>
      </c>
      <c r="AM9" s="14">
        <v>6.3708171614540302E-2</v>
      </c>
      <c r="AN9" s="14">
        <v>0.19538507139484401</v>
      </c>
      <c r="AO9" s="14"/>
      <c r="AP9" s="14">
        <v>0.26160035004776599</v>
      </c>
      <c r="AQ9" s="14">
        <v>0.18273700580819499</v>
      </c>
      <c r="AR9" s="14"/>
      <c r="AS9" s="14" t="s">
        <v>88</v>
      </c>
      <c r="AT9" s="14" t="s">
        <v>88</v>
      </c>
      <c r="AU9" s="14">
        <v>0.22550877648795301</v>
      </c>
      <c r="AV9" s="14"/>
      <c r="AW9" s="14">
        <v>0.209526980395492</v>
      </c>
      <c r="AX9" s="14">
        <v>0.33629828131043699</v>
      </c>
      <c r="AY9" s="14"/>
      <c r="AZ9" s="14">
        <v>0.25069200396671898</v>
      </c>
      <c r="BA9" s="14">
        <v>0.10185567042249399</v>
      </c>
    </row>
    <row r="10" spans="2:53" x14ac:dyDescent="0.35">
      <c r="B10" s="15" t="s">
        <v>236</v>
      </c>
      <c r="C10" s="14">
        <v>0.53843572742298096</v>
      </c>
      <c r="D10" s="14">
        <v>0.54648521355021795</v>
      </c>
      <c r="E10" s="14">
        <v>0.52967423094913302</v>
      </c>
      <c r="F10" s="14"/>
      <c r="G10" s="14">
        <v>0</v>
      </c>
      <c r="H10" s="14">
        <v>0.45578764578808401</v>
      </c>
      <c r="I10" s="14">
        <v>0.53185746617086205</v>
      </c>
      <c r="J10" s="14">
        <v>0.56516261796219502</v>
      </c>
      <c r="K10" s="14">
        <v>0.58245948880585197</v>
      </c>
      <c r="L10" s="14">
        <v>0.34975887040655301</v>
      </c>
      <c r="M10" s="14"/>
      <c r="N10" s="14">
        <v>0.52593929174685705</v>
      </c>
      <c r="O10" s="14">
        <v>0.55808578870857795</v>
      </c>
      <c r="P10" s="14">
        <v>0.54887979506496498</v>
      </c>
      <c r="Q10" s="14">
        <v>0.51619625681264503</v>
      </c>
      <c r="R10" s="14"/>
      <c r="S10" s="14">
        <v>0.539776667763464</v>
      </c>
      <c r="T10" s="14">
        <v>0.54175006184867502</v>
      </c>
      <c r="U10" s="14">
        <v>0.52853069790150797</v>
      </c>
      <c r="V10" s="14">
        <v>0.54787165132345494</v>
      </c>
      <c r="W10" s="14">
        <v>0.622739054194278</v>
      </c>
      <c r="X10" s="14">
        <v>0.44141950370487798</v>
      </c>
      <c r="Y10" s="14">
        <v>0.50173925605710101</v>
      </c>
      <c r="Z10" s="14">
        <v>0.51391722700907105</v>
      </c>
      <c r="AA10" s="14">
        <v>0.57842930177002705</v>
      </c>
      <c r="AB10" s="14"/>
      <c r="AC10" s="14">
        <v>0.55885280411827998</v>
      </c>
      <c r="AD10" s="14">
        <v>0.53787183272320105</v>
      </c>
      <c r="AE10" s="14">
        <v>0.54778245583485397</v>
      </c>
      <c r="AF10" s="14">
        <v>0.56254872325965299</v>
      </c>
      <c r="AG10" s="14">
        <v>0.48628168883336098</v>
      </c>
      <c r="AH10" s="14"/>
      <c r="AI10" s="14">
        <v>0.49072162851517098</v>
      </c>
      <c r="AJ10" s="14">
        <v>0.58324296645303297</v>
      </c>
      <c r="AK10" s="14">
        <v>0.60191402447456599</v>
      </c>
      <c r="AL10" s="14">
        <v>0.48921446013554098</v>
      </c>
      <c r="AM10" s="14">
        <v>0.61467698446561703</v>
      </c>
      <c r="AN10" s="14">
        <v>0.60957452171147097</v>
      </c>
      <c r="AO10" s="14"/>
      <c r="AP10" s="14">
        <v>0.53109108596733201</v>
      </c>
      <c r="AQ10" s="14">
        <v>0.54805721153244802</v>
      </c>
      <c r="AR10" s="14"/>
      <c r="AS10" s="14" t="s">
        <v>88</v>
      </c>
      <c r="AT10" s="14" t="s">
        <v>88</v>
      </c>
      <c r="AU10" s="14">
        <v>0.53843572742298096</v>
      </c>
      <c r="AV10" s="14"/>
      <c r="AW10" s="14">
        <v>0.54066124665034698</v>
      </c>
      <c r="AX10" s="14">
        <v>0.55704881691081998</v>
      </c>
      <c r="AY10" s="14"/>
      <c r="AZ10" s="14">
        <v>0.53869179274491896</v>
      </c>
      <c r="BA10" s="14">
        <v>0.54082649824990803</v>
      </c>
    </row>
    <row r="11" spans="2:53" x14ac:dyDescent="0.35">
      <c r="B11" s="15" t="s">
        <v>237</v>
      </c>
      <c r="C11" s="14">
        <v>0.187753266864258</v>
      </c>
      <c r="D11" s="14">
        <v>0.125453163758423</v>
      </c>
      <c r="E11" s="14">
        <v>0.248210914445325</v>
      </c>
      <c r="F11" s="14"/>
      <c r="G11" s="14">
        <v>0.81714198225865298</v>
      </c>
      <c r="H11" s="14">
        <v>0.14573088175335699</v>
      </c>
      <c r="I11" s="14">
        <v>0.194783875918735</v>
      </c>
      <c r="J11" s="14">
        <v>0.186299463373922</v>
      </c>
      <c r="K11" s="14">
        <v>0.16650329538318601</v>
      </c>
      <c r="L11" s="14">
        <v>0.24449511697083101</v>
      </c>
      <c r="M11" s="14"/>
      <c r="N11" s="14">
        <v>0.176401700213066</v>
      </c>
      <c r="O11" s="14">
        <v>0.22846029552722999</v>
      </c>
      <c r="P11" s="14">
        <v>0.17434921765546399</v>
      </c>
      <c r="Q11" s="14">
        <v>0.174088587136632</v>
      </c>
      <c r="R11" s="14"/>
      <c r="S11" s="14">
        <v>0.14946853514040701</v>
      </c>
      <c r="T11" s="14">
        <v>0.22130936877464</v>
      </c>
      <c r="U11" s="14">
        <v>0.19405875153364899</v>
      </c>
      <c r="V11" s="14">
        <v>0.20937770305944201</v>
      </c>
      <c r="W11" s="14">
        <v>0.15904410965134799</v>
      </c>
      <c r="X11" s="14">
        <v>0.21992547255045899</v>
      </c>
      <c r="Y11" s="14">
        <v>0.21293934772117701</v>
      </c>
      <c r="Z11" s="14">
        <v>0.16018247245668099</v>
      </c>
      <c r="AA11" s="14">
        <v>0.16481775121254</v>
      </c>
      <c r="AB11" s="14"/>
      <c r="AC11" s="14">
        <v>0.21730901770139499</v>
      </c>
      <c r="AD11" s="14">
        <v>0.21385824563782499</v>
      </c>
      <c r="AE11" s="14">
        <v>0.173171822205549</v>
      </c>
      <c r="AF11" s="14">
        <v>0.12592568422471601</v>
      </c>
      <c r="AG11" s="14">
        <v>2.1357080949975502E-2</v>
      </c>
      <c r="AH11" s="14"/>
      <c r="AI11" s="14">
        <v>0.17970978565031401</v>
      </c>
      <c r="AJ11" s="14">
        <v>0.142198729328952</v>
      </c>
      <c r="AK11" s="14">
        <v>0.18947814927784101</v>
      </c>
      <c r="AL11" s="14">
        <v>0.218540344715387</v>
      </c>
      <c r="AM11" s="14">
        <v>0.26890447795379702</v>
      </c>
      <c r="AN11" s="14">
        <v>0.139160238232409</v>
      </c>
      <c r="AO11" s="14"/>
      <c r="AP11" s="14">
        <v>0.16482723244908901</v>
      </c>
      <c r="AQ11" s="14">
        <v>0.213872324472723</v>
      </c>
      <c r="AR11" s="14"/>
      <c r="AS11" s="14" t="s">
        <v>88</v>
      </c>
      <c r="AT11" s="14" t="s">
        <v>88</v>
      </c>
      <c r="AU11" s="14">
        <v>0.187753266864258</v>
      </c>
      <c r="AV11" s="14"/>
      <c r="AW11" s="14">
        <v>0.20581077426611299</v>
      </c>
      <c r="AX11" s="14">
        <v>6.3401426595327201E-2</v>
      </c>
      <c r="AY11" s="14"/>
      <c r="AZ11" s="14">
        <v>0.16872431646063801</v>
      </c>
      <c r="BA11" s="14">
        <v>0.27853386596270802</v>
      </c>
    </row>
    <row r="12" spans="2:53" x14ac:dyDescent="0.35">
      <c r="B12" s="15" t="s">
        <v>238</v>
      </c>
      <c r="C12" s="14">
        <v>2.37518285486495E-2</v>
      </c>
      <c r="D12" s="14">
        <v>2.5031324665471401E-2</v>
      </c>
      <c r="E12" s="14">
        <v>2.2570151274839301E-2</v>
      </c>
      <c r="F12" s="14"/>
      <c r="G12" s="14">
        <v>0</v>
      </c>
      <c r="H12" s="14">
        <v>1.3112630404439199E-2</v>
      </c>
      <c r="I12" s="14">
        <v>1.2119034642294701E-2</v>
      </c>
      <c r="J12" s="14">
        <v>3.6249848956092602E-2</v>
      </c>
      <c r="K12" s="14">
        <v>1.8057552879345001E-2</v>
      </c>
      <c r="L12" s="14">
        <v>8.9386447324371704E-2</v>
      </c>
      <c r="M12" s="14"/>
      <c r="N12" s="14">
        <v>2.2770369336452798E-2</v>
      </c>
      <c r="O12" s="14">
        <v>2.4739043532757E-2</v>
      </c>
      <c r="P12" s="14">
        <v>1.39264196132277E-2</v>
      </c>
      <c r="Q12" s="14">
        <v>3.4611424295623097E-2</v>
      </c>
      <c r="R12" s="14"/>
      <c r="S12" s="14">
        <v>2.1427446952508901E-2</v>
      </c>
      <c r="T12" s="14">
        <v>9.8397900921633093E-3</v>
      </c>
      <c r="U12" s="14">
        <v>0</v>
      </c>
      <c r="V12" s="14">
        <v>1.5348953089905099E-2</v>
      </c>
      <c r="W12" s="14">
        <v>6.1479575075338702E-2</v>
      </c>
      <c r="X12" s="14">
        <v>2.4246807505493101E-2</v>
      </c>
      <c r="Y12" s="14">
        <v>1.8683243057041901E-2</v>
      </c>
      <c r="Z12" s="14">
        <v>5.2108692948663202E-2</v>
      </c>
      <c r="AA12" s="14">
        <v>2.9012516786435801E-2</v>
      </c>
      <c r="AB12" s="14"/>
      <c r="AC12" s="14">
        <v>2.3677200138489899E-2</v>
      </c>
      <c r="AD12" s="14">
        <v>4.4770175272609201E-2</v>
      </c>
      <c r="AE12" s="14">
        <v>9.5980465406228302E-3</v>
      </c>
      <c r="AF12" s="14">
        <v>3.9769964261385802E-3</v>
      </c>
      <c r="AG12" s="14">
        <v>8.0281479548266702E-3</v>
      </c>
      <c r="AH12" s="14"/>
      <c r="AI12" s="14">
        <v>1.8349580828608901E-2</v>
      </c>
      <c r="AJ12" s="14">
        <v>1.6146095161158301E-2</v>
      </c>
      <c r="AK12" s="14">
        <v>0</v>
      </c>
      <c r="AL12" s="14">
        <v>6.2364808390546998E-2</v>
      </c>
      <c r="AM12" s="14">
        <v>0</v>
      </c>
      <c r="AN12" s="14">
        <v>1.43983834416414E-2</v>
      </c>
      <c r="AO12" s="14"/>
      <c r="AP12" s="14">
        <v>1.5732626935609301E-2</v>
      </c>
      <c r="AQ12" s="14">
        <v>3.3371266107470203E-2</v>
      </c>
      <c r="AR12" s="14"/>
      <c r="AS12" s="14" t="s">
        <v>88</v>
      </c>
      <c r="AT12" s="14" t="s">
        <v>88</v>
      </c>
      <c r="AU12" s="14">
        <v>2.37518285486495E-2</v>
      </c>
      <c r="AV12" s="14"/>
      <c r="AW12" s="14">
        <v>2.4832425989862999E-2</v>
      </c>
      <c r="AX12" s="14">
        <v>2.01620590738372E-2</v>
      </c>
      <c r="AY12" s="14"/>
      <c r="AZ12" s="14">
        <v>2.1814313000858801E-2</v>
      </c>
      <c r="BA12" s="14">
        <v>3.30260014664246E-2</v>
      </c>
    </row>
    <row r="13" spans="2:53" x14ac:dyDescent="0.35">
      <c r="B13" s="15" t="s">
        <v>116</v>
      </c>
      <c r="C13" s="23">
        <v>2.4550400676159299E-2</v>
      </c>
      <c r="D13" s="23">
        <v>7.9606689822693099E-3</v>
      </c>
      <c r="E13" s="23">
        <v>4.0594227355379098E-2</v>
      </c>
      <c r="F13" s="23"/>
      <c r="G13" s="23">
        <v>0</v>
      </c>
      <c r="H13" s="23">
        <v>0</v>
      </c>
      <c r="I13" s="23">
        <v>2.71190152863067E-2</v>
      </c>
      <c r="J13" s="23">
        <v>3.19559654499205E-2</v>
      </c>
      <c r="K13" s="23">
        <v>1.04327857001409E-2</v>
      </c>
      <c r="L13" s="23">
        <v>1.7825760678232501E-2</v>
      </c>
      <c r="M13" s="23"/>
      <c r="N13" s="23">
        <v>1.5992064995004801E-2</v>
      </c>
      <c r="O13" s="23">
        <v>3.88810165351932E-2</v>
      </c>
      <c r="P13" s="23">
        <v>2.2821628718418401E-2</v>
      </c>
      <c r="Q13" s="23">
        <v>2.25501958683566E-2</v>
      </c>
      <c r="R13" s="23"/>
      <c r="S13" s="23">
        <v>1.3186673298539399E-2</v>
      </c>
      <c r="T13" s="23">
        <v>1.8335807315438098E-2</v>
      </c>
      <c r="U13" s="23">
        <v>1.69291616661085E-2</v>
      </c>
      <c r="V13" s="23">
        <v>1.45312309744035E-2</v>
      </c>
      <c r="W13" s="23">
        <v>9.76141728712656E-3</v>
      </c>
      <c r="X13" s="23">
        <v>3.5632322196241802E-2</v>
      </c>
      <c r="Y13" s="23">
        <v>4.9962790062251197E-2</v>
      </c>
      <c r="Z13" s="23">
        <v>3.1043472890861502E-2</v>
      </c>
      <c r="AA13" s="23">
        <v>4.1223840923205898E-2</v>
      </c>
      <c r="AB13" s="23"/>
      <c r="AC13" s="23">
        <v>7.1819543716076899E-3</v>
      </c>
      <c r="AD13" s="23">
        <v>2.64655714015921E-2</v>
      </c>
      <c r="AE13" s="23">
        <v>4.0355318641975398E-2</v>
      </c>
      <c r="AF13" s="23">
        <v>0</v>
      </c>
      <c r="AG13" s="23">
        <v>0</v>
      </c>
      <c r="AH13" s="23"/>
      <c r="AI13" s="23">
        <v>2.31644168838352E-2</v>
      </c>
      <c r="AJ13" s="23">
        <v>3.25193293131356E-2</v>
      </c>
      <c r="AK13" s="23">
        <v>1.6627645950445701E-2</v>
      </c>
      <c r="AL13" s="23">
        <v>8.69045855804048E-3</v>
      </c>
      <c r="AM13" s="23">
        <v>5.2710365966046301E-2</v>
      </c>
      <c r="AN13" s="23">
        <v>4.1481785219633999E-2</v>
      </c>
      <c r="AO13" s="23"/>
      <c r="AP13" s="23">
        <v>2.67487046002042E-2</v>
      </c>
      <c r="AQ13" s="23">
        <v>2.1962192079164E-2</v>
      </c>
      <c r="AR13" s="23"/>
      <c r="AS13" s="23" t="s">
        <v>88</v>
      </c>
      <c r="AT13" s="23" t="s">
        <v>88</v>
      </c>
      <c r="AU13" s="23">
        <v>2.4550400676159299E-2</v>
      </c>
      <c r="AV13" s="23"/>
      <c r="AW13" s="23">
        <v>1.9168572698184901E-2</v>
      </c>
      <c r="AX13" s="23">
        <v>2.3089416109578199E-2</v>
      </c>
      <c r="AY13" s="23"/>
      <c r="AZ13" s="23">
        <v>2.00775738268659E-2</v>
      </c>
      <c r="BA13" s="23">
        <v>4.5757963898465502E-2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B2:BA19"/>
  <sheetViews>
    <sheetView showGridLines="0" workbookViewId="0">
      <pane xSplit="2" topLeftCell="C1" activePane="topRight" state="frozen"/>
      <selection pane="topRight" activeCell="BC17" sqref="BC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937</v>
      </c>
      <c r="D7" s="10">
        <v>381</v>
      </c>
      <c r="E7" s="10">
        <v>555</v>
      </c>
      <c r="F7" s="10"/>
      <c r="G7" s="10">
        <v>3</v>
      </c>
      <c r="H7" s="10">
        <v>79</v>
      </c>
      <c r="I7" s="10">
        <v>383</v>
      </c>
      <c r="J7" s="10">
        <v>343</v>
      </c>
      <c r="K7" s="10">
        <v>108</v>
      </c>
      <c r="L7" s="10">
        <v>21</v>
      </c>
      <c r="M7" s="10"/>
      <c r="N7" s="10">
        <v>445</v>
      </c>
      <c r="O7" s="10">
        <v>216</v>
      </c>
      <c r="P7" s="10">
        <v>134</v>
      </c>
      <c r="Q7" s="10">
        <v>139</v>
      </c>
      <c r="R7" s="10"/>
      <c r="S7" s="10">
        <v>179</v>
      </c>
      <c r="T7" s="10">
        <v>146</v>
      </c>
      <c r="U7" s="10">
        <v>68</v>
      </c>
      <c r="V7" s="10">
        <v>79</v>
      </c>
      <c r="W7" s="10">
        <v>82</v>
      </c>
      <c r="X7" s="10">
        <v>103</v>
      </c>
      <c r="Y7" s="10">
        <v>98</v>
      </c>
      <c r="Z7" s="10">
        <v>57</v>
      </c>
      <c r="AA7" s="10">
        <v>125</v>
      </c>
      <c r="AB7" s="10"/>
      <c r="AC7" s="10">
        <v>150</v>
      </c>
      <c r="AD7" s="10">
        <v>166</v>
      </c>
      <c r="AE7" s="10">
        <v>302</v>
      </c>
      <c r="AF7" s="10">
        <v>177</v>
      </c>
      <c r="AG7" s="10">
        <v>46</v>
      </c>
      <c r="AH7" s="10"/>
      <c r="AI7" s="10">
        <v>346</v>
      </c>
      <c r="AJ7" s="10">
        <v>184</v>
      </c>
      <c r="AK7" s="10">
        <v>93</v>
      </c>
      <c r="AL7" s="10">
        <v>125</v>
      </c>
      <c r="AM7" s="10">
        <v>51</v>
      </c>
      <c r="AN7" s="10">
        <v>56</v>
      </c>
      <c r="AO7" s="10"/>
      <c r="AP7" s="10">
        <v>510</v>
      </c>
      <c r="AQ7" s="10">
        <v>426</v>
      </c>
      <c r="AR7" s="10"/>
      <c r="AS7" s="10" t="s">
        <v>87</v>
      </c>
      <c r="AT7" s="10" t="s">
        <v>87</v>
      </c>
      <c r="AU7" s="10">
        <v>937</v>
      </c>
      <c r="AV7" s="10"/>
      <c r="AW7" s="10">
        <v>666</v>
      </c>
      <c r="AX7" s="10">
        <v>198</v>
      </c>
      <c r="AY7" s="10"/>
      <c r="AZ7" s="10">
        <v>776</v>
      </c>
      <c r="BA7" s="10">
        <v>160</v>
      </c>
    </row>
    <row r="8" spans="2:53" ht="30" customHeight="1" x14ac:dyDescent="0.35">
      <c r="B8" s="11" t="s">
        <v>19</v>
      </c>
      <c r="C8" s="11">
        <v>905</v>
      </c>
      <c r="D8" s="11">
        <v>444</v>
      </c>
      <c r="E8" s="11">
        <v>460</v>
      </c>
      <c r="F8" s="11"/>
      <c r="G8" s="11">
        <v>3</v>
      </c>
      <c r="H8" s="11">
        <v>68</v>
      </c>
      <c r="I8" s="11">
        <v>367</v>
      </c>
      <c r="J8" s="11">
        <v>336</v>
      </c>
      <c r="K8" s="11">
        <v>110</v>
      </c>
      <c r="L8" s="11">
        <v>23</v>
      </c>
      <c r="M8" s="11"/>
      <c r="N8" s="11">
        <v>280</v>
      </c>
      <c r="O8" s="11">
        <v>224</v>
      </c>
      <c r="P8" s="11">
        <v>204</v>
      </c>
      <c r="Q8" s="11">
        <v>195</v>
      </c>
      <c r="R8" s="11"/>
      <c r="S8" s="11">
        <v>146</v>
      </c>
      <c r="T8" s="11">
        <v>143</v>
      </c>
      <c r="U8" s="11">
        <v>87</v>
      </c>
      <c r="V8" s="11">
        <v>92</v>
      </c>
      <c r="W8" s="11">
        <v>91</v>
      </c>
      <c r="X8" s="11">
        <v>87</v>
      </c>
      <c r="Y8" s="11">
        <v>87</v>
      </c>
      <c r="Z8" s="11">
        <v>54</v>
      </c>
      <c r="AA8" s="11">
        <v>116</v>
      </c>
      <c r="AB8" s="11"/>
      <c r="AC8" s="11">
        <v>179</v>
      </c>
      <c r="AD8" s="11">
        <v>185</v>
      </c>
      <c r="AE8" s="11">
        <v>277</v>
      </c>
      <c r="AF8" s="11">
        <v>131</v>
      </c>
      <c r="AG8" s="11">
        <v>25</v>
      </c>
      <c r="AH8" s="11"/>
      <c r="AI8" s="11">
        <v>323</v>
      </c>
      <c r="AJ8" s="11">
        <v>171</v>
      </c>
      <c r="AK8" s="11">
        <v>81</v>
      </c>
      <c r="AL8" s="11">
        <v>132</v>
      </c>
      <c r="AM8" s="11">
        <v>49</v>
      </c>
      <c r="AN8" s="11">
        <v>60</v>
      </c>
      <c r="AO8" s="11"/>
      <c r="AP8" s="11">
        <v>492</v>
      </c>
      <c r="AQ8" s="11">
        <v>412</v>
      </c>
      <c r="AR8" s="11"/>
      <c r="AS8" s="11" t="s">
        <v>87</v>
      </c>
      <c r="AT8" s="11" t="s">
        <v>87</v>
      </c>
      <c r="AU8" s="11">
        <v>905</v>
      </c>
      <c r="AV8" s="11"/>
      <c r="AW8" s="11">
        <v>664</v>
      </c>
      <c r="AX8" s="11">
        <v>161</v>
      </c>
      <c r="AY8" s="11"/>
      <c r="AZ8" s="11">
        <v>746</v>
      </c>
      <c r="BA8" s="11">
        <v>158</v>
      </c>
    </row>
    <row r="9" spans="2:53" x14ac:dyDescent="0.35">
      <c r="B9" s="15" t="s">
        <v>220</v>
      </c>
      <c r="C9" s="14">
        <v>0.243476724994558</v>
      </c>
      <c r="D9" s="14">
        <v>0.31909804632078898</v>
      </c>
      <c r="E9" s="14">
        <v>0.17111590352492001</v>
      </c>
      <c r="F9" s="14"/>
      <c r="G9" s="14">
        <v>0.56074380449106598</v>
      </c>
      <c r="H9" s="14">
        <v>0.42496583731061299</v>
      </c>
      <c r="I9" s="14">
        <v>0.25175420727835701</v>
      </c>
      <c r="J9" s="14">
        <v>0.20863390504968099</v>
      </c>
      <c r="K9" s="14">
        <v>0.218948141600773</v>
      </c>
      <c r="L9" s="14">
        <v>0.16251236595915</v>
      </c>
      <c r="M9" s="14"/>
      <c r="N9" s="14">
        <v>0.28091856068915899</v>
      </c>
      <c r="O9" s="14">
        <v>0.167210665385183</v>
      </c>
      <c r="P9" s="14">
        <v>0.30078114935086098</v>
      </c>
      <c r="Q9" s="14">
        <v>0.22106846852828399</v>
      </c>
      <c r="R9" s="14"/>
      <c r="S9" s="14">
        <v>0.331904423188225</v>
      </c>
      <c r="T9" s="14">
        <v>0.213649643896627</v>
      </c>
      <c r="U9" s="14">
        <v>0.26953576163364701</v>
      </c>
      <c r="V9" s="14">
        <v>0.22296316079137701</v>
      </c>
      <c r="W9" s="14">
        <v>0.29892563871989503</v>
      </c>
      <c r="X9" s="14">
        <v>0.19884338598830201</v>
      </c>
      <c r="Y9" s="14">
        <v>0.20456738396959501</v>
      </c>
      <c r="Z9" s="14">
        <v>0.22992871624022901</v>
      </c>
      <c r="AA9" s="14">
        <v>0.191884121822328</v>
      </c>
      <c r="AB9" s="14"/>
      <c r="AC9" s="14">
        <v>0.213677358493609</v>
      </c>
      <c r="AD9" s="14">
        <v>0.190784735232393</v>
      </c>
      <c r="AE9" s="14">
        <v>0.216261100895038</v>
      </c>
      <c r="AF9" s="14">
        <v>0.36422057569267202</v>
      </c>
      <c r="AG9" s="14">
        <v>0.56699879943985199</v>
      </c>
      <c r="AH9" s="14"/>
      <c r="AI9" s="14">
        <v>0.32198914962508002</v>
      </c>
      <c r="AJ9" s="14">
        <v>0.219208163424395</v>
      </c>
      <c r="AK9" s="14">
        <v>0.22330878368547999</v>
      </c>
      <c r="AL9" s="14">
        <v>0.26877347730900503</v>
      </c>
      <c r="AM9" s="14">
        <v>0.131529922013599</v>
      </c>
      <c r="AN9" s="14">
        <v>0.16320438343046501</v>
      </c>
      <c r="AO9" s="14"/>
      <c r="AP9" s="14">
        <v>0.26205627257849401</v>
      </c>
      <c r="AQ9" s="14">
        <v>0.221658289135957</v>
      </c>
      <c r="AR9" s="14"/>
      <c r="AS9" s="14" t="s">
        <v>88</v>
      </c>
      <c r="AT9" s="14" t="s">
        <v>88</v>
      </c>
      <c r="AU9" s="14">
        <v>0.243476724994558</v>
      </c>
      <c r="AV9" s="14"/>
      <c r="AW9" s="14">
        <v>0.23426266970159501</v>
      </c>
      <c r="AX9" s="14">
        <v>0.34763915641967003</v>
      </c>
      <c r="AY9" s="14"/>
      <c r="AZ9" s="14">
        <v>0.27796924553247998</v>
      </c>
      <c r="BA9" s="14">
        <v>7.6145516153477505E-2</v>
      </c>
    </row>
    <row r="10" spans="2:53" x14ac:dyDescent="0.35">
      <c r="B10" s="15" t="s">
        <v>221</v>
      </c>
      <c r="C10" s="14">
        <v>0.431835447245419</v>
      </c>
      <c r="D10" s="14">
        <v>0.411276281561052</v>
      </c>
      <c r="E10" s="14">
        <v>0.45041762880979702</v>
      </c>
      <c r="F10" s="14"/>
      <c r="G10" s="14">
        <v>0</v>
      </c>
      <c r="H10" s="14">
        <v>0.31019328660210799</v>
      </c>
      <c r="I10" s="14">
        <v>0.456622859334334</v>
      </c>
      <c r="J10" s="14">
        <v>0.44305356481157798</v>
      </c>
      <c r="K10" s="14">
        <v>0.38318177324420299</v>
      </c>
      <c r="L10" s="14">
        <v>0.51742224626192301</v>
      </c>
      <c r="M10" s="14"/>
      <c r="N10" s="14">
        <v>0.434929266836453</v>
      </c>
      <c r="O10" s="14">
        <v>0.435836830677795</v>
      </c>
      <c r="P10" s="14">
        <v>0.45788329052764298</v>
      </c>
      <c r="Q10" s="14">
        <v>0.39117455194193501</v>
      </c>
      <c r="R10" s="14"/>
      <c r="S10" s="14">
        <v>0.402822945450935</v>
      </c>
      <c r="T10" s="14">
        <v>0.40116850952060801</v>
      </c>
      <c r="U10" s="14">
        <v>0.39797790710440001</v>
      </c>
      <c r="V10" s="14">
        <v>0.47832605827591501</v>
      </c>
      <c r="W10" s="14">
        <v>0.38921752800819498</v>
      </c>
      <c r="X10" s="14">
        <v>0.45795540614281899</v>
      </c>
      <c r="Y10" s="14">
        <v>0.40296234887929799</v>
      </c>
      <c r="Z10" s="14">
        <v>0.45269594860293899</v>
      </c>
      <c r="AA10" s="14">
        <v>0.51998691355996196</v>
      </c>
      <c r="AB10" s="14"/>
      <c r="AC10" s="14">
        <v>0.38147307029894201</v>
      </c>
      <c r="AD10" s="14">
        <v>0.48089312092287201</v>
      </c>
      <c r="AE10" s="14">
        <v>0.50020704492283297</v>
      </c>
      <c r="AF10" s="14">
        <v>0.427860925754597</v>
      </c>
      <c r="AG10" s="14">
        <v>0.24239850129639501</v>
      </c>
      <c r="AH10" s="14"/>
      <c r="AI10" s="14">
        <v>0.39929529666860702</v>
      </c>
      <c r="AJ10" s="14">
        <v>0.51346622724424695</v>
      </c>
      <c r="AK10" s="14">
        <v>0.47179030647856401</v>
      </c>
      <c r="AL10" s="14">
        <v>0.30372879355105997</v>
      </c>
      <c r="AM10" s="14">
        <v>0.46719544899239601</v>
      </c>
      <c r="AN10" s="14">
        <v>0.435884981877046</v>
      </c>
      <c r="AO10" s="14"/>
      <c r="AP10" s="14">
        <v>0.44123424551187401</v>
      </c>
      <c r="AQ10" s="14">
        <v>0.421282823388687</v>
      </c>
      <c r="AR10" s="14"/>
      <c r="AS10" s="14" t="s">
        <v>88</v>
      </c>
      <c r="AT10" s="14" t="s">
        <v>88</v>
      </c>
      <c r="AU10" s="14">
        <v>0.431835447245419</v>
      </c>
      <c r="AV10" s="14"/>
      <c r="AW10" s="14">
        <v>0.42075612809083401</v>
      </c>
      <c r="AX10" s="14">
        <v>0.43550502897198901</v>
      </c>
      <c r="AY10" s="14"/>
      <c r="AZ10" s="14">
        <v>0.45005094649353899</v>
      </c>
      <c r="BA10" s="14">
        <v>0.34901936185461202</v>
      </c>
    </row>
    <row r="11" spans="2:53" x14ac:dyDescent="0.35">
      <c r="B11" s="15" t="s">
        <v>222</v>
      </c>
      <c r="C11" s="14">
        <v>0.19542514988022899</v>
      </c>
      <c r="D11" s="14">
        <v>0.14992119415660901</v>
      </c>
      <c r="E11" s="14">
        <v>0.239710015354242</v>
      </c>
      <c r="F11" s="14"/>
      <c r="G11" s="14">
        <v>0.43925619550893402</v>
      </c>
      <c r="H11" s="14">
        <v>0.20565470093318</v>
      </c>
      <c r="I11" s="14">
        <v>0.17765100688060201</v>
      </c>
      <c r="J11" s="14">
        <v>0.219539571287859</v>
      </c>
      <c r="K11" s="14">
        <v>0.16918190675964201</v>
      </c>
      <c r="L11" s="14">
        <v>0.191392512548549</v>
      </c>
      <c r="M11" s="14"/>
      <c r="N11" s="14">
        <v>0.15834253724883399</v>
      </c>
      <c r="O11" s="14">
        <v>0.243902711406976</v>
      </c>
      <c r="P11" s="14">
        <v>0.15707310508726</v>
      </c>
      <c r="Q11" s="14">
        <v>0.23581365428954501</v>
      </c>
      <c r="R11" s="14"/>
      <c r="S11" s="14">
        <v>0.15982760921547201</v>
      </c>
      <c r="T11" s="14">
        <v>0.22172286593514501</v>
      </c>
      <c r="U11" s="14">
        <v>0.18238342342474201</v>
      </c>
      <c r="V11" s="14">
        <v>0.20862810397090301</v>
      </c>
      <c r="W11" s="14">
        <v>0.19003634396118799</v>
      </c>
      <c r="X11" s="14">
        <v>0.18203794733652001</v>
      </c>
      <c r="Y11" s="14">
        <v>0.23842379705928099</v>
      </c>
      <c r="Z11" s="14">
        <v>0.20682264973144099</v>
      </c>
      <c r="AA11" s="14">
        <v>0.183556552524826</v>
      </c>
      <c r="AB11" s="14"/>
      <c r="AC11" s="14">
        <v>0.27892772118758602</v>
      </c>
      <c r="AD11" s="14">
        <v>0.18950025880212301</v>
      </c>
      <c r="AE11" s="14">
        <v>0.17359103540274901</v>
      </c>
      <c r="AF11" s="14">
        <v>8.0810778793395197E-2</v>
      </c>
      <c r="AG11" s="14">
        <v>0.14994267741286599</v>
      </c>
      <c r="AH11" s="14"/>
      <c r="AI11" s="14">
        <v>0.15830403645430999</v>
      </c>
      <c r="AJ11" s="14">
        <v>0.15679145453811599</v>
      </c>
      <c r="AK11" s="14">
        <v>0.159151941723322</v>
      </c>
      <c r="AL11" s="14">
        <v>0.27014009088989799</v>
      </c>
      <c r="AM11" s="14">
        <v>0.26891546404649402</v>
      </c>
      <c r="AN11" s="14">
        <v>0.25487721762384502</v>
      </c>
      <c r="AO11" s="14"/>
      <c r="AP11" s="14">
        <v>0.16558265819218701</v>
      </c>
      <c r="AQ11" s="14">
        <v>0.22982072926287</v>
      </c>
      <c r="AR11" s="14"/>
      <c r="AS11" s="14" t="s">
        <v>88</v>
      </c>
      <c r="AT11" s="14" t="s">
        <v>88</v>
      </c>
      <c r="AU11" s="14">
        <v>0.19542514988022899</v>
      </c>
      <c r="AV11" s="14"/>
      <c r="AW11" s="14">
        <v>0.21176339424548399</v>
      </c>
      <c r="AX11" s="14">
        <v>9.6950310026504102E-2</v>
      </c>
      <c r="AY11" s="14"/>
      <c r="AZ11" s="14">
        <v>0.158526994427163</v>
      </c>
      <c r="BA11" s="14">
        <v>0.37032748725005299</v>
      </c>
    </row>
    <row r="12" spans="2:53" x14ac:dyDescent="0.35">
      <c r="B12" s="15" t="s">
        <v>223</v>
      </c>
      <c r="C12" s="14">
        <v>4.5863392398287198E-2</v>
      </c>
      <c r="D12" s="14">
        <v>2.6336295352902099E-2</v>
      </c>
      <c r="E12" s="14">
        <v>6.4784786502143907E-2</v>
      </c>
      <c r="F12" s="14"/>
      <c r="G12" s="14">
        <v>0</v>
      </c>
      <c r="H12" s="14">
        <v>2.8932025353051598E-2</v>
      </c>
      <c r="I12" s="14">
        <v>4.3380957643732801E-2</v>
      </c>
      <c r="J12" s="14">
        <v>3.75035508194696E-2</v>
      </c>
      <c r="K12" s="14">
        <v>7.4381062370125706E-2</v>
      </c>
      <c r="L12" s="14">
        <v>0.12867287523037799</v>
      </c>
      <c r="M12" s="14"/>
      <c r="N12" s="14">
        <v>3.8148981328269799E-2</v>
      </c>
      <c r="O12" s="14">
        <v>4.7115874525029897E-2</v>
      </c>
      <c r="P12" s="14">
        <v>3.9695503358453101E-2</v>
      </c>
      <c r="Q12" s="14">
        <v>5.8778063589516101E-2</v>
      </c>
      <c r="R12" s="14"/>
      <c r="S12" s="14">
        <v>4.6255056620700397E-2</v>
      </c>
      <c r="T12" s="14">
        <v>3.9954114793208199E-2</v>
      </c>
      <c r="U12" s="14">
        <v>1.7134603441892202E-2</v>
      </c>
      <c r="V12" s="14">
        <v>1.6455208326371099E-2</v>
      </c>
      <c r="W12" s="14">
        <v>5.52362110299972E-2</v>
      </c>
      <c r="X12" s="14">
        <v>7.8907916528715302E-2</v>
      </c>
      <c r="Y12" s="14">
        <v>6.3735927120583097E-2</v>
      </c>
      <c r="Z12" s="14">
        <v>8.2936587038675805E-2</v>
      </c>
      <c r="AA12" s="14">
        <v>3.4747053987970802E-2</v>
      </c>
      <c r="AB12" s="14"/>
      <c r="AC12" s="14">
        <v>4.7736384585251299E-2</v>
      </c>
      <c r="AD12" s="14">
        <v>6.7822537047037695E-2</v>
      </c>
      <c r="AE12" s="14">
        <v>3.2173941382491703E-2</v>
      </c>
      <c r="AF12" s="14">
        <v>3.5510741523626099E-2</v>
      </c>
      <c r="AG12" s="14">
        <v>0</v>
      </c>
      <c r="AH12" s="14"/>
      <c r="AI12" s="14">
        <v>4.63563628400235E-2</v>
      </c>
      <c r="AJ12" s="14">
        <v>3.1797213198855097E-2</v>
      </c>
      <c r="AK12" s="14">
        <v>1.88843674369778E-2</v>
      </c>
      <c r="AL12" s="14">
        <v>7.88971231152822E-2</v>
      </c>
      <c r="AM12" s="14">
        <v>5.09121701092159E-2</v>
      </c>
      <c r="AN12" s="14">
        <v>2.11122726607243E-2</v>
      </c>
      <c r="AO12" s="14"/>
      <c r="AP12" s="14">
        <v>4.8885949965068697E-2</v>
      </c>
      <c r="AQ12" s="14">
        <v>4.2323745344377099E-2</v>
      </c>
      <c r="AR12" s="14"/>
      <c r="AS12" s="14" t="s">
        <v>88</v>
      </c>
      <c r="AT12" s="14" t="s">
        <v>88</v>
      </c>
      <c r="AU12" s="14">
        <v>4.5863392398287198E-2</v>
      </c>
      <c r="AV12" s="14"/>
      <c r="AW12" s="14">
        <v>4.8785695993267E-2</v>
      </c>
      <c r="AX12" s="14">
        <v>3.7042362394563502E-2</v>
      </c>
      <c r="AY12" s="14"/>
      <c r="AZ12" s="14">
        <v>3.0211045736367001E-2</v>
      </c>
      <c r="BA12" s="14">
        <v>0.11981035136059601</v>
      </c>
    </row>
    <row r="13" spans="2:53" x14ac:dyDescent="0.35">
      <c r="B13" s="15" t="s">
        <v>116</v>
      </c>
      <c r="C13" s="18">
        <v>1.3798055796044701E-2</v>
      </c>
      <c r="D13" s="18">
        <v>8.8800525795229793E-3</v>
      </c>
      <c r="E13" s="18">
        <v>1.8568391461598301E-2</v>
      </c>
      <c r="F13" s="18"/>
      <c r="G13" s="18">
        <v>0</v>
      </c>
      <c r="H13" s="18">
        <v>1.04917162905381E-2</v>
      </c>
      <c r="I13" s="18">
        <v>1.40127625244957E-2</v>
      </c>
      <c r="J13" s="18">
        <v>1.54075252029333E-2</v>
      </c>
      <c r="K13" s="18">
        <v>1.33892967444139E-2</v>
      </c>
      <c r="L13" s="18">
        <v>0</v>
      </c>
      <c r="M13" s="18"/>
      <c r="N13" s="18">
        <v>1.20213310481524E-2</v>
      </c>
      <c r="O13" s="18">
        <v>2.51994753169149E-2</v>
      </c>
      <c r="P13" s="18">
        <v>1.71412666476124E-2</v>
      </c>
      <c r="Q13" s="18">
        <v>0</v>
      </c>
      <c r="R13" s="18"/>
      <c r="S13" s="18">
        <v>1.9177930724297701E-2</v>
      </c>
      <c r="T13" s="18">
        <v>4.6059662182734397E-3</v>
      </c>
      <c r="U13" s="18">
        <v>0</v>
      </c>
      <c r="V13" s="18">
        <v>2.2205707519356001E-2</v>
      </c>
      <c r="W13" s="18">
        <v>9.76141728712656E-3</v>
      </c>
      <c r="X13" s="18">
        <v>3.2495900289342301E-2</v>
      </c>
      <c r="Y13" s="18">
        <v>8.40446176514896E-3</v>
      </c>
      <c r="Z13" s="18">
        <v>1.39645820312038E-2</v>
      </c>
      <c r="AA13" s="18">
        <v>1.51660238665868E-2</v>
      </c>
      <c r="AB13" s="18"/>
      <c r="AC13" s="18">
        <v>4.9403348525224001E-3</v>
      </c>
      <c r="AD13" s="18">
        <v>1.18063908762238E-2</v>
      </c>
      <c r="AE13" s="18">
        <v>3.1747185626460402E-2</v>
      </c>
      <c r="AF13" s="18">
        <v>0</v>
      </c>
      <c r="AG13" s="18">
        <v>0</v>
      </c>
      <c r="AH13" s="18"/>
      <c r="AI13" s="18">
        <v>1.6972318324287802E-2</v>
      </c>
      <c r="AJ13" s="18">
        <v>1.37627652776303E-2</v>
      </c>
      <c r="AK13" s="18">
        <v>3.4148228474791001E-2</v>
      </c>
      <c r="AL13" s="18">
        <v>8.69045855804048E-3</v>
      </c>
      <c r="AM13" s="18">
        <v>0</v>
      </c>
      <c r="AN13" s="18">
        <v>0</v>
      </c>
      <c r="AO13" s="18"/>
      <c r="AP13" s="18">
        <v>1.1124488249795001E-2</v>
      </c>
      <c r="AQ13" s="18">
        <v>1.70143659498532E-2</v>
      </c>
      <c r="AR13" s="18"/>
      <c r="AS13" s="18" t="s">
        <v>88</v>
      </c>
      <c r="AT13" s="18" t="s">
        <v>88</v>
      </c>
      <c r="AU13" s="18">
        <v>1.3798055796044701E-2</v>
      </c>
      <c r="AV13" s="18"/>
      <c r="AW13" s="18">
        <v>9.6852065141522399E-3</v>
      </c>
      <c r="AX13" s="18">
        <v>1.7981962868418501E-2</v>
      </c>
      <c r="AY13" s="18"/>
      <c r="AZ13" s="18">
        <v>1.17896657864765E-2</v>
      </c>
      <c r="BA13" s="18">
        <v>2.3339208717011398E-2</v>
      </c>
    </row>
    <row r="14" spans="2:53" x14ac:dyDescent="0.35">
      <c r="B14" s="26" t="s">
        <v>224</v>
      </c>
      <c r="C14" s="27">
        <v>0.67531217223997697</v>
      </c>
      <c r="D14" s="27">
        <v>0.73037432788184098</v>
      </c>
      <c r="E14" s="27">
        <v>0.62153353233471698</v>
      </c>
      <c r="F14" s="27"/>
      <c r="G14" s="27">
        <v>0.56074380449106598</v>
      </c>
      <c r="H14" s="27">
        <v>0.73515912391272098</v>
      </c>
      <c r="I14" s="27">
        <v>0.70837706661269195</v>
      </c>
      <c r="J14" s="27">
        <v>0.65168746986125903</v>
      </c>
      <c r="K14" s="27">
        <v>0.60212991484497602</v>
      </c>
      <c r="L14" s="27">
        <v>0.67993461222107299</v>
      </c>
      <c r="M14" s="27"/>
      <c r="N14" s="27">
        <v>0.71584782752561305</v>
      </c>
      <c r="O14" s="27">
        <v>0.60304749606297803</v>
      </c>
      <c r="P14" s="27">
        <v>0.75866443987850396</v>
      </c>
      <c r="Q14" s="27">
        <v>0.61224302047021895</v>
      </c>
      <c r="R14" s="27"/>
      <c r="S14" s="27">
        <v>0.73472736863915999</v>
      </c>
      <c r="T14" s="27">
        <v>0.614818153417234</v>
      </c>
      <c r="U14" s="27">
        <v>0.66751366873804796</v>
      </c>
      <c r="V14" s="27">
        <v>0.70128921906729202</v>
      </c>
      <c r="W14" s="27">
        <v>0.68814316672808995</v>
      </c>
      <c r="X14" s="27">
        <v>0.65679879213112202</v>
      </c>
      <c r="Y14" s="27">
        <v>0.607529732848894</v>
      </c>
      <c r="Z14" s="27">
        <v>0.68262466484316797</v>
      </c>
      <c r="AA14" s="27">
        <v>0.71187103538229002</v>
      </c>
      <c r="AB14" s="27"/>
      <c r="AC14" s="27">
        <v>0.59515042879255198</v>
      </c>
      <c r="AD14" s="27">
        <v>0.67167785615526499</v>
      </c>
      <c r="AE14" s="27">
        <v>0.71646814581787099</v>
      </c>
      <c r="AF14" s="27">
        <v>0.79208150144726797</v>
      </c>
      <c r="AG14" s="27">
        <v>0.80939730073624705</v>
      </c>
      <c r="AH14" s="27"/>
      <c r="AI14" s="27">
        <v>0.72128444629368704</v>
      </c>
      <c r="AJ14" s="27">
        <v>0.73267439066864304</v>
      </c>
      <c r="AK14" s="27">
        <v>0.69509909016404403</v>
      </c>
      <c r="AL14" s="27">
        <v>0.572502270860065</v>
      </c>
      <c r="AM14" s="27">
        <v>0.59872537100599499</v>
      </c>
      <c r="AN14" s="27">
        <v>0.599089365307511</v>
      </c>
      <c r="AO14" s="27"/>
      <c r="AP14" s="27">
        <v>0.70329051809036802</v>
      </c>
      <c r="AQ14" s="27">
        <v>0.64294111252464403</v>
      </c>
      <c r="AR14" s="27"/>
      <c r="AS14" s="27" t="s">
        <v>88</v>
      </c>
      <c r="AT14" s="27" t="s">
        <v>88</v>
      </c>
      <c r="AU14" s="27">
        <v>0.67531217223997697</v>
      </c>
      <c r="AV14" s="27"/>
      <c r="AW14" s="27">
        <v>0.655018797792429</v>
      </c>
      <c r="AX14" s="27">
        <v>0.78314418539165997</v>
      </c>
      <c r="AY14" s="27"/>
      <c r="AZ14" s="27">
        <v>0.72802019202601997</v>
      </c>
      <c r="BA14" s="27">
        <v>0.425164878008089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154</v>
      </c>
      <c r="C9" s="14">
        <v>0.52603891575170203</v>
      </c>
      <c r="D9" s="14">
        <v>0.53759271010113396</v>
      </c>
      <c r="E9" s="14">
        <v>0.51539219351261301</v>
      </c>
      <c r="F9" s="14"/>
      <c r="G9" s="14">
        <v>0.56074380449106598</v>
      </c>
      <c r="H9" s="14">
        <v>0.51092838910732297</v>
      </c>
      <c r="I9" s="14">
        <v>0.56255234271479304</v>
      </c>
      <c r="J9" s="14">
        <v>0.50538825873794002</v>
      </c>
      <c r="K9" s="14">
        <v>0.47166846441924998</v>
      </c>
      <c r="L9" s="14">
        <v>0.60312531604224495</v>
      </c>
      <c r="M9" s="14"/>
      <c r="N9" s="14">
        <v>0.618151599792787</v>
      </c>
      <c r="O9" s="14">
        <v>0.529500298673239</v>
      </c>
      <c r="P9" s="14">
        <v>0.50660907779585096</v>
      </c>
      <c r="Q9" s="14">
        <v>0.43497829033852098</v>
      </c>
      <c r="R9" s="14"/>
      <c r="S9" s="14">
        <v>0.56768600472337205</v>
      </c>
      <c r="T9" s="14">
        <v>0.50828848137669103</v>
      </c>
      <c r="U9" s="14">
        <v>0.48000703532387801</v>
      </c>
      <c r="V9" s="14">
        <v>0.46682359582802402</v>
      </c>
      <c r="W9" s="14">
        <v>0.50208941799548901</v>
      </c>
      <c r="X9" s="14">
        <v>0.56387248895259001</v>
      </c>
      <c r="Y9" s="14">
        <v>0.53641343340492298</v>
      </c>
      <c r="Z9" s="14">
        <v>0.56486609361167905</v>
      </c>
      <c r="AA9" s="14">
        <v>0.54808673510635597</v>
      </c>
      <c r="AB9" s="14"/>
      <c r="AC9" s="14">
        <v>0.38960944004867598</v>
      </c>
      <c r="AD9" s="14">
        <v>0.55549934246979704</v>
      </c>
      <c r="AE9" s="14">
        <v>0.58030168558345696</v>
      </c>
      <c r="AF9" s="14">
        <v>0.71003604863994796</v>
      </c>
      <c r="AG9" s="14">
        <v>0.812007991400021</v>
      </c>
      <c r="AH9" s="14"/>
      <c r="AI9" s="14">
        <v>0.55960863762031599</v>
      </c>
      <c r="AJ9" s="14">
        <v>0.62748734828758901</v>
      </c>
      <c r="AK9" s="14">
        <v>0.54783698081196197</v>
      </c>
      <c r="AL9" s="14">
        <v>0.44782810905042197</v>
      </c>
      <c r="AM9" s="14">
        <v>0.54187855106263805</v>
      </c>
      <c r="AN9" s="14">
        <v>0.429522082904083</v>
      </c>
      <c r="AO9" s="14"/>
      <c r="AP9" s="14">
        <v>0.54888968609693101</v>
      </c>
      <c r="AQ9" s="14">
        <v>0.50257366564242101</v>
      </c>
      <c r="AR9" s="14"/>
      <c r="AS9" s="14" t="s">
        <v>88</v>
      </c>
      <c r="AT9" s="14" t="s">
        <v>88</v>
      </c>
      <c r="AU9" s="14">
        <v>0.52603891575170203</v>
      </c>
      <c r="AV9" s="14"/>
      <c r="AW9" s="14">
        <v>0.52580106692697803</v>
      </c>
      <c r="AX9" s="14">
        <v>0.68032176865162397</v>
      </c>
      <c r="AY9" s="14"/>
      <c r="AZ9" s="14">
        <v>0.56720086282505899</v>
      </c>
      <c r="BA9" s="14">
        <v>0.378478588530618</v>
      </c>
    </row>
    <row r="10" spans="2:53" x14ac:dyDescent="0.35">
      <c r="B10" s="15" t="s">
        <v>155</v>
      </c>
      <c r="C10" s="14">
        <v>0.20848393576569399</v>
      </c>
      <c r="D10" s="14">
        <v>0.21798944214402599</v>
      </c>
      <c r="E10" s="14">
        <v>0.19787659725216</v>
      </c>
      <c r="F10" s="14"/>
      <c r="G10" s="14">
        <v>0</v>
      </c>
      <c r="H10" s="14">
        <v>0.30295216112562201</v>
      </c>
      <c r="I10" s="14">
        <v>0.19913583112898001</v>
      </c>
      <c r="J10" s="14">
        <v>0.19635130957522001</v>
      </c>
      <c r="K10" s="14">
        <v>0.22610790126549099</v>
      </c>
      <c r="L10" s="14">
        <v>0.155305891974199</v>
      </c>
      <c r="M10" s="14"/>
      <c r="N10" s="14">
        <v>0.18499479627389301</v>
      </c>
      <c r="O10" s="14">
        <v>0.17536795566213401</v>
      </c>
      <c r="P10" s="14">
        <v>0.20237433837577701</v>
      </c>
      <c r="Q10" s="14">
        <v>0.27826448166464701</v>
      </c>
      <c r="R10" s="14"/>
      <c r="S10" s="14">
        <v>0.21049577291268901</v>
      </c>
      <c r="T10" s="14">
        <v>0.21513472850622201</v>
      </c>
      <c r="U10" s="14">
        <v>0.238609607468732</v>
      </c>
      <c r="V10" s="14">
        <v>0.16788226251383201</v>
      </c>
      <c r="W10" s="14">
        <v>0.21981624836067901</v>
      </c>
      <c r="X10" s="14">
        <v>0.16073519680204101</v>
      </c>
      <c r="Y10" s="14">
        <v>0.233263853165188</v>
      </c>
      <c r="Z10" s="14">
        <v>0.220298367324018</v>
      </c>
      <c r="AA10" s="14">
        <v>0.21499066554782001</v>
      </c>
      <c r="AB10" s="14"/>
      <c r="AC10" s="14">
        <v>0.25029052179716199</v>
      </c>
      <c r="AD10" s="14">
        <v>0.21893030737482799</v>
      </c>
      <c r="AE10" s="14">
        <v>0.17520354006451699</v>
      </c>
      <c r="AF10" s="14">
        <v>0.18486751724702499</v>
      </c>
      <c r="AG10" s="14">
        <v>0.11434862267978101</v>
      </c>
      <c r="AH10" s="14"/>
      <c r="AI10" s="14">
        <v>0.22051574401618801</v>
      </c>
      <c r="AJ10" s="14">
        <v>0.2054563457263</v>
      </c>
      <c r="AK10" s="14">
        <v>0.13951636723278099</v>
      </c>
      <c r="AL10" s="14">
        <v>0.19599934454308399</v>
      </c>
      <c r="AM10" s="14">
        <v>0.28132444225059899</v>
      </c>
      <c r="AN10" s="14">
        <v>0.147836065162083</v>
      </c>
      <c r="AO10" s="14"/>
      <c r="AP10" s="14">
        <v>0.20068321380809201</v>
      </c>
      <c r="AQ10" s="14">
        <v>0.21741696089691101</v>
      </c>
      <c r="AR10" s="14"/>
      <c r="AS10" s="14" t="s">
        <v>88</v>
      </c>
      <c r="AT10" s="14" t="s">
        <v>88</v>
      </c>
      <c r="AU10" s="14">
        <v>0.20848393576569399</v>
      </c>
      <c r="AV10" s="14"/>
      <c r="AW10" s="14">
        <v>0.19892407490398201</v>
      </c>
      <c r="AX10" s="14">
        <v>0.18628365964277899</v>
      </c>
      <c r="AY10" s="14"/>
      <c r="AZ10" s="14">
        <v>0.21488088824880999</v>
      </c>
      <c r="BA10" s="14">
        <v>0.187528846172379</v>
      </c>
    </row>
    <row r="11" spans="2:53" x14ac:dyDescent="0.35">
      <c r="B11" s="15" t="s">
        <v>116</v>
      </c>
      <c r="C11" s="23">
        <v>0.26547714848260401</v>
      </c>
      <c r="D11" s="23">
        <v>0.24441784775483999</v>
      </c>
      <c r="E11" s="23">
        <v>0.28673120923522699</v>
      </c>
      <c r="F11" s="23"/>
      <c r="G11" s="23">
        <v>0.43925619550893402</v>
      </c>
      <c r="H11" s="23">
        <v>0.186119449767055</v>
      </c>
      <c r="I11" s="23">
        <v>0.23831182615622701</v>
      </c>
      <c r="J11" s="23">
        <v>0.29826043168683902</v>
      </c>
      <c r="K11" s="23">
        <v>0.302223634315259</v>
      </c>
      <c r="L11" s="23">
        <v>0.24156879198355699</v>
      </c>
      <c r="M11" s="23"/>
      <c r="N11" s="23">
        <v>0.19685360393331999</v>
      </c>
      <c r="O11" s="23">
        <v>0.29513174566462702</v>
      </c>
      <c r="P11" s="23">
        <v>0.29101658382837098</v>
      </c>
      <c r="Q11" s="23">
        <v>0.28675722799683201</v>
      </c>
      <c r="R11" s="23"/>
      <c r="S11" s="23">
        <v>0.221818222363938</v>
      </c>
      <c r="T11" s="23">
        <v>0.27657679011708702</v>
      </c>
      <c r="U11" s="23">
        <v>0.28138335720738999</v>
      </c>
      <c r="V11" s="23">
        <v>0.365294141658144</v>
      </c>
      <c r="W11" s="23">
        <v>0.27809433364383201</v>
      </c>
      <c r="X11" s="23">
        <v>0.27539231424536897</v>
      </c>
      <c r="Y11" s="23">
        <v>0.230322713429889</v>
      </c>
      <c r="Z11" s="23">
        <v>0.214835539064303</v>
      </c>
      <c r="AA11" s="23">
        <v>0.23692259934582399</v>
      </c>
      <c r="AB11" s="23"/>
      <c r="AC11" s="23">
        <v>0.36010003815416097</v>
      </c>
      <c r="AD11" s="23">
        <v>0.22557035015537599</v>
      </c>
      <c r="AE11" s="23">
        <v>0.24449477435202599</v>
      </c>
      <c r="AF11" s="23">
        <v>0.10509643411302701</v>
      </c>
      <c r="AG11" s="23">
        <v>7.3643385920198506E-2</v>
      </c>
      <c r="AH11" s="23"/>
      <c r="AI11" s="23">
        <v>0.21987561836349601</v>
      </c>
      <c r="AJ11" s="23">
        <v>0.16705630598611099</v>
      </c>
      <c r="AK11" s="23">
        <v>0.31264665195525698</v>
      </c>
      <c r="AL11" s="23">
        <v>0.35617254640649398</v>
      </c>
      <c r="AM11" s="23">
        <v>0.17679700668676299</v>
      </c>
      <c r="AN11" s="23">
        <v>0.42264185193383402</v>
      </c>
      <c r="AO11" s="23"/>
      <c r="AP11" s="23">
        <v>0.25042710009497698</v>
      </c>
      <c r="AQ11" s="23">
        <v>0.28000937346066801</v>
      </c>
      <c r="AR11" s="23"/>
      <c r="AS11" s="23" t="s">
        <v>88</v>
      </c>
      <c r="AT11" s="23" t="s">
        <v>88</v>
      </c>
      <c r="AU11" s="23">
        <v>0.26547714848260401</v>
      </c>
      <c r="AV11" s="23"/>
      <c r="AW11" s="23">
        <v>0.27527485816904002</v>
      </c>
      <c r="AX11" s="23">
        <v>0.13339457170559699</v>
      </c>
      <c r="AY11" s="23"/>
      <c r="AZ11" s="23">
        <v>0.21791824892613099</v>
      </c>
      <c r="BA11" s="23">
        <v>0.43399256529700297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B2:BA18"/>
  <sheetViews>
    <sheetView showGridLines="0" workbookViewId="0">
      <pane xSplit="2" topLeftCell="C1" activePane="topRight" state="frozen"/>
      <selection pane="topRight" activeCell="D13" sqref="D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739</v>
      </c>
      <c r="D7" s="10">
        <v>315</v>
      </c>
      <c r="E7" s="10">
        <v>424</v>
      </c>
      <c r="F7" s="10"/>
      <c r="G7" s="10">
        <v>2</v>
      </c>
      <c r="H7" s="10">
        <v>68</v>
      </c>
      <c r="I7" s="10">
        <v>314</v>
      </c>
      <c r="J7" s="10">
        <v>262</v>
      </c>
      <c r="K7" s="10">
        <v>77</v>
      </c>
      <c r="L7" s="10">
        <v>16</v>
      </c>
      <c r="M7" s="10"/>
      <c r="N7" s="10">
        <v>368</v>
      </c>
      <c r="O7" s="10">
        <v>164</v>
      </c>
      <c r="P7" s="10">
        <v>104</v>
      </c>
      <c r="Q7" s="10">
        <v>100</v>
      </c>
      <c r="R7" s="10"/>
      <c r="S7" s="10">
        <v>142</v>
      </c>
      <c r="T7" s="10">
        <v>109</v>
      </c>
      <c r="U7" s="10">
        <v>52</v>
      </c>
      <c r="V7" s="10">
        <v>61</v>
      </c>
      <c r="W7" s="10">
        <v>59</v>
      </c>
      <c r="X7" s="10">
        <v>88</v>
      </c>
      <c r="Y7" s="10">
        <v>86</v>
      </c>
      <c r="Z7" s="10">
        <v>40</v>
      </c>
      <c r="AA7" s="10">
        <v>102</v>
      </c>
      <c r="AB7" s="10"/>
      <c r="AC7" s="10">
        <v>103</v>
      </c>
      <c r="AD7" s="10">
        <v>140</v>
      </c>
      <c r="AE7" s="10">
        <v>227</v>
      </c>
      <c r="AF7" s="10">
        <v>172</v>
      </c>
      <c r="AG7" s="10">
        <v>41</v>
      </c>
      <c r="AH7" s="10"/>
      <c r="AI7" s="10">
        <v>281</v>
      </c>
      <c r="AJ7" s="10">
        <v>158</v>
      </c>
      <c r="AK7" s="10">
        <v>73</v>
      </c>
      <c r="AL7" s="10">
        <v>98</v>
      </c>
      <c r="AM7" s="10">
        <v>38</v>
      </c>
      <c r="AN7" s="10">
        <v>42</v>
      </c>
      <c r="AO7" s="10"/>
      <c r="AP7" s="10">
        <v>419</v>
      </c>
      <c r="AQ7" s="10">
        <v>320</v>
      </c>
      <c r="AR7" s="10"/>
      <c r="AS7" s="10" t="s">
        <v>87</v>
      </c>
      <c r="AT7" s="10" t="s">
        <v>87</v>
      </c>
      <c r="AU7" s="10">
        <v>739</v>
      </c>
      <c r="AV7" s="10"/>
      <c r="AW7" s="10">
        <v>524</v>
      </c>
      <c r="AX7" s="10">
        <v>176</v>
      </c>
      <c r="AY7" s="10"/>
      <c r="AZ7" s="10">
        <v>627</v>
      </c>
      <c r="BA7" s="10">
        <v>111</v>
      </c>
    </row>
    <row r="8" spans="2:53" ht="30" customHeight="1" x14ac:dyDescent="0.35">
      <c r="B8" s="11" t="s">
        <v>19</v>
      </c>
      <c r="C8" s="11">
        <v>694</v>
      </c>
      <c r="D8" s="11">
        <v>353</v>
      </c>
      <c r="E8" s="11">
        <v>341</v>
      </c>
      <c r="F8" s="11"/>
      <c r="G8" s="11">
        <v>2</v>
      </c>
      <c r="H8" s="11">
        <v>55</v>
      </c>
      <c r="I8" s="11">
        <v>288</v>
      </c>
      <c r="J8" s="11">
        <v>256</v>
      </c>
      <c r="K8" s="11">
        <v>77</v>
      </c>
      <c r="L8" s="11">
        <v>17</v>
      </c>
      <c r="M8" s="11"/>
      <c r="N8" s="11">
        <v>226</v>
      </c>
      <c r="O8" s="11">
        <v>172</v>
      </c>
      <c r="P8" s="11">
        <v>155</v>
      </c>
      <c r="Q8" s="11">
        <v>139</v>
      </c>
      <c r="R8" s="11"/>
      <c r="S8" s="11">
        <v>114</v>
      </c>
      <c r="T8" s="11">
        <v>103</v>
      </c>
      <c r="U8" s="11">
        <v>62</v>
      </c>
      <c r="V8" s="11">
        <v>69</v>
      </c>
      <c r="W8" s="11">
        <v>64</v>
      </c>
      <c r="X8" s="11">
        <v>76</v>
      </c>
      <c r="Y8" s="11">
        <v>73</v>
      </c>
      <c r="Z8" s="11">
        <v>39</v>
      </c>
      <c r="AA8" s="11">
        <v>94</v>
      </c>
      <c r="AB8" s="11"/>
      <c r="AC8" s="11">
        <v>120</v>
      </c>
      <c r="AD8" s="11">
        <v>153</v>
      </c>
      <c r="AE8" s="11">
        <v>210</v>
      </c>
      <c r="AF8" s="11">
        <v>127</v>
      </c>
      <c r="AG8" s="11">
        <v>23</v>
      </c>
      <c r="AH8" s="11"/>
      <c r="AI8" s="11">
        <v>253</v>
      </c>
      <c r="AJ8" s="11">
        <v>148</v>
      </c>
      <c r="AK8" s="11">
        <v>67</v>
      </c>
      <c r="AL8" s="11">
        <v>98</v>
      </c>
      <c r="AM8" s="11">
        <v>36</v>
      </c>
      <c r="AN8" s="11">
        <v>42</v>
      </c>
      <c r="AO8" s="11"/>
      <c r="AP8" s="11">
        <v>386</v>
      </c>
      <c r="AQ8" s="11">
        <v>309</v>
      </c>
      <c r="AR8" s="11"/>
      <c r="AS8" s="11" t="s">
        <v>87</v>
      </c>
      <c r="AT8" s="11" t="s">
        <v>87</v>
      </c>
      <c r="AU8" s="11">
        <v>694</v>
      </c>
      <c r="AV8" s="11"/>
      <c r="AW8" s="11">
        <v>512</v>
      </c>
      <c r="AX8" s="11">
        <v>142</v>
      </c>
      <c r="AY8" s="11"/>
      <c r="AZ8" s="11">
        <v>586</v>
      </c>
      <c r="BA8" s="11">
        <v>107</v>
      </c>
    </row>
    <row r="9" spans="2:53" x14ac:dyDescent="0.35">
      <c r="B9" s="15" t="s">
        <v>214</v>
      </c>
      <c r="C9" s="14">
        <v>0.19477235438934101</v>
      </c>
      <c r="D9" s="14">
        <v>0.20822797359220499</v>
      </c>
      <c r="E9" s="14">
        <v>0.18087441350748501</v>
      </c>
      <c r="F9" s="14"/>
      <c r="G9" s="14">
        <v>0</v>
      </c>
      <c r="H9" s="14">
        <v>0.26332680147688298</v>
      </c>
      <c r="I9" s="14">
        <v>0.242787857344754</v>
      </c>
      <c r="J9" s="14">
        <v>0.15757061851098</v>
      </c>
      <c r="K9" s="14">
        <v>8.9870216791671398E-2</v>
      </c>
      <c r="L9" s="14">
        <v>0.21377019383291701</v>
      </c>
      <c r="M9" s="14"/>
      <c r="N9" s="14">
        <v>0.20158410006179001</v>
      </c>
      <c r="O9" s="14">
        <v>0.12717972698168101</v>
      </c>
      <c r="P9" s="14">
        <v>0.20562996571421599</v>
      </c>
      <c r="Q9" s="14">
        <v>0.25926076116094499</v>
      </c>
      <c r="R9" s="14"/>
      <c r="S9" s="14">
        <v>0.270125365867879</v>
      </c>
      <c r="T9" s="14">
        <v>0.190983758735952</v>
      </c>
      <c r="U9" s="14">
        <v>0.18575996820250101</v>
      </c>
      <c r="V9" s="14">
        <v>0.231830006888565</v>
      </c>
      <c r="W9" s="14">
        <v>9.7828672411890999E-2</v>
      </c>
      <c r="X9" s="14">
        <v>0.22622557940000901</v>
      </c>
      <c r="Y9" s="14">
        <v>0.187775051021459</v>
      </c>
      <c r="Z9" s="14">
        <v>0.21266483165959499</v>
      </c>
      <c r="AA9" s="14">
        <v>0.125104019581353</v>
      </c>
      <c r="AB9" s="14"/>
      <c r="AC9" s="14">
        <v>0.14897030561416799</v>
      </c>
      <c r="AD9" s="14">
        <v>0.18280784166293601</v>
      </c>
      <c r="AE9" s="14">
        <v>0.18432596092817</v>
      </c>
      <c r="AF9" s="14">
        <v>0.24228610819447099</v>
      </c>
      <c r="AG9" s="14">
        <v>0.28865218546430299</v>
      </c>
      <c r="AH9" s="14"/>
      <c r="AI9" s="14">
        <v>0.25451239663866199</v>
      </c>
      <c r="AJ9" s="14">
        <v>0.19304668693140201</v>
      </c>
      <c r="AK9" s="14">
        <v>0.19484079816095501</v>
      </c>
      <c r="AL9" s="14">
        <v>0.13443127434031299</v>
      </c>
      <c r="AM9" s="14">
        <v>9.11793452198396E-2</v>
      </c>
      <c r="AN9" s="14">
        <v>0.112097202164956</v>
      </c>
      <c r="AO9" s="14"/>
      <c r="AP9" s="14">
        <v>0.20665123433996299</v>
      </c>
      <c r="AQ9" s="14">
        <v>0.179928946550864</v>
      </c>
      <c r="AR9" s="14"/>
      <c r="AS9" s="14" t="s">
        <v>88</v>
      </c>
      <c r="AT9" s="14" t="s">
        <v>88</v>
      </c>
      <c r="AU9" s="14">
        <v>0.19477235438934101</v>
      </c>
      <c r="AV9" s="14"/>
      <c r="AW9" s="14">
        <v>0.17459835330705301</v>
      </c>
      <c r="AX9" s="14">
        <v>0.28267412596876901</v>
      </c>
      <c r="AY9" s="14"/>
      <c r="AZ9" s="14">
        <v>0.20928237566843</v>
      </c>
      <c r="BA9" s="14">
        <v>0.117638454964983</v>
      </c>
    </row>
    <row r="10" spans="2:53" x14ac:dyDescent="0.35">
      <c r="B10" s="15" t="s">
        <v>215</v>
      </c>
      <c r="C10" s="14">
        <v>0.56485045287761604</v>
      </c>
      <c r="D10" s="14">
        <v>0.56576592488020105</v>
      </c>
      <c r="E10" s="14">
        <v>0.56390488689666096</v>
      </c>
      <c r="F10" s="14"/>
      <c r="G10" s="14">
        <v>0</v>
      </c>
      <c r="H10" s="14">
        <v>0.53822694417510097</v>
      </c>
      <c r="I10" s="14">
        <v>0.53937503995810998</v>
      </c>
      <c r="J10" s="14">
        <v>0.58153228172676596</v>
      </c>
      <c r="K10" s="14">
        <v>0.629572538443956</v>
      </c>
      <c r="L10" s="14">
        <v>0.59161901689769603</v>
      </c>
      <c r="M10" s="14"/>
      <c r="N10" s="14">
        <v>0.56912632247554795</v>
      </c>
      <c r="O10" s="14">
        <v>0.59806961411172699</v>
      </c>
      <c r="P10" s="14">
        <v>0.58709993556050999</v>
      </c>
      <c r="Q10" s="14">
        <v>0.49399016194737499</v>
      </c>
      <c r="R10" s="14"/>
      <c r="S10" s="14">
        <v>0.59634600443508901</v>
      </c>
      <c r="T10" s="14">
        <v>0.47951024646952101</v>
      </c>
      <c r="U10" s="14">
        <v>0.553417034139705</v>
      </c>
      <c r="V10" s="14">
        <v>0.521319820468374</v>
      </c>
      <c r="W10" s="14">
        <v>0.66746507644782904</v>
      </c>
      <c r="X10" s="14">
        <v>0.55183287390670699</v>
      </c>
      <c r="Y10" s="14">
        <v>0.53553438652001695</v>
      </c>
      <c r="Z10" s="14">
        <v>0.61271873834276602</v>
      </c>
      <c r="AA10" s="14">
        <v>0.60320920933149702</v>
      </c>
      <c r="AB10" s="14"/>
      <c r="AC10" s="14">
        <v>0.604591046862334</v>
      </c>
      <c r="AD10" s="14">
        <v>0.59859985095719304</v>
      </c>
      <c r="AE10" s="14">
        <v>0.56324461143536397</v>
      </c>
      <c r="AF10" s="14">
        <v>0.55085041476697905</v>
      </c>
      <c r="AG10" s="14">
        <v>0.52429817823590397</v>
      </c>
      <c r="AH10" s="14"/>
      <c r="AI10" s="14">
        <v>0.51969730177593498</v>
      </c>
      <c r="AJ10" s="14">
        <v>0.60384058551091002</v>
      </c>
      <c r="AK10" s="14">
        <v>0.620049957740896</v>
      </c>
      <c r="AL10" s="14">
        <v>0.47315223842216497</v>
      </c>
      <c r="AM10" s="14">
        <v>0.69247310211427004</v>
      </c>
      <c r="AN10" s="14">
        <v>0.62711912361546795</v>
      </c>
      <c r="AO10" s="14"/>
      <c r="AP10" s="14">
        <v>0.588890415626522</v>
      </c>
      <c r="AQ10" s="14">
        <v>0.53481100698818296</v>
      </c>
      <c r="AR10" s="14"/>
      <c r="AS10" s="14" t="s">
        <v>88</v>
      </c>
      <c r="AT10" s="14" t="s">
        <v>88</v>
      </c>
      <c r="AU10" s="14">
        <v>0.56485045287761604</v>
      </c>
      <c r="AV10" s="14"/>
      <c r="AW10" s="14">
        <v>0.59576180452966998</v>
      </c>
      <c r="AX10" s="14">
        <v>0.49620549313837597</v>
      </c>
      <c r="AY10" s="14"/>
      <c r="AZ10" s="14">
        <v>0.57117948245157402</v>
      </c>
      <c r="BA10" s="14">
        <v>0.52608583511235396</v>
      </c>
    </row>
    <row r="11" spans="2:53" x14ac:dyDescent="0.35">
      <c r="B11" s="15" t="s">
        <v>216</v>
      </c>
      <c r="C11" s="14">
        <v>0.10591454214740501</v>
      </c>
      <c r="D11" s="14">
        <v>7.1660793572410494E-2</v>
      </c>
      <c r="E11" s="14">
        <v>0.14129430174820301</v>
      </c>
      <c r="F11" s="14"/>
      <c r="G11" s="14">
        <v>0</v>
      </c>
      <c r="H11" s="14">
        <v>0.16247759362488101</v>
      </c>
      <c r="I11" s="14">
        <v>0.107972101186739</v>
      </c>
      <c r="J11" s="14">
        <v>0.111664620023971</v>
      </c>
      <c r="K11" s="14">
        <v>5.2224090621717199E-2</v>
      </c>
      <c r="L11" s="14">
        <v>5.5267794972932702E-2</v>
      </c>
      <c r="M11" s="14"/>
      <c r="N11" s="14">
        <v>8.3495735467222096E-2</v>
      </c>
      <c r="O11" s="14">
        <v>0.14428943601618099</v>
      </c>
      <c r="P11" s="14">
        <v>9.1486489380369407E-2</v>
      </c>
      <c r="Q11" s="14">
        <v>0.107444477578666</v>
      </c>
      <c r="R11" s="14"/>
      <c r="S11" s="14">
        <v>4.6435583548271597E-2</v>
      </c>
      <c r="T11" s="14">
        <v>0.119566788073783</v>
      </c>
      <c r="U11" s="14">
        <v>6.0829784249318397E-2</v>
      </c>
      <c r="V11" s="14">
        <v>0.16153483121141601</v>
      </c>
      <c r="W11" s="14">
        <v>0.12637174866813899</v>
      </c>
      <c r="X11" s="14">
        <v>7.8432027996942794E-2</v>
      </c>
      <c r="Y11" s="14">
        <v>0.14830931930260999</v>
      </c>
      <c r="Z11" s="14">
        <v>7.0581445821589095E-2</v>
      </c>
      <c r="AA11" s="14">
        <v>0.14186527363575199</v>
      </c>
      <c r="AB11" s="14"/>
      <c r="AC11" s="14">
        <v>8.3237783058736206E-2</v>
      </c>
      <c r="AD11" s="14">
        <v>0.123794018974167</v>
      </c>
      <c r="AE11" s="14">
        <v>0.100717463218023</v>
      </c>
      <c r="AF11" s="14">
        <v>0.12079713444123399</v>
      </c>
      <c r="AG11" s="14">
        <v>1.32474335517752E-2</v>
      </c>
      <c r="AH11" s="14"/>
      <c r="AI11" s="14">
        <v>9.0022600227124494E-2</v>
      </c>
      <c r="AJ11" s="14">
        <v>9.6095456072006799E-2</v>
      </c>
      <c r="AK11" s="14">
        <v>8.9778016667672406E-2</v>
      </c>
      <c r="AL11" s="14">
        <v>0.226962329844905</v>
      </c>
      <c r="AM11" s="14">
        <v>5.4615065354806099E-2</v>
      </c>
      <c r="AN11" s="14">
        <v>5.1412941540797799E-2</v>
      </c>
      <c r="AO11" s="14"/>
      <c r="AP11" s="14">
        <v>8.4391233387590303E-2</v>
      </c>
      <c r="AQ11" s="14">
        <v>0.13280927054632599</v>
      </c>
      <c r="AR11" s="14"/>
      <c r="AS11" s="14" t="s">
        <v>88</v>
      </c>
      <c r="AT11" s="14" t="s">
        <v>88</v>
      </c>
      <c r="AU11" s="14">
        <v>0.10591454214740501</v>
      </c>
      <c r="AV11" s="14"/>
      <c r="AW11" s="14">
        <v>0.105622864394302</v>
      </c>
      <c r="AX11" s="14">
        <v>8.3930397481775304E-2</v>
      </c>
      <c r="AY11" s="14"/>
      <c r="AZ11" s="14">
        <v>0.102095986556409</v>
      </c>
      <c r="BA11" s="14">
        <v>0.12776087690627899</v>
      </c>
    </row>
    <row r="12" spans="2:53" x14ac:dyDescent="0.35">
      <c r="B12" s="15" t="s">
        <v>217</v>
      </c>
      <c r="C12" s="14">
        <v>2.1010767418618698E-2</v>
      </c>
      <c r="D12" s="14">
        <v>2.1389634697879901E-2</v>
      </c>
      <c r="E12" s="14">
        <v>2.0619445773003099E-2</v>
      </c>
      <c r="F12" s="14"/>
      <c r="G12" s="14">
        <v>0.67390095748394496</v>
      </c>
      <c r="H12" s="14">
        <v>0</v>
      </c>
      <c r="I12" s="14">
        <v>2.7610050387923201E-2</v>
      </c>
      <c r="J12" s="14">
        <v>1.2665139154048001E-2</v>
      </c>
      <c r="K12" s="14">
        <v>1.87298954865255E-2</v>
      </c>
      <c r="L12" s="14">
        <v>5.1478752330020298E-2</v>
      </c>
      <c r="M12" s="14"/>
      <c r="N12" s="14">
        <v>1.3753684517576401E-2</v>
      </c>
      <c r="O12" s="14">
        <v>2.6113078925188399E-2</v>
      </c>
      <c r="P12" s="14">
        <v>2.9319395609756899E-2</v>
      </c>
      <c r="Q12" s="14">
        <v>1.76370440398688E-2</v>
      </c>
      <c r="R12" s="14"/>
      <c r="S12" s="14">
        <v>1.99746935068735E-2</v>
      </c>
      <c r="T12" s="14">
        <v>3.8478433324639003E-2</v>
      </c>
      <c r="U12" s="14">
        <v>3.9595229313030098E-2</v>
      </c>
      <c r="V12" s="14">
        <v>1.6882838178274601E-2</v>
      </c>
      <c r="W12" s="14">
        <v>1.02854718166954E-2</v>
      </c>
      <c r="X12" s="14">
        <v>1.30367569858558E-2</v>
      </c>
      <c r="Y12" s="14">
        <v>0</v>
      </c>
      <c r="Z12" s="14">
        <v>1.95712101124428E-2</v>
      </c>
      <c r="AA12" s="14">
        <v>2.4701314532013002E-2</v>
      </c>
      <c r="AB12" s="14"/>
      <c r="AC12" s="14">
        <v>1.0392652974798199E-2</v>
      </c>
      <c r="AD12" s="14">
        <v>4.3537010671238503E-2</v>
      </c>
      <c r="AE12" s="14">
        <v>1.55873822880402E-2</v>
      </c>
      <c r="AF12" s="14">
        <v>8.5125216688445807E-3</v>
      </c>
      <c r="AG12" s="14">
        <v>8.7573164580439893E-3</v>
      </c>
      <c r="AH12" s="14"/>
      <c r="AI12" s="14">
        <v>2.1622189367418901E-2</v>
      </c>
      <c r="AJ12" s="14">
        <v>3.21815689284419E-2</v>
      </c>
      <c r="AK12" s="14">
        <v>2.0438430513642501E-2</v>
      </c>
      <c r="AL12" s="14">
        <v>2.0564654917471899E-2</v>
      </c>
      <c r="AM12" s="14">
        <v>2.77591800181404E-2</v>
      </c>
      <c r="AN12" s="14">
        <v>0</v>
      </c>
      <c r="AO12" s="14"/>
      <c r="AP12" s="14">
        <v>1.51414416656095E-2</v>
      </c>
      <c r="AQ12" s="14">
        <v>2.83448592059697E-2</v>
      </c>
      <c r="AR12" s="14"/>
      <c r="AS12" s="14" t="s">
        <v>88</v>
      </c>
      <c r="AT12" s="14" t="s">
        <v>88</v>
      </c>
      <c r="AU12" s="14">
        <v>2.1010767418618698E-2</v>
      </c>
      <c r="AV12" s="14"/>
      <c r="AW12" s="14">
        <v>1.6684775429263901E-2</v>
      </c>
      <c r="AX12" s="14">
        <v>2.62937710927032E-2</v>
      </c>
      <c r="AY12" s="14"/>
      <c r="AZ12" s="14">
        <v>1.5144736354048101E-2</v>
      </c>
      <c r="BA12" s="14">
        <v>5.3176027453519799E-2</v>
      </c>
    </row>
    <row r="13" spans="2:53" x14ac:dyDescent="0.35">
      <c r="B13" s="15" t="s">
        <v>116</v>
      </c>
      <c r="C13" s="23">
        <v>4.3660684380632302E-2</v>
      </c>
      <c r="D13" s="23">
        <v>3.05513618329817E-2</v>
      </c>
      <c r="E13" s="23">
        <v>5.7200944923205203E-2</v>
      </c>
      <c r="F13" s="23"/>
      <c r="G13" s="23">
        <v>0</v>
      </c>
      <c r="H13" s="23">
        <v>1.29541451367428E-2</v>
      </c>
      <c r="I13" s="23">
        <v>3.09505473113619E-2</v>
      </c>
      <c r="J13" s="23">
        <v>5.8760051229701703E-2</v>
      </c>
      <c r="K13" s="23">
        <v>5.4179145495999802E-2</v>
      </c>
      <c r="L13" s="23">
        <v>8.7864241966433304E-2</v>
      </c>
      <c r="M13" s="23"/>
      <c r="N13" s="23">
        <v>3.5867723235727303E-2</v>
      </c>
      <c r="O13" s="23">
        <v>5.3041201521954698E-2</v>
      </c>
      <c r="P13" s="23">
        <v>4.5261133734231601E-2</v>
      </c>
      <c r="Q13" s="23">
        <v>3.8492082577080498E-2</v>
      </c>
      <c r="R13" s="23"/>
      <c r="S13" s="23">
        <v>2.33993823683275E-2</v>
      </c>
      <c r="T13" s="23">
        <v>5.0516744196087503E-2</v>
      </c>
      <c r="U13" s="23">
        <v>7.7020068502188704E-2</v>
      </c>
      <c r="V13" s="23">
        <v>1.0321766803212401E-2</v>
      </c>
      <c r="W13" s="23">
        <v>2.9190738885124901E-2</v>
      </c>
      <c r="X13" s="23">
        <v>4.8596493019615203E-2</v>
      </c>
      <c r="Y13" s="23">
        <v>6.7560139903320604E-2</v>
      </c>
      <c r="Z13" s="23">
        <v>6.4892563806877898E-2</v>
      </c>
      <c r="AA13" s="23">
        <v>4.1676224183280597E-2</v>
      </c>
      <c r="AB13" s="23"/>
      <c r="AC13" s="23">
        <v>7.0138133331365704E-2</v>
      </c>
      <c r="AD13" s="23">
        <v>1.2530197254865E-2</v>
      </c>
      <c r="AE13" s="23">
        <v>5.60682058636656E-2</v>
      </c>
      <c r="AF13" s="23">
        <v>1.6120344521814999E-2</v>
      </c>
      <c r="AG13" s="23">
        <v>7.5717421448168995E-2</v>
      </c>
      <c r="AH13" s="23"/>
      <c r="AI13" s="23">
        <v>4.3384281138703899E-2</v>
      </c>
      <c r="AJ13" s="23">
        <v>1.1549370802592E-2</v>
      </c>
      <c r="AK13" s="23">
        <v>3.0315794216286599E-3</v>
      </c>
      <c r="AL13" s="23">
        <v>4.0758119901288699E-2</v>
      </c>
      <c r="AM13" s="23">
        <v>3.5850808140266102E-2</v>
      </c>
      <c r="AN13" s="23">
        <v>0.204232969296686</v>
      </c>
      <c r="AO13" s="23"/>
      <c r="AP13" s="23">
        <v>4.6109384092829803E-2</v>
      </c>
      <c r="AQ13" s="23">
        <v>4.0600880034330697E-2</v>
      </c>
      <c r="AR13" s="23"/>
      <c r="AS13" s="23" t="s">
        <v>88</v>
      </c>
      <c r="AT13" s="23" t="s">
        <v>88</v>
      </c>
      <c r="AU13" s="23">
        <v>4.3660684380632302E-2</v>
      </c>
      <c r="AV13" s="23"/>
      <c r="AW13" s="23">
        <v>4.0245154977248503E-2</v>
      </c>
      <c r="AX13" s="23">
        <v>2.45460787814222E-2</v>
      </c>
      <c r="AY13" s="23"/>
      <c r="AZ13" s="23">
        <v>3.2282639364351003E-2</v>
      </c>
      <c r="BA13" s="23">
        <v>0.106078638299761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B2:BA19"/>
  <sheetViews>
    <sheetView showGridLines="0" topLeftCell="A4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739</v>
      </c>
      <c r="D7" s="10">
        <v>315</v>
      </c>
      <c r="E7" s="10">
        <v>424</v>
      </c>
      <c r="F7" s="10"/>
      <c r="G7" s="10">
        <v>2</v>
      </c>
      <c r="H7" s="10">
        <v>68</v>
      </c>
      <c r="I7" s="10">
        <v>314</v>
      </c>
      <c r="J7" s="10">
        <v>262</v>
      </c>
      <c r="K7" s="10">
        <v>77</v>
      </c>
      <c r="L7" s="10">
        <v>16</v>
      </c>
      <c r="M7" s="10"/>
      <c r="N7" s="10">
        <v>368</v>
      </c>
      <c r="O7" s="10">
        <v>164</v>
      </c>
      <c r="P7" s="10">
        <v>104</v>
      </c>
      <c r="Q7" s="10">
        <v>100</v>
      </c>
      <c r="R7" s="10"/>
      <c r="S7" s="10">
        <v>142</v>
      </c>
      <c r="T7" s="10">
        <v>109</v>
      </c>
      <c r="U7" s="10">
        <v>52</v>
      </c>
      <c r="V7" s="10">
        <v>61</v>
      </c>
      <c r="W7" s="10">
        <v>59</v>
      </c>
      <c r="X7" s="10">
        <v>88</v>
      </c>
      <c r="Y7" s="10">
        <v>86</v>
      </c>
      <c r="Z7" s="10">
        <v>40</v>
      </c>
      <c r="AA7" s="10">
        <v>102</v>
      </c>
      <c r="AB7" s="10"/>
      <c r="AC7" s="10">
        <v>103</v>
      </c>
      <c r="AD7" s="10">
        <v>140</v>
      </c>
      <c r="AE7" s="10">
        <v>227</v>
      </c>
      <c r="AF7" s="10">
        <v>172</v>
      </c>
      <c r="AG7" s="10">
        <v>41</v>
      </c>
      <c r="AH7" s="10"/>
      <c r="AI7" s="10">
        <v>281</v>
      </c>
      <c r="AJ7" s="10">
        <v>158</v>
      </c>
      <c r="AK7" s="10">
        <v>73</v>
      </c>
      <c r="AL7" s="10">
        <v>98</v>
      </c>
      <c r="AM7" s="10">
        <v>38</v>
      </c>
      <c r="AN7" s="10">
        <v>42</v>
      </c>
      <c r="AO7" s="10"/>
      <c r="AP7" s="10">
        <v>419</v>
      </c>
      <c r="AQ7" s="10">
        <v>320</v>
      </c>
      <c r="AR7" s="10"/>
      <c r="AS7" s="10" t="s">
        <v>87</v>
      </c>
      <c r="AT7" s="10" t="s">
        <v>87</v>
      </c>
      <c r="AU7" s="10">
        <v>739</v>
      </c>
      <c r="AV7" s="10"/>
      <c r="AW7" s="10">
        <v>524</v>
      </c>
      <c r="AX7" s="10">
        <v>176</v>
      </c>
      <c r="AY7" s="10"/>
      <c r="AZ7" s="10">
        <v>627</v>
      </c>
      <c r="BA7" s="10">
        <v>111</v>
      </c>
    </row>
    <row r="8" spans="2:53" ht="30" customHeight="1" x14ac:dyDescent="0.35">
      <c r="B8" s="11" t="s">
        <v>19</v>
      </c>
      <c r="C8" s="11">
        <v>694</v>
      </c>
      <c r="D8" s="11">
        <v>353</v>
      </c>
      <c r="E8" s="11">
        <v>341</v>
      </c>
      <c r="F8" s="11"/>
      <c r="G8" s="11">
        <v>2</v>
      </c>
      <c r="H8" s="11">
        <v>55</v>
      </c>
      <c r="I8" s="11">
        <v>288</v>
      </c>
      <c r="J8" s="11">
        <v>256</v>
      </c>
      <c r="K8" s="11">
        <v>77</v>
      </c>
      <c r="L8" s="11">
        <v>17</v>
      </c>
      <c r="M8" s="11"/>
      <c r="N8" s="11">
        <v>226</v>
      </c>
      <c r="O8" s="11">
        <v>172</v>
      </c>
      <c r="P8" s="11">
        <v>155</v>
      </c>
      <c r="Q8" s="11">
        <v>139</v>
      </c>
      <c r="R8" s="11"/>
      <c r="S8" s="11">
        <v>114</v>
      </c>
      <c r="T8" s="11">
        <v>103</v>
      </c>
      <c r="U8" s="11">
        <v>62</v>
      </c>
      <c r="V8" s="11">
        <v>69</v>
      </c>
      <c r="W8" s="11">
        <v>64</v>
      </c>
      <c r="X8" s="11">
        <v>76</v>
      </c>
      <c r="Y8" s="11">
        <v>73</v>
      </c>
      <c r="Z8" s="11">
        <v>39</v>
      </c>
      <c r="AA8" s="11">
        <v>94</v>
      </c>
      <c r="AB8" s="11"/>
      <c r="AC8" s="11">
        <v>120</v>
      </c>
      <c r="AD8" s="11">
        <v>153</v>
      </c>
      <c r="AE8" s="11">
        <v>210</v>
      </c>
      <c r="AF8" s="11">
        <v>127</v>
      </c>
      <c r="AG8" s="11">
        <v>23</v>
      </c>
      <c r="AH8" s="11"/>
      <c r="AI8" s="11">
        <v>253</v>
      </c>
      <c r="AJ8" s="11">
        <v>148</v>
      </c>
      <c r="AK8" s="11">
        <v>67</v>
      </c>
      <c r="AL8" s="11">
        <v>98</v>
      </c>
      <c r="AM8" s="11">
        <v>36</v>
      </c>
      <c r="AN8" s="11">
        <v>42</v>
      </c>
      <c r="AO8" s="11"/>
      <c r="AP8" s="11">
        <v>386</v>
      </c>
      <c r="AQ8" s="11">
        <v>309</v>
      </c>
      <c r="AR8" s="11"/>
      <c r="AS8" s="11" t="s">
        <v>87</v>
      </c>
      <c r="AT8" s="11" t="s">
        <v>87</v>
      </c>
      <c r="AU8" s="11">
        <v>694</v>
      </c>
      <c r="AV8" s="11"/>
      <c r="AW8" s="11">
        <v>512</v>
      </c>
      <c r="AX8" s="11">
        <v>142</v>
      </c>
      <c r="AY8" s="11"/>
      <c r="AZ8" s="11">
        <v>586</v>
      </c>
      <c r="BA8" s="11">
        <v>107</v>
      </c>
    </row>
    <row r="9" spans="2:53" x14ac:dyDescent="0.35">
      <c r="B9" s="15" t="s">
        <v>220</v>
      </c>
      <c r="C9" s="14">
        <v>0.23092702825581901</v>
      </c>
      <c r="D9" s="14">
        <v>0.26987571781595299</v>
      </c>
      <c r="E9" s="14">
        <v>0.190697992581467</v>
      </c>
      <c r="F9" s="14"/>
      <c r="G9" s="14">
        <v>0</v>
      </c>
      <c r="H9" s="14">
        <v>0.26736798372575499</v>
      </c>
      <c r="I9" s="14">
        <v>0.223649237822657</v>
      </c>
      <c r="J9" s="14">
        <v>0.20491863105395999</v>
      </c>
      <c r="K9" s="14">
        <v>0.28465728386271999</v>
      </c>
      <c r="L9" s="14">
        <v>0.40820507110990001</v>
      </c>
      <c r="M9" s="14"/>
      <c r="N9" s="14">
        <v>0.25303233517798401</v>
      </c>
      <c r="O9" s="14">
        <v>0.17422640688327801</v>
      </c>
      <c r="P9" s="14">
        <v>0.23483096579330001</v>
      </c>
      <c r="Q9" s="14">
        <v>0.26554680605952702</v>
      </c>
      <c r="R9" s="14"/>
      <c r="S9" s="14">
        <v>0.28189780964431499</v>
      </c>
      <c r="T9" s="14">
        <v>0.231243858785802</v>
      </c>
      <c r="U9" s="14">
        <v>0.18832528274396701</v>
      </c>
      <c r="V9" s="14">
        <v>0.173371063473684</v>
      </c>
      <c r="W9" s="14">
        <v>0.19629147759725099</v>
      </c>
      <c r="X9" s="14">
        <v>0.27227167270588398</v>
      </c>
      <c r="Y9" s="14">
        <v>0.19726378659923699</v>
      </c>
      <c r="Z9" s="14">
        <v>0.20219892956142399</v>
      </c>
      <c r="AA9" s="14">
        <v>0.26743023488529799</v>
      </c>
      <c r="AB9" s="14"/>
      <c r="AC9" s="14">
        <v>0.22536408160639401</v>
      </c>
      <c r="AD9" s="14">
        <v>0.21742884031430401</v>
      </c>
      <c r="AE9" s="14">
        <v>0.19427706189687499</v>
      </c>
      <c r="AF9" s="14">
        <v>0.26758723928087802</v>
      </c>
      <c r="AG9" s="14">
        <v>0.36893433960694799</v>
      </c>
      <c r="AH9" s="14"/>
      <c r="AI9" s="14">
        <v>0.28851778597532501</v>
      </c>
      <c r="AJ9" s="14">
        <v>0.17123686570184901</v>
      </c>
      <c r="AK9" s="14">
        <v>0.24063443861817699</v>
      </c>
      <c r="AL9" s="14">
        <v>0.19567241983424599</v>
      </c>
      <c r="AM9" s="14">
        <v>0.17275457760916399</v>
      </c>
      <c r="AN9" s="14">
        <v>0.18799390140121899</v>
      </c>
      <c r="AO9" s="14"/>
      <c r="AP9" s="14">
        <v>0.249761058390018</v>
      </c>
      <c r="AQ9" s="14">
        <v>0.20739272269114101</v>
      </c>
      <c r="AR9" s="14"/>
      <c r="AS9" s="14" t="s">
        <v>88</v>
      </c>
      <c r="AT9" s="14" t="s">
        <v>88</v>
      </c>
      <c r="AU9" s="14">
        <v>0.23092702825581901</v>
      </c>
      <c r="AV9" s="14"/>
      <c r="AW9" s="14">
        <v>0.22622196029071501</v>
      </c>
      <c r="AX9" s="14">
        <v>0.26290459825349599</v>
      </c>
      <c r="AY9" s="14"/>
      <c r="AZ9" s="14">
        <v>0.25390525639328498</v>
      </c>
      <c r="BA9" s="14">
        <v>0.108013843806195</v>
      </c>
    </row>
    <row r="10" spans="2:53" x14ac:dyDescent="0.35">
      <c r="B10" s="15" t="s">
        <v>221</v>
      </c>
      <c r="C10" s="14">
        <v>0.48384835329673498</v>
      </c>
      <c r="D10" s="14">
        <v>0.50473467385225301</v>
      </c>
      <c r="E10" s="14">
        <v>0.46227544431769102</v>
      </c>
      <c r="F10" s="14"/>
      <c r="G10" s="14">
        <v>0</v>
      </c>
      <c r="H10" s="14">
        <v>0.55586464283861303</v>
      </c>
      <c r="I10" s="14">
        <v>0.49103361881441498</v>
      </c>
      <c r="J10" s="14">
        <v>0.47985523509597999</v>
      </c>
      <c r="K10" s="14">
        <v>0.43433331985256002</v>
      </c>
      <c r="L10" s="14">
        <v>0.46002104589742598</v>
      </c>
      <c r="M10" s="14"/>
      <c r="N10" s="14">
        <v>0.48444606072903101</v>
      </c>
      <c r="O10" s="14">
        <v>0.53699733445758702</v>
      </c>
      <c r="P10" s="14">
        <v>0.49510532786956801</v>
      </c>
      <c r="Q10" s="14">
        <v>0.39958630890466401</v>
      </c>
      <c r="R10" s="14"/>
      <c r="S10" s="14">
        <v>0.57205125035165605</v>
      </c>
      <c r="T10" s="14">
        <v>0.40693205943829103</v>
      </c>
      <c r="U10" s="14">
        <v>0.51616362013348505</v>
      </c>
      <c r="V10" s="14">
        <v>0.50856750815889296</v>
      </c>
      <c r="W10" s="14">
        <v>0.53825296026040703</v>
      </c>
      <c r="X10" s="14">
        <v>0.410080923650332</v>
      </c>
      <c r="Y10" s="14">
        <v>0.50150093330219903</v>
      </c>
      <c r="Z10" s="14">
        <v>0.61285414057101995</v>
      </c>
      <c r="AA10" s="14">
        <v>0.37671010475739802</v>
      </c>
      <c r="AB10" s="14"/>
      <c r="AC10" s="14">
        <v>0.42923257167412099</v>
      </c>
      <c r="AD10" s="14">
        <v>0.46103315360334801</v>
      </c>
      <c r="AE10" s="14">
        <v>0.52050760851468802</v>
      </c>
      <c r="AF10" s="14">
        <v>0.54314179693287201</v>
      </c>
      <c r="AG10" s="14">
        <v>0.44999930615658801</v>
      </c>
      <c r="AH10" s="14"/>
      <c r="AI10" s="14">
        <v>0.46715004025833101</v>
      </c>
      <c r="AJ10" s="14">
        <v>0.54095734956004504</v>
      </c>
      <c r="AK10" s="14">
        <v>0.48785987741484599</v>
      </c>
      <c r="AL10" s="14">
        <v>0.45565551302205398</v>
      </c>
      <c r="AM10" s="14">
        <v>0.51037438206261598</v>
      </c>
      <c r="AN10" s="14">
        <v>0.44444811888184199</v>
      </c>
      <c r="AO10" s="14"/>
      <c r="AP10" s="14">
        <v>0.540456172846706</v>
      </c>
      <c r="AQ10" s="14">
        <v>0.41311332138128398</v>
      </c>
      <c r="AR10" s="14"/>
      <c r="AS10" s="14" t="s">
        <v>88</v>
      </c>
      <c r="AT10" s="14" t="s">
        <v>88</v>
      </c>
      <c r="AU10" s="14">
        <v>0.48384835329673498</v>
      </c>
      <c r="AV10" s="14"/>
      <c r="AW10" s="14">
        <v>0.49955986996469398</v>
      </c>
      <c r="AX10" s="14">
        <v>0.48233122503457498</v>
      </c>
      <c r="AY10" s="14"/>
      <c r="AZ10" s="14">
        <v>0.49302819363346501</v>
      </c>
      <c r="BA10" s="14">
        <v>0.42875496808792901</v>
      </c>
    </row>
    <row r="11" spans="2:53" x14ac:dyDescent="0.35">
      <c r="B11" s="15" t="s">
        <v>222</v>
      </c>
      <c r="C11" s="14">
        <v>0.18708044337096</v>
      </c>
      <c r="D11" s="14">
        <v>0.13718364759318299</v>
      </c>
      <c r="E11" s="14">
        <v>0.23861747837905301</v>
      </c>
      <c r="F11" s="14"/>
      <c r="G11" s="14">
        <v>0.67390095748394496</v>
      </c>
      <c r="H11" s="14">
        <v>0.17199004437848001</v>
      </c>
      <c r="I11" s="14">
        <v>0.18378733164661001</v>
      </c>
      <c r="J11" s="14">
        <v>0.19282118538554999</v>
      </c>
      <c r="K11" s="14">
        <v>0.21051378544045099</v>
      </c>
      <c r="L11" s="14">
        <v>5.1478752330020298E-2</v>
      </c>
      <c r="M11" s="14"/>
      <c r="N11" s="14">
        <v>0.16112868130918001</v>
      </c>
      <c r="O11" s="14">
        <v>0.18630120949453999</v>
      </c>
      <c r="P11" s="14">
        <v>0.21350815555347599</v>
      </c>
      <c r="Q11" s="14">
        <v>0.20456615587122601</v>
      </c>
      <c r="R11" s="14"/>
      <c r="S11" s="14">
        <v>0.109740715892896</v>
      </c>
      <c r="T11" s="14">
        <v>0.23105101980856099</v>
      </c>
      <c r="U11" s="14">
        <v>0.137011985920165</v>
      </c>
      <c r="V11" s="14">
        <v>0.25447352046041699</v>
      </c>
      <c r="W11" s="14">
        <v>0.18527574797795701</v>
      </c>
      <c r="X11" s="14">
        <v>0.22193024021513599</v>
      </c>
      <c r="Y11" s="14">
        <v>0.19394814500475899</v>
      </c>
      <c r="Z11" s="14">
        <v>5.6976065565989199E-2</v>
      </c>
      <c r="AA11" s="14">
        <v>0.23796326112281599</v>
      </c>
      <c r="AB11" s="14"/>
      <c r="AC11" s="14">
        <v>0.23002114547665201</v>
      </c>
      <c r="AD11" s="14">
        <v>0.22067772091710799</v>
      </c>
      <c r="AE11" s="14">
        <v>0.18604821059163301</v>
      </c>
      <c r="AF11" s="14">
        <v>0.129332302635008</v>
      </c>
      <c r="AG11" s="14">
        <v>0.12116779645963199</v>
      </c>
      <c r="AH11" s="14"/>
      <c r="AI11" s="14">
        <v>0.14447477591793201</v>
      </c>
      <c r="AJ11" s="14">
        <v>0.205595844740563</v>
      </c>
      <c r="AK11" s="14">
        <v>0.21123102663369001</v>
      </c>
      <c r="AL11" s="14">
        <v>0.24128405676123399</v>
      </c>
      <c r="AM11" s="14">
        <v>0.19118040454285001</v>
      </c>
      <c r="AN11" s="14">
        <v>0.22962233723431399</v>
      </c>
      <c r="AO11" s="14"/>
      <c r="AP11" s="14">
        <v>0.13380939161288</v>
      </c>
      <c r="AQ11" s="14">
        <v>0.253645974003192</v>
      </c>
      <c r="AR11" s="14"/>
      <c r="AS11" s="14" t="s">
        <v>88</v>
      </c>
      <c r="AT11" s="14" t="s">
        <v>88</v>
      </c>
      <c r="AU11" s="14">
        <v>0.18708044337096</v>
      </c>
      <c r="AV11" s="14"/>
      <c r="AW11" s="14">
        <v>0.182866703073782</v>
      </c>
      <c r="AX11" s="14">
        <v>0.15152059699104101</v>
      </c>
      <c r="AY11" s="14"/>
      <c r="AZ11" s="14">
        <v>0.16872799424888299</v>
      </c>
      <c r="BA11" s="14">
        <v>0.28890716231187102</v>
      </c>
    </row>
    <row r="12" spans="2:53" x14ac:dyDescent="0.35">
      <c r="B12" s="15" t="s">
        <v>223</v>
      </c>
      <c r="C12" s="14">
        <v>2.62993081849557E-2</v>
      </c>
      <c r="D12" s="14">
        <v>1.12945532428348E-2</v>
      </c>
      <c r="E12" s="14">
        <v>4.17973089821203E-2</v>
      </c>
      <c r="F12" s="14"/>
      <c r="G12" s="14">
        <v>0</v>
      </c>
      <c r="H12" s="14">
        <v>0</v>
      </c>
      <c r="I12" s="14">
        <v>3.5171894446663E-2</v>
      </c>
      <c r="J12" s="14">
        <v>2.6475810904217099E-2</v>
      </c>
      <c r="K12" s="14">
        <v>0</v>
      </c>
      <c r="L12" s="14">
        <v>8.0295130662653896E-2</v>
      </c>
      <c r="M12" s="14"/>
      <c r="N12" s="14">
        <v>1.3507983229901601E-2</v>
      </c>
      <c r="O12" s="14">
        <v>5.2206894664862301E-2</v>
      </c>
      <c r="P12" s="14">
        <v>7.4470126881710404E-3</v>
      </c>
      <c r="Q12" s="14">
        <v>3.09099786942949E-2</v>
      </c>
      <c r="R12" s="14"/>
      <c r="S12" s="14">
        <v>0</v>
      </c>
      <c r="T12" s="14">
        <v>3.6664180208363102E-2</v>
      </c>
      <c r="U12" s="14">
        <v>1.7402588158880902E-2</v>
      </c>
      <c r="V12" s="14">
        <v>1.38042793490226E-2</v>
      </c>
      <c r="W12" s="14">
        <v>2.4041210432101098E-2</v>
      </c>
      <c r="X12" s="14">
        <v>1.9694136209710202E-2</v>
      </c>
      <c r="Y12" s="14">
        <v>3.1564504424871402E-2</v>
      </c>
      <c r="Z12" s="14">
        <v>4.3507090237959498E-2</v>
      </c>
      <c r="AA12" s="14">
        <v>5.76210661811443E-2</v>
      </c>
      <c r="AB12" s="14"/>
      <c r="AC12" s="14">
        <v>4.3449134799174199E-2</v>
      </c>
      <c r="AD12" s="14">
        <v>4.0841444242013497E-2</v>
      </c>
      <c r="AE12" s="14">
        <v>1.0794971347341E-2</v>
      </c>
      <c r="AF12" s="14">
        <v>1.6802450433466402E-2</v>
      </c>
      <c r="AG12" s="14">
        <v>0</v>
      </c>
      <c r="AH12" s="14"/>
      <c r="AI12" s="14">
        <v>1.44335982908379E-2</v>
      </c>
      <c r="AJ12" s="14">
        <v>1.6742887797429301E-2</v>
      </c>
      <c r="AK12" s="14">
        <v>1.45834176191658E-2</v>
      </c>
      <c r="AL12" s="14">
        <v>5.55903193833771E-2</v>
      </c>
      <c r="AM12" s="14">
        <v>6.0370028180240599E-2</v>
      </c>
      <c r="AN12" s="14">
        <v>6.8931243190419406E-2</v>
      </c>
      <c r="AO12" s="14"/>
      <c r="AP12" s="14">
        <v>1.93141381408902E-2</v>
      </c>
      <c r="AQ12" s="14">
        <v>3.5027717615488001E-2</v>
      </c>
      <c r="AR12" s="14"/>
      <c r="AS12" s="14" t="s">
        <v>88</v>
      </c>
      <c r="AT12" s="14" t="s">
        <v>88</v>
      </c>
      <c r="AU12" s="14">
        <v>2.62993081849557E-2</v>
      </c>
      <c r="AV12" s="14"/>
      <c r="AW12" s="14">
        <v>2.5686568370896199E-2</v>
      </c>
      <c r="AX12" s="14">
        <v>2.3187878820626499E-2</v>
      </c>
      <c r="AY12" s="14"/>
      <c r="AZ12" s="14">
        <v>2.0998135137841701E-2</v>
      </c>
      <c r="BA12" s="14">
        <v>5.5439256362678997E-2</v>
      </c>
    </row>
    <row r="13" spans="2:53" x14ac:dyDescent="0.35">
      <c r="B13" s="15" t="s">
        <v>116</v>
      </c>
      <c r="C13" s="18">
        <v>1.97332675086523E-2</v>
      </c>
      <c r="D13" s="18">
        <v>7.9870902330599503E-3</v>
      </c>
      <c r="E13" s="18">
        <v>3.1865572600136498E-2</v>
      </c>
      <c r="F13" s="18"/>
      <c r="G13" s="18">
        <v>0</v>
      </c>
      <c r="H13" s="18">
        <v>0</v>
      </c>
      <c r="I13" s="18">
        <v>1.6428809208969199E-2</v>
      </c>
      <c r="J13" s="18">
        <v>3.23223794233208E-2</v>
      </c>
      <c r="K13" s="18">
        <v>9.0633485187975801E-3</v>
      </c>
      <c r="L13" s="18">
        <v>0</v>
      </c>
      <c r="M13" s="18"/>
      <c r="N13" s="18">
        <v>1.4133360206043E-2</v>
      </c>
      <c r="O13" s="18">
        <v>2.1804649768956599E-2</v>
      </c>
      <c r="P13" s="18">
        <v>2.1130572196080898E-2</v>
      </c>
      <c r="Q13" s="18">
        <v>2.51286753907966E-2</v>
      </c>
      <c r="R13" s="18"/>
      <c r="S13" s="18">
        <v>9.2687985409441297E-3</v>
      </c>
      <c r="T13" s="18">
        <v>1.38412324036292E-2</v>
      </c>
      <c r="U13" s="18">
        <v>2.46381218668798E-2</v>
      </c>
      <c r="V13" s="18">
        <v>1.0321766956634299E-2</v>
      </c>
      <c r="W13" s="18">
        <v>1.9134693936334098E-2</v>
      </c>
      <c r="X13" s="18">
        <v>9.2082207405642102E-3</v>
      </c>
      <c r="Y13" s="18">
        <v>3.3910640688008802E-2</v>
      </c>
      <c r="Z13" s="18">
        <v>6.4892563806877898E-2</v>
      </c>
      <c r="AA13" s="18">
        <v>2.1769280356238398E-2</v>
      </c>
      <c r="AB13" s="18"/>
      <c r="AC13" s="18">
        <v>2.6274405263017699E-2</v>
      </c>
      <c r="AD13" s="18">
        <v>1.6245821616148199E-2</v>
      </c>
      <c r="AE13" s="18">
        <v>2.62523800727083E-2</v>
      </c>
      <c r="AF13" s="18">
        <v>8.0301930428594605E-3</v>
      </c>
      <c r="AG13" s="18">
        <v>0</v>
      </c>
      <c r="AH13" s="18"/>
      <c r="AI13" s="18">
        <v>2.0673221445934899E-2</v>
      </c>
      <c r="AJ13" s="18">
        <v>0</v>
      </c>
      <c r="AK13" s="18">
        <v>2.5974921619359201E-2</v>
      </c>
      <c r="AL13" s="18">
        <v>1.79997626084989E-2</v>
      </c>
      <c r="AM13" s="18">
        <v>0</v>
      </c>
      <c r="AN13" s="18">
        <v>5.3383333351446002E-2</v>
      </c>
      <c r="AO13" s="18"/>
      <c r="AP13" s="18">
        <v>1.09763216167566E-2</v>
      </c>
      <c r="AQ13" s="18">
        <v>3.0675622329408701E-2</v>
      </c>
      <c r="AR13" s="18"/>
      <c r="AS13" s="18" t="s">
        <v>88</v>
      </c>
      <c r="AT13" s="18" t="s">
        <v>88</v>
      </c>
      <c r="AU13" s="18">
        <v>1.97332675086523E-2</v>
      </c>
      <c r="AV13" s="18"/>
      <c r="AW13" s="18">
        <v>2.0806552829918099E-2</v>
      </c>
      <c r="AX13" s="18">
        <v>0</v>
      </c>
      <c r="AY13" s="18"/>
      <c r="AZ13" s="18">
        <v>1.4951438495152399E-2</v>
      </c>
      <c r="BA13" s="18">
        <v>4.5979165805618498E-2</v>
      </c>
    </row>
    <row r="14" spans="2:53" x14ac:dyDescent="0.35">
      <c r="B14" s="26" t="s">
        <v>224</v>
      </c>
      <c r="C14" s="27">
        <v>0.71477538155255405</v>
      </c>
      <c r="D14" s="27">
        <v>0.774610391668207</v>
      </c>
      <c r="E14" s="27">
        <v>0.65297343689915799</v>
      </c>
      <c r="F14" s="27"/>
      <c r="G14" s="27">
        <v>0</v>
      </c>
      <c r="H14" s="27">
        <v>0.82323262656436902</v>
      </c>
      <c r="I14" s="27">
        <v>0.71468285663707298</v>
      </c>
      <c r="J14" s="27">
        <v>0.68477386614993996</v>
      </c>
      <c r="K14" s="27">
        <v>0.71899060371528001</v>
      </c>
      <c r="L14" s="27">
        <v>0.86822611700732599</v>
      </c>
      <c r="M14" s="27"/>
      <c r="N14" s="27">
        <v>0.73747839590701403</v>
      </c>
      <c r="O14" s="27">
        <v>0.71122374134086597</v>
      </c>
      <c r="P14" s="27">
        <v>0.72993629366286805</v>
      </c>
      <c r="Q14" s="27">
        <v>0.66513311496419103</v>
      </c>
      <c r="R14" s="27"/>
      <c r="S14" s="27">
        <v>0.85394905999597104</v>
      </c>
      <c r="T14" s="27">
        <v>0.63817591822409303</v>
      </c>
      <c r="U14" s="27">
        <v>0.70448890287745303</v>
      </c>
      <c r="V14" s="27">
        <v>0.68193857163257698</v>
      </c>
      <c r="W14" s="27">
        <v>0.73454443785765799</v>
      </c>
      <c r="X14" s="27">
        <v>0.68235259635621504</v>
      </c>
      <c r="Y14" s="27">
        <v>0.69876471990143596</v>
      </c>
      <c r="Z14" s="27">
        <v>0.81505307013244399</v>
      </c>
      <c r="AA14" s="27">
        <v>0.64414033964269701</v>
      </c>
      <c r="AB14" s="27"/>
      <c r="AC14" s="27">
        <v>0.65459665328051497</v>
      </c>
      <c r="AD14" s="27">
        <v>0.67846199391765205</v>
      </c>
      <c r="AE14" s="27">
        <v>0.71478467041156302</v>
      </c>
      <c r="AF14" s="27">
        <v>0.81072903621375003</v>
      </c>
      <c r="AG14" s="27">
        <v>0.818933645763536</v>
      </c>
      <c r="AH14" s="27"/>
      <c r="AI14" s="27">
        <v>0.75566782623365603</v>
      </c>
      <c r="AJ14" s="27">
        <v>0.71219421526189397</v>
      </c>
      <c r="AK14" s="27">
        <v>0.72849431603302295</v>
      </c>
      <c r="AL14" s="27">
        <v>0.65132793285629897</v>
      </c>
      <c r="AM14" s="27">
        <v>0.68312895967178</v>
      </c>
      <c r="AN14" s="27">
        <v>0.63244202028306096</v>
      </c>
      <c r="AO14" s="27"/>
      <c r="AP14" s="27">
        <v>0.79021723123672405</v>
      </c>
      <c r="AQ14" s="27">
        <v>0.62050604407242405</v>
      </c>
      <c r="AR14" s="27"/>
      <c r="AS14" s="27" t="s">
        <v>88</v>
      </c>
      <c r="AT14" s="27" t="s">
        <v>88</v>
      </c>
      <c r="AU14" s="27">
        <v>0.71477538155255405</v>
      </c>
      <c r="AV14" s="27"/>
      <c r="AW14" s="27">
        <v>0.72578183025540899</v>
      </c>
      <c r="AX14" s="27">
        <v>0.74523582328807103</v>
      </c>
      <c r="AY14" s="27"/>
      <c r="AZ14" s="27">
        <v>0.74693345002674905</v>
      </c>
      <c r="BA14" s="27">
        <v>0.53676881189412395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739</v>
      </c>
      <c r="D7" s="10">
        <v>315</v>
      </c>
      <c r="E7" s="10">
        <v>424</v>
      </c>
      <c r="F7" s="10"/>
      <c r="G7" s="10">
        <v>2</v>
      </c>
      <c r="H7" s="10">
        <v>68</v>
      </c>
      <c r="I7" s="10">
        <v>314</v>
      </c>
      <c r="J7" s="10">
        <v>262</v>
      </c>
      <c r="K7" s="10">
        <v>77</v>
      </c>
      <c r="L7" s="10">
        <v>16</v>
      </c>
      <c r="M7" s="10"/>
      <c r="N7" s="10">
        <v>368</v>
      </c>
      <c r="O7" s="10">
        <v>164</v>
      </c>
      <c r="P7" s="10">
        <v>104</v>
      </c>
      <c r="Q7" s="10">
        <v>100</v>
      </c>
      <c r="R7" s="10"/>
      <c r="S7" s="10">
        <v>142</v>
      </c>
      <c r="T7" s="10">
        <v>109</v>
      </c>
      <c r="U7" s="10">
        <v>52</v>
      </c>
      <c r="V7" s="10">
        <v>61</v>
      </c>
      <c r="W7" s="10">
        <v>59</v>
      </c>
      <c r="X7" s="10">
        <v>88</v>
      </c>
      <c r="Y7" s="10">
        <v>86</v>
      </c>
      <c r="Z7" s="10">
        <v>40</v>
      </c>
      <c r="AA7" s="10">
        <v>102</v>
      </c>
      <c r="AB7" s="10"/>
      <c r="AC7" s="10">
        <v>103</v>
      </c>
      <c r="AD7" s="10">
        <v>140</v>
      </c>
      <c r="AE7" s="10">
        <v>227</v>
      </c>
      <c r="AF7" s="10">
        <v>172</v>
      </c>
      <c r="AG7" s="10">
        <v>41</v>
      </c>
      <c r="AH7" s="10"/>
      <c r="AI7" s="10">
        <v>281</v>
      </c>
      <c r="AJ7" s="10">
        <v>158</v>
      </c>
      <c r="AK7" s="10">
        <v>73</v>
      </c>
      <c r="AL7" s="10">
        <v>98</v>
      </c>
      <c r="AM7" s="10">
        <v>38</v>
      </c>
      <c r="AN7" s="10">
        <v>42</v>
      </c>
      <c r="AO7" s="10"/>
      <c r="AP7" s="10">
        <v>419</v>
      </c>
      <c r="AQ7" s="10">
        <v>320</v>
      </c>
      <c r="AR7" s="10"/>
      <c r="AS7" s="10" t="s">
        <v>87</v>
      </c>
      <c r="AT7" s="10" t="s">
        <v>87</v>
      </c>
      <c r="AU7" s="10">
        <v>739</v>
      </c>
      <c r="AV7" s="10"/>
      <c r="AW7" s="10">
        <v>524</v>
      </c>
      <c r="AX7" s="10">
        <v>176</v>
      </c>
      <c r="AY7" s="10"/>
      <c r="AZ7" s="10">
        <v>627</v>
      </c>
      <c r="BA7" s="10">
        <v>111</v>
      </c>
    </row>
    <row r="8" spans="2:53" ht="30" customHeight="1" x14ac:dyDescent="0.35">
      <c r="B8" s="11" t="s">
        <v>19</v>
      </c>
      <c r="C8" s="11">
        <v>694</v>
      </c>
      <c r="D8" s="11">
        <v>353</v>
      </c>
      <c r="E8" s="11">
        <v>341</v>
      </c>
      <c r="F8" s="11"/>
      <c r="G8" s="11">
        <v>2</v>
      </c>
      <c r="H8" s="11">
        <v>55</v>
      </c>
      <c r="I8" s="11">
        <v>288</v>
      </c>
      <c r="J8" s="11">
        <v>256</v>
      </c>
      <c r="K8" s="11">
        <v>77</v>
      </c>
      <c r="L8" s="11">
        <v>17</v>
      </c>
      <c r="M8" s="11"/>
      <c r="N8" s="11">
        <v>226</v>
      </c>
      <c r="O8" s="11">
        <v>172</v>
      </c>
      <c r="P8" s="11">
        <v>155</v>
      </c>
      <c r="Q8" s="11">
        <v>139</v>
      </c>
      <c r="R8" s="11"/>
      <c r="S8" s="11">
        <v>114</v>
      </c>
      <c r="T8" s="11">
        <v>103</v>
      </c>
      <c r="U8" s="11">
        <v>62</v>
      </c>
      <c r="V8" s="11">
        <v>69</v>
      </c>
      <c r="W8" s="11">
        <v>64</v>
      </c>
      <c r="X8" s="11">
        <v>76</v>
      </c>
      <c r="Y8" s="11">
        <v>73</v>
      </c>
      <c r="Z8" s="11">
        <v>39</v>
      </c>
      <c r="AA8" s="11">
        <v>94</v>
      </c>
      <c r="AB8" s="11"/>
      <c r="AC8" s="11">
        <v>120</v>
      </c>
      <c r="AD8" s="11">
        <v>153</v>
      </c>
      <c r="AE8" s="11">
        <v>210</v>
      </c>
      <c r="AF8" s="11">
        <v>127</v>
      </c>
      <c r="AG8" s="11">
        <v>23</v>
      </c>
      <c r="AH8" s="11"/>
      <c r="AI8" s="11">
        <v>253</v>
      </c>
      <c r="AJ8" s="11">
        <v>148</v>
      </c>
      <c r="AK8" s="11">
        <v>67</v>
      </c>
      <c r="AL8" s="11">
        <v>98</v>
      </c>
      <c r="AM8" s="11">
        <v>36</v>
      </c>
      <c r="AN8" s="11">
        <v>42</v>
      </c>
      <c r="AO8" s="11"/>
      <c r="AP8" s="11">
        <v>386</v>
      </c>
      <c r="AQ8" s="11">
        <v>309</v>
      </c>
      <c r="AR8" s="11"/>
      <c r="AS8" s="11" t="s">
        <v>87</v>
      </c>
      <c r="AT8" s="11" t="s">
        <v>87</v>
      </c>
      <c r="AU8" s="11">
        <v>694</v>
      </c>
      <c r="AV8" s="11"/>
      <c r="AW8" s="11">
        <v>512</v>
      </c>
      <c r="AX8" s="11">
        <v>142</v>
      </c>
      <c r="AY8" s="11"/>
      <c r="AZ8" s="11">
        <v>586</v>
      </c>
      <c r="BA8" s="11">
        <v>107</v>
      </c>
    </row>
    <row r="9" spans="2:53" x14ac:dyDescent="0.35">
      <c r="B9" s="15" t="s">
        <v>226</v>
      </c>
      <c r="C9" s="14">
        <v>0.19245204249742101</v>
      </c>
      <c r="D9" s="14">
        <v>0.23021372999004999</v>
      </c>
      <c r="E9" s="14">
        <v>0.15344902877807001</v>
      </c>
      <c r="F9" s="14"/>
      <c r="G9" s="14">
        <v>0.32609904251605598</v>
      </c>
      <c r="H9" s="14">
        <v>0.37465880537266599</v>
      </c>
      <c r="I9" s="14">
        <v>0.204785461423205</v>
      </c>
      <c r="J9" s="14">
        <v>0.16253449833522399</v>
      </c>
      <c r="K9" s="14">
        <v>0.107805561372152</v>
      </c>
      <c r="L9" s="14">
        <v>0.21802415542592801</v>
      </c>
      <c r="M9" s="14"/>
      <c r="N9" s="14">
        <v>0.240721274576187</v>
      </c>
      <c r="O9" s="14">
        <v>0.14285015798786899</v>
      </c>
      <c r="P9" s="14">
        <v>0.17132950007789999</v>
      </c>
      <c r="Q9" s="14">
        <v>0.202901561883507</v>
      </c>
      <c r="R9" s="14"/>
      <c r="S9" s="14">
        <v>0.27137368863539202</v>
      </c>
      <c r="T9" s="14">
        <v>0.17794522813626501</v>
      </c>
      <c r="U9" s="14">
        <v>0.23931942827539701</v>
      </c>
      <c r="V9" s="14">
        <v>0.193050474029754</v>
      </c>
      <c r="W9" s="14">
        <v>0.17413257210469099</v>
      </c>
      <c r="X9" s="14">
        <v>0.23768015124785499</v>
      </c>
      <c r="Y9" s="14">
        <v>0.11748533882305599</v>
      </c>
      <c r="Z9" s="14">
        <v>0.15103884735370801</v>
      </c>
      <c r="AA9" s="14">
        <v>0.13280485237822801</v>
      </c>
      <c r="AB9" s="14"/>
      <c r="AC9" s="14">
        <v>0.168406149643854</v>
      </c>
      <c r="AD9" s="14">
        <v>9.5445502442031094E-2</v>
      </c>
      <c r="AE9" s="14">
        <v>0.213741815383022</v>
      </c>
      <c r="AF9" s="14">
        <v>0.24491546691473001</v>
      </c>
      <c r="AG9" s="14">
        <v>0.37161185548776599</v>
      </c>
      <c r="AH9" s="14"/>
      <c r="AI9" s="14">
        <v>0.28614277966816698</v>
      </c>
      <c r="AJ9" s="14">
        <v>0.15053980942828801</v>
      </c>
      <c r="AK9" s="14">
        <v>0.19828229407037101</v>
      </c>
      <c r="AL9" s="14">
        <v>7.85842047395761E-2</v>
      </c>
      <c r="AM9" s="14">
        <v>0.16143956827122</v>
      </c>
      <c r="AN9" s="14">
        <v>0.10055591184674301</v>
      </c>
      <c r="AO9" s="14"/>
      <c r="AP9" s="14">
        <v>0.220325196651254</v>
      </c>
      <c r="AQ9" s="14">
        <v>0.157622782788606</v>
      </c>
      <c r="AR9" s="14"/>
      <c r="AS9" s="14" t="s">
        <v>88</v>
      </c>
      <c r="AT9" s="14" t="s">
        <v>88</v>
      </c>
      <c r="AU9" s="14">
        <v>0.19245204249742101</v>
      </c>
      <c r="AV9" s="14"/>
      <c r="AW9" s="14">
        <v>0.17194156358026899</v>
      </c>
      <c r="AX9" s="14">
        <v>0.27570521356258798</v>
      </c>
      <c r="AY9" s="14"/>
      <c r="AZ9" s="14">
        <v>0.21606161127363899</v>
      </c>
      <c r="BA9" s="14">
        <v>6.5720522982746499E-2</v>
      </c>
    </row>
    <row r="10" spans="2:53" x14ac:dyDescent="0.35">
      <c r="B10" s="15" t="s">
        <v>227</v>
      </c>
      <c r="C10" s="14">
        <v>0.38201291036927199</v>
      </c>
      <c r="D10" s="14">
        <v>0.39694496856499101</v>
      </c>
      <c r="E10" s="14">
        <v>0.36658999605223003</v>
      </c>
      <c r="F10" s="14"/>
      <c r="G10" s="14">
        <v>0</v>
      </c>
      <c r="H10" s="14">
        <v>0.43867697730326199</v>
      </c>
      <c r="I10" s="14">
        <v>0.411528980819719</v>
      </c>
      <c r="J10" s="14">
        <v>0.34790728678650301</v>
      </c>
      <c r="K10" s="14">
        <v>0.33378151528501299</v>
      </c>
      <c r="L10" s="14">
        <v>0.467766357297697</v>
      </c>
      <c r="M10" s="14"/>
      <c r="N10" s="14">
        <v>0.35976615594078698</v>
      </c>
      <c r="O10" s="14">
        <v>0.32201015367852498</v>
      </c>
      <c r="P10" s="14">
        <v>0.49981040780236502</v>
      </c>
      <c r="Q10" s="14">
        <v>0.35906563899154997</v>
      </c>
      <c r="R10" s="14"/>
      <c r="S10" s="14">
        <v>0.448849198326504</v>
      </c>
      <c r="T10" s="14">
        <v>0.36417873211136498</v>
      </c>
      <c r="U10" s="14">
        <v>0.277851253847472</v>
      </c>
      <c r="V10" s="14">
        <v>0.32675992333258902</v>
      </c>
      <c r="W10" s="14">
        <v>0.351642403034648</v>
      </c>
      <c r="X10" s="14">
        <v>0.33425029671366802</v>
      </c>
      <c r="Y10" s="14">
        <v>0.48819947675705899</v>
      </c>
      <c r="Z10" s="14">
        <v>0.44343296889114397</v>
      </c>
      <c r="AA10" s="14">
        <v>0.38027950469670202</v>
      </c>
      <c r="AB10" s="14"/>
      <c r="AC10" s="14">
        <v>0.318119459938555</v>
      </c>
      <c r="AD10" s="14">
        <v>0.42316882508374198</v>
      </c>
      <c r="AE10" s="14">
        <v>0.38556458258460702</v>
      </c>
      <c r="AF10" s="14">
        <v>0.44735642615224602</v>
      </c>
      <c r="AG10" s="14">
        <v>0.24529092671472599</v>
      </c>
      <c r="AH10" s="14"/>
      <c r="AI10" s="14">
        <v>0.39549212686135998</v>
      </c>
      <c r="AJ10" s="14">
        <v>0.37925832037591301</v>
      </c>
      <c r="AK10" s="14">
        <v>0.351821222657697</v>
      </c>
      <c r="AL10" s="14">
        <v>0.34823573784491801</v>
      </c>
      <c r="AM10" s="14">
        <v>0.30046797452734297</v>
      </c>
      <c r="AN10" s="14">
        <v>0.47206398658552701</v>
      </c>
      <c r="AO10" s="14"/>
      <c r="AP10" s="14">
        <v>0.43586436754021901</v>
      </c>
      <c r="AQ10" s="14">
        <v>0.31472212665840998</v>
      </c>
      <c r="AR10" s="14"/>
      <c r="AS10" s="14" t="s">
        <v>88</v>
      </c>
      <c r="AT10" s="14" t="s">
        <v>88</v>
      </c>
      <c r="AU10" s="14">
        <v>0.38201291036927199</v>
      </c>
      <c r="AV10" s="14"/>
      <c r="AW10" s="14">
        <v>0.38518138108907801</v>
      </c>
      <c r="AX10" s="14">
        <v>0.38608704671030902</v>
      </c>
      <c r="AY10" s="14"/>
      <c r="AZ10" s="14">
        <v>0.40212031674515702</v>
      </c>
      <c r="BA10" s="14">
        <v>0.266383111072101</v>
      </c>
    </row>
    <row r="11" spans="2:53" x14ac:dyDescent="0.35">
      <c r="B11" s="15" t="s">
        <v>228</v>
      </c>
      <c r="C11" s="14">
        <v>0.23042643951708999</v>
      </c>
      <c r="D11" s="14">
        <v>0.22898893824566499</v>
      </c>
      <c r="E11" s="14">
        <v>0.231911195245284</v>
      </c>
      <c r="F11" s="14"/>
      <c r="G11" s="14">
        <v>0</v>
      </c>
      <c r="H11" s="14">
        <v>0.12669098598394499</v>
      </c>
      <c r="I11" s="14">
        <v>0.212933926903044</v>
      </c>
      <c r="J11" s="14">
        <v>0.25546830885750099</v>
      </c>
      <c r="K11" s="14">
        <v>0.30169526867167901</v>
      </c>
      <c r="L11" s="14">
        <v>0.18243560428370101</v>
      </c>
      <c r="M11" s="14"/>
      <c r="N11" s="14">
        <v>0.21578266254931799</v>
      </c>
      <c r="O11" s="14">
        <v>0.30053921702198</v>
      </c>
      <c r="P11" s="14">
        <v>0.17627160348582299</v>
      </c>
      <c r="Q11" s="14">
        <v>0.23280931905914301</v>
      </c>
      <c r="R11" s="14"/>
      <c r="S11" s="14">
        <v>0.19775470369395601</v>
      </c>
      <c r="T11" s="14">
        <v>0.19020298397038499</v>
      </c>
      <c r="U11" s="14">
        <v>0.30299696277794902</v>
      </c>
      <c r="V11" s="14">
        <v>0.22051085929445199</v>
      </c>
      <c r="W11" s="14">
        <v>0.27746551043572099</v>
      </c>
      <c r="X11" s="14">
        <v>0.232747503661653</v>
      </c>
      <c r="Y11" s="14">
        <v>0.185558381972381</v>
      </c>
      <c r="Z11" s="14">
        <v>0.21134055336225399</v>
      </c>
      <c r="AA11" s="14">
        <v>0.28294937371942303</v>
      </c>
      <c r="AB11" s="14"/>
      <c r="AC11" s="14">
        <v>0.24121010814847199</v>
      </c>
      <c r="AD11" s="14">
        <v>0.27330691318407402</v>
      </c>
      <c r="AE11" s="14">
        <v>0.22398194747511499</v>
      </c>
      <c r="AF11" s="14">
        <v>0.15429134878242101</v>
      </c>
      <c r="AG11" s="14">
        <v>0.26932912302129097</v>
      </c>
      <c r="AH11" s="14"/>
      <c r="AI11" s="14">
        <v>0.18358726227796501</v>
      </c>
      <c r="AJ11" s="14">
        <v>0.25944338845006398</v>
      </c>
      <c r="AK11" s="14">
        <v>0.23035716762761599</v>
      </c>
      <c r="AL11" s="14">
        <v>0.31214974956238101</v>
      </c>
      <c r="AM11" s="14">
        <v>0.234093216974991</v>
      </c>
      <c r="AN11" s="14">
        <v>0.19896998769278301</v>
      </c>
      <c r="AO11" s="14"/>
      <c r="AP11" s="14">
        <v>0.20914816590462601</v>
      </c>
      <c r="AQ11" s="14">
        <v>0.25701498108341397</v>
      </c>
      <c r="AR11" s="14"/>
      <c r="AS11" s="14" t="s">
        <v>88</v>
      </c>
      <c r="AT11" s="14" t="s">
        <v>88</v>
      </c>
      <c r="AU11" s="14">
        <v>0.23042643951708999</v>
      </c>
      <c r="AV11" s="14"/>
      <c r="AW11" s="14">
        <v>0.24403225301059001</v>
      </c>
      <c r="AX11" s="14">
        <v>0.20753546050400901</v>
      </c>
      <c r="AY11" s="14"/>
      <c r="AZ11" s="14">
        <v>0.21183547538295</v>
      </c>
      <c r="BA11" s="14">
        <v>0.33397931220633997</v>
      </c>
    </row>
    <row r="12" spans="2:53" x14ac:dyDescent="0.35">
      <c r="B12" s="15" t="s">
        <v>229</v>
      </c>
      <c r="C12" s="14">
        <v>0.13099598630654599</v>
      </c>
      <c r="D12" s="14">
        <v>7.1674633287373904E-2</v>
      </c>
      <c r="E12" s="14">
        <v>0.19226738860044201</v>
      </c>
      <c r="F12" s="14"/>
      <c r="G12" s="14">
        <v>0</v>
      </c>
      <c r="H12" s="14">
        <v>5.9973231340127199E-2</v>
      </c>
      <c r="I12" s="14">
        <v>0.125994265581054</v>
      </c>
      <c r="J12" s="14">
        <v>0.156884291524994</v>
      </c>
      <c r="K12" s="14">
        <v>0.116833820648733</v>
      </c>
      <c r="L12" s="14">
        <v>0.13177388299267401</v>
      </c>
      <c r="M12" s="14"/>
      <c r="N12" s="14">
        <v>0.107622955988588</v>
      </c>
      <c r="O12" s="14">
        <v>0.16457356199498599</v>
      </c>
      <c r="P12" s="14">
        <v>0.119980722432886</v>
      </c>
      <c r="Q12" s="14">
        <v>0.13671718195579299</v>
      </c>
      <c r="R12" s="14"/>
      <c r="S12" s="14">
        <v>5.0364954342197503E-2</v>
      </c>
      <c r="T12" s="14">
        <v>0.132175284111818</v>
      </c>
      <c r="U12" s="14">
        <v>0.12356937350105</v>
      </c>
      <c r="V12" s="14">
        <v>0.194405648546702</v>
      </c>
      <c r="W12" s="14">
        <v>0.149470131552152</v>
      </c>
      <c r="X12" s="14">
        <v>0.15979057502223901</v>
      </c>
      <c r="Y12" s="14">
        <v>0.171102586266519</v>
      </c>
      <c r="Z12" s="14">
        <v>9.0152646072556797E-2</v>
      </c>
      <c r="AA12" s="14">
        <v>0.135773325338717</v>
      </c>
      <c r="AB12" s="14"/>
      <c r="AC12" s="14">
        <v>0.19706960415286001</v>
      </c>
      <c r="AD12" s="14">
        <v>0.16839228218185801</v>
      </c>
      <c r="AE12" s="14">
        <v>9.9011722206247404E-2</v>
      </c>
      <c r="AF12" s="14">
        <v>8.1488135924250193E-2</v>
      </c>
      <c r="AG12" s="14">
        <v>6.9955914761498206E-2</v>
      </c>
      <c r="AH12" s="14"/>
      <c r="AI12" s="14">
        <v>7.4830460250849495E-2</v>
      </c>
      <c r="AJ12" s="14">
        <v>0.15458324370670501</v>
      </c>
      <c r="AK12" s="14">
        <v>0.11032584579549801</v>
      </c>
      <c r="AL12" s="14">
        <v>0.209040741705735</v>
      </c>
      <c r="AM12" s="14">
        <v>0.233008933674063</v>
      </c>
      <c r="AN12" s="14">
        <v>0.173837444616709</v>
      </c>
      <c r="AO12" s="14"/>
      <c r="AP12" s="14">
        <v>7.3915247165830103E-2</v>
      </c>
      <c r="AQ12" s="14">
        <v>0.20232196100359301</v>
      </c>
      <c r="AR12" s="14"/>
      <c r="AS12" s="14" t="s">
        <v>88</v>
      </c>
      <c r="AT12" s="14" t="s">
        <v>88</v>
      </c>
      <c r="AU12" s="14">
        <v>0.13099598630654599</v>
      </c>
      <c r="AV12" s="14"/>
      <c r="AW12" s="14">
        <v>0.13159456586923199</v>
      </c>
      <c r="AX12" s="14">
        <v>8.2505128478351605E-2</v>
      </c>
      <c r="AY12" s="14"/>
      <c r="AZ12" s="14">
        <v>0.105971198900995</v>
      </c>
      <c r="BA12" s="14">
        <v>0.26862181538109597</v>
      </c>
    </row>
    <row r="13" spans="2:53" x14ac:dyDescent="0.35">
      <c r="B13" s="15" t="s">
        <v>116</v>
      </c>
      <c r="C13" s="23">
        <v>2.3311868147103201E-2</v>
      </c>
      <c r="D13" s="23">
        <v>1.89239234641649E-2</v>
      </c>
      <c r="E13" s="23">
        <v>2.7844056140603299E-2</v>
      </c>
      <c r="F13" s="23"/>
      <c r="G13" s="23">
        <v>0</v>
      </c>
      <c r="H13" s="23">
        <v>0</v>
      </c>
      <c r="I13" s="23">
        <v>1.41726790621581E-2</v>
      </c>
      <c r="J13" s="23">
        <v>3.3806771591608997E-2</v>
      </c>
      <c r="K13" s="23">
        <v>4.4794554848393203E-2</v>
      </c>
      <c r="L13" s="23">
        <v>0</v>
      </c>
      <c r="M13" s="23"/>
      <c r="N13" s="23">
        <v>2.6917963234881701E-2</v>
      </c>
      <c r="O13" s="23">
        <v>3.7140259786406303E-2</v>
      </c>
      <c r="P13" s="23">
        <v>1.1330485179224701E-2</v>
      </c>
      <c r="Q13" s="23">
        <v>8.8596628364048507E-3</v>
      </c>
      <c r="R13" s="23"/>
      <c r="S13" s="23">
        <v>2.14190892964971E-2</v>
      </c>
      <c r="T13" s="23">
        <v>3.4205916123355898E-2</v>
      </c>
      <c r="U13" s="23">
        <v>2.84646147005287E-2</v>
      </c>
      <c r="V13" s="23">
        <v>2.0643533913268699E-2</v>
      </c>
      <c r="W13" s="23">
        <v>1.54350008984163E-2</v>
      </c>
      <c r="X13" s="23">
        <v>0</v>
      </c>
      <c r="Y13" s="23">
        <v>1.00000883370726E-2</v>
      </c>
      <c r="Z13" s="23">
        <v>6.4892563806877898E-2</v>
      </c>
      <c r="AA13" s="23">
        <v>2.96868911698248E-2</v>
      </c>
      <c r="AB13" s="23"/>
      <c r="AC13" s="23">
        <v>3.0985801450785201E-2</v>
      </c>
      <c r="AD13" s="23">
        <v>6.9029363094782496E-3</v>
      </c>
      <c r="AE13" s="23">
        <v>3.6296505628172299E-2</v>
      </c>
      <c r="AF13" s="23">
        <v>2.7209028462634101E-2</v>
      </c>
      <c r="AG13" s="23">
        <v>1.43832729497467E-2</v>
      </c>
      <c r="AH13" s="23"/>
      <c r="AI13" s="23">
        <v>2.4976326437327102E-2</v>
      </c>
      <c r="AJ13" s="23">
        <v>1.2590615144129E-2</v>
      </c>
      <c r="AK13" s="23">
        <v>4.2211760630052803E-2</v>
      </c>
      <c r="AL13" s="23">
        <v>1.79997626084989E-2</v>
      </c>
      <c r="AM13" s="23">
        <v>0</v>
      </c>
      <c r="AN13" s="23">
        <v>3.4170122242321702E-2</v>
      </c>
      <c r="AO13" s="23"/>
      <c r="AP13" s="23">
        <v>1.9063549389335702E-2</v>
      </c>
      <c r="AQ13" s="23">
        <v>2.8620409710913602E-2</v>
      </c>
      <c r="AR13" s="23"/>
      <c r="AS13" s="23" t="s">
        <v>88</v>
      </c>
      <c r="AT13" s="23" t="s">
        <v>88</v>
      </c>
      <c r="AU13" s="23">
        <v>2.3311868147103201E-2</v>
      </c>
      <c r="AV13" s="23"/>
      <c r="AW13" s="23">
        <v>2.4639222215606299E-2</v>
      </c>
      <c r="AX13" s="23">
        <v>3.68253091390914E-3</v>
      </c>
      <c r="AY13" s="23"/>
      <c r="AZ13" s="23">
        <v>2.03640345983385E-2</v>
      </c>
      <c r="BA13" s="23">
        <v>3.9601298714082703E-2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739</v>
      </c>
      <c r="D7" s="10">
        <v>315</v>
      </c>
      <c r="E7" s="10">
        <v>424</v>
      </c>
      <c r="F7" s="10"/>
      <c r="G7" s="10">
        <v>2</v>
      </c>
      <c r="H7" s="10">
        <v>68</v>
      </c>
      <c r="I7" s="10">
        <v>314</v>
      </c>
      <c r="J7" s="10">
        <v>262</v>
      </c>
      <c r="K7" s="10">
        <v>77</v>
      </c>
      <c r="L7" s="10">
        <v>16</v>
      </c>
      <c r="M7" s="10"/>
      <c r="N7" s="10">
        <v>368</v>
      </c>
      <c r="O7" s="10">
        <v>164</v>
      </c>
      <c r="P7" s="10">
        <v>104</v>
      </c>
      <c r="Q7" s="10">
        <v>100</v>
      </c>
      <c r="R7" s="10"/>
      <c r="S7" s="10">
        <v>142</v>
      </c>
      <c r="T7" s="10">
        <v>109</v>
      </c>
      <c r="U7" s="10">
        <v>52</v>
      </c>
      <c r="V7" s="10">
        <v>61</v>
      </c>
      <c r="W7" s="10">
        <v>59</v>
      </c>
      <c r="X7" s="10">
        <v>88</v>
      </c>
      <c r="Y7" s="10">
        <v>86</v>
      </c>
      <c r="Z7" s="10">
        <v>40</v>
      </c>
      <c r="AA7" s="10">
        <v>102</v>
      </c>
      <c r="AB7" s="10"/>
      <c r="AC7" s="10">
        <v>103</v>
      </c>
      <c r="AD7" s="10">
        <v>140</v>
      </c>
      <c r="AE7" s="10">
        <v>227</v>
      </c>
      <c r="AF7" s="10">
        <v>172</v>
      </c>
      <c r="AG7" s="10">
        <v>41</v>
      </c>
      <c r="AH7" s="10"/>
      <c r="AI7" s="10">
        <v>281</v>
      </c>
      <c r="AJ7" s="10">
        <v>158</v>
      </c>
      <c r="AK7" s="10">
        <v>73</v>
      </c>
      <c r="AL7" s="10">
        <v>98</v>
      </c>
      <c r="AM7" s="10">
        <v>38</v>
      </c>
      <c r="AN7" s="10">
        <v>42</v>
      </c>
      <c r="AO7" s="10"/>
      <c r="AP7" s="10">
        <v>419</v>
      </c>
      <c r="AQ7" s="10">
        <v>320</v>
      </c>
      <c r="AR7" s="10"/>
      <c r="AS7" s="10" t="s">
        <v>87</v>
      </c>
      <c r="AT7" s="10" t="s">
        <v>87</v>
      </c>
      <c r="AU7" s="10">
        <v>739</v>
      </c>
      <c r="AV7" s="10"/>
      <c r="AW7" s="10">
        <v>524</v>
      </c>
      <c r="AX7" s="10">
        <v>176</v>
      </c>
      <c r="AY7" s="10"/>
      <c r="AZ7" s="10">
        <v>627</v>
      </c>
      <c r="BA7" s="10">
        <v>111</v>
      </c>
    </row>
    <row r="8" spans="2:53" ht="30" customHeight="1" x14ac:dyDescent="0.35">
      <c r="B8" s="11" t="s">
        <v>19</v>
      </c>
      <c r="C8" s="11">
        <v>694</v>
      </c>
      <c r="D8" s="11">
        <v>353</v>
      </c>
      <c r="E8" s="11">
        <v>341</v>
      </c>
      <c r="F8" s="11"/>
      <c r="G8" s="11">
        <v>2</v>
      </c>
      <c r="H8" s="11">
        <v>55</v>
      </c>
      <c r="I8" s="11">
        <v>288</v>
      </c>
      <c r="J8" s="11">
        <v>256</v>
      </c>
      <c r="K8" s="11">
        <v>77</v>
      </c>
      <c r="L8" s="11">
        <v>17</v>
      </c>
      <c r="M8" s="11"/>
      <c r="N8" s="11">
        <v>226</v>
      </c>
      <c r="O8" s="11">
        <v>172</v>
      </c>
      <c r="P8" s="11">
        <v>155</v>
      </c>
      <c r="Q8" s="11">
        <v>139</v>
      </c>
      <c r="R8" s="11"/>
      <c r="S8" s="11">
        <v>114</v>
      </c>
      <c r="T8" s="11">
        <v>103</v>
      </c>
      <c r="U8" s="11">
        <v>62</v>
      </c>
      <c r="V8" s="11">
        <v>69</v>
      </c>
      <c r="W8" s="11">
        <v>64</v>
      </c>
      <c r="X8" s="11">
        <v>76</v>
      </c>
      <c r="Y8" s="11">
        <v>73</v>
      </c>
      <c r="Z8" s="11">
        <v>39</v>
      </c>
      <c r="AA8" s="11">
        <v>94</v>
      </c>
      <c r="AB8" s="11"/>
      <c r="AC8" s="11">
        <v>120</v>
      </c>
      <c r="AD8" s="11">
        <v>153</v>
      </c>
      <c r="AE8" s="11">
        <v>210</v>
      </c>
      <c r="AF8" s="11">
        <v>127</v>
      </c>
      <c r="AG8" s="11">
        <v>23</v>
      </c>
      <c r="AH8" s="11"/>
      <c r="AI8" s="11">
        <v>253</v>
      </c>
      <c r="AJ8" s="11">
        <v>148</v>
      </c>
      <c r="AK8" s="11">
        <v>67</v>
      </c>
      <c r="AL8" s="11">
        <v>98</v>
      </c>
      <c r="AM8" s="11">
        <v>36</v>
      </c>
      <c r="AN8" s="11">
        <v>42</v>
      </c>
      <c r="AO8" s="11"/>
      <c r="AP8" s="11">
        <v>386</v>
      </c>
      <c r="AQ8" s="11">
        <v>309</v>
      </c>
      <c r="AR8" s="11"/>
      <c r="AS8" s="11" t="s">
        <v>87</v>
      </c>
      <c r="AT8" s="11" t="s">
        <v>87</v>
      </c>
      <c r="AU8" s="11">
        <v>694</v>
      </c>
      <c r="AV8" s="11"/>
      <c r="AW8" s="11">
        <v>512</v>
      </c>
      <c r="AX8" s="11">
        <v>142</v>
      </c>
      <c r="AY8" s="11"/>
      <c r="AZ8" s="11">
        <v>586</v>
      </c>
      <c r="BA8" s="11">
        <v>107</v>
      </c>
    </row>
    <row r="9" spans="2:53" ht="29" x14ac:dyDescent="0.35">
      <c r="B9" s="15" t="s">
        <v>231</v>
      </c>
      <c r="C9" s="14">
        <v>0.12337001551438399</v>
      </c>
      <c r="D9" s="14">
        <v>0.14949354044477201</v>
      </c>
      <c r="E9" s="14">
        <v>9.6387741444756106E-2</v>
      </c>
      <c r="F9" s="14"/>
      <c r="G9" s="14">
        <v>0</v>
      </c>
      <c r="H9" s="14">
        <v>0.14724569510926599</v>
      </c>
      <c r="I9" s="14">
        <v>0.13606458840239499</v>
      </c>
      <c r="J9" s="14">
        <v>0.12523014759954401</v>
      </c>
      <c r="K9" s="14">
        <v>7.1025165454163902E-2</v>
      </c>
      <c r="L9" s="14">
        <v>5.1478752330020298E-2</v>
      </c>
      <c r="M9" s="14"/>
      <c r="N9" s="14">
        <v>9.4827068803610706E-2</v>
      </c>
      <c r="O9" s="14">
        <v>0.114868807642782</v>
      </c>
      <c r="P9" s="14">
        <v>0.191223674443528</v>
      </c>
      <c r="Q9" s="14">
        <v>0.101158648871498</v>
      </c>
      <c r="R9" s="14"/>
      <c r="S9" s="14">
        <v>0.14840964492300501</v>
      </c>
      <c r="T9" s="14">
        <v>0.124117722536149</v>
      </c>
      <c r="U9" s="14">
        <v>0.18658284793350399</v>
      </c>
      <c r="V9" s="14">
        <v>8.2185501459722907E-2</v>
      </c>
      <c r="W9" s="14">
        <v>5.2260105957156397E-2</v>
      </c>
      <c r="X9" s="14">
        <v>0.17981984966273401</v>
      </c>
      <c r="Y9" s="14">
        <v>0.120222354645017</v>
      </c>
      <c r="Z9" s="14">
        <v>6.8851665330247502E-2</v>
      </c>
      <c r="AA9" s="14">
        <v>0.10881185182370599</v>
      </c>
      <c r="AB9" s="14"/>
      <c r="AC9" s="14">
        <v>8.7374932731285507E-2</v>
      </c>
      <c r="AD9" s="14">
        <v>8.6292338226475099E-2</v>
      </c>
      <c r="AE9" s="14">
        <v>0.12331217549042101</v>
      </c>
      <c r="AF9" s="14">
        <v>0.19668030544029699</v>
      </c>
      <c r="AG9" s="14">
        <v>0.13015201315747399</v>
      </c>
      <c r="AH9" s="14"/>
      <c r="AI9" s="14">
        <v>0.118897357664544</v>
      </c>
      <c r="AJ9" s="14">
        <v>0.11410338712364899</v>
      </c>
      <c r="AK9" s="14">
        <v>0.22098172958229501</v>
      </c>
      <c r="AL9" s="14">
        <v>3.6407052593664703E-2</v>
      </c>
      <c r="AM9" s="14">
        <v>0.22489315177229199</v>
      </c>
      <c r="AN9" s="14">
        <v>0.24718078240963701</v>
      </c>
      <c r="AO9" s="14"/>
      <c r="AP9" s="14">
        <v>0.115969835516034</v>
      </c>
      <c r="AQ9" s="14">
        <v>0.13261700599246101</v>
      </c>
      <c r="AR9" s="14"/>
      <c r="AS9" s="14" t="s">
        <v>88</v>
      </c>
      <c r="AT9" s="14" t="s">
        <v>88</v>
      </c>
      <c r="AU9" s="14">
        <v>0.12337001551438399</v>
      </c>
      <c r="AV9" s="14"/>
      <c r="AW9" s="14">
        <v>0.107973465609269</v>
      </c>
      <c r="AX9" s="14">
        <v>0.195593292264618</v>
      </c>
      <c r="AY9" s="14"/>
      <c r="AZ9" s="14">
        <v>0.13345838501141399</v>
      </c>
      <c r="BA9" s="14">
        <v>6.9622582190287705E-2</v>
      </c>
    </row>
    <row r="10" spans="2:53" ht="29" x14ac:dyDescent="0.35">
      <c r="B10" s="15" t="s">
        <v>232</v>
      </c>
      <c r="C10" s="14">
        <v>0.73084160817310795</v>
      </c>
      <c r="D10" s="14">
        <v>0.72901311793474199</v>
      </c>
      <c r="E10" s="14">
        <v>0.73273020570642999</v>
      </c>
      <c r="F10" s="14"/>
      <c r="G10" s="14">
        <v>0</v>
      </c>
      <c r="H10" s="14">
        <v>0.72830497875072098</v>
      </c>
      <c r="I10" s="14">
        <v>0.69096884236596301</v>
      </c>
      <c r="J10" s="14">
        <v>0.74470879675745705</v>
      </c>
      <c r="K10" s="14">
        <v>0.84858476010552097</v>
      </c>
      <c r="L10" s="14">
        <v>0.741446840439414</v>
      </c>
      <c r="M10" s="14"/>
      <c r="N10" s="14">
        <v>0.76163473066993703</v>
      </c>
      <c r="O10" s="14">
        <v>0.72365925382205198</v>
      </c>
      <c r="P10" s="14">
        <v>0.69133410768393999</v>
      </c>
      <c r="Q10" s="14">
        <v>0.73407263496859898</v>
      </c>
      <c r="R10" s="14"/>
      <c r="S10" s="14">
        <v>0.71524588638738595</v>
      </c>
      <c r="T10" s="14">
        <v>0.73288657267969703</v>
      </c>
      <c r="U10" s="14">
        <v>0.69525890497049203</v>
      </c>
      <c r="V10" s="14">
        <v>0.80042736932817604</v>
      </c>
      <c r="W10" s="14">
        <v>0.77422742975758396</v>
      </c>
      <c r="X10" s="14">
        <v>0.68711608916858202</v>
      </c>
      <c r="Y10" s="14">
        <v>0.766554710691986</v>
      </c>
      <c r="Z10" s="14">
        <v>0.80615659602067602</v>
      </c>
      <c r="AA10" s="14">
        <v>0.666306955678446</v>
      </c>
      <c r="AB10" s="14"/>
      <c r="AC10" s="14">
        <v>0.78509489209420702</v>
      </c>
      <c r="AD10" s="14">
        <v>0.73537913708449698</v>
      </c>
      <c r="AE10" s="14">
        <v>0.735978188311458</v>
      </c>
      <c r="AF10" s="14">
        <v>0.67596205471924098</v>
      </c>
      <c r="AG10" s="14">
        <v>0.72206409164393603</v>
      </c>
      <c r="AH10" s="14"/>
      <c r="AI10" s="14">
        <v>0.71926357610819802</v>
      </c>
      <c r="AJ10" s="14">
        <v>0.72113051999978395</v>
      </c>
      <c r="AK10" s="14">
        <v>0.71115881871960596</v>
      </c>
      <c r="AL10" s="14">
        <v>0.84157570490241795</v>
      </c>
      <c r="AM10" s="14">
        <v>0.64136643304516705</v>
      </c>
      <c r="AN10" s="14">
        <v>0.58559585323538799</v>
      </c>
      <c r="AO10" s="14"/>
      <c r="AP10" s="14">
        <v>0.75702592277272895</v>
      </c>
      <c r="AQ10" s="14">
        <v>0.69812265973784005</v>
      </c>
      <c r="AR10" s="14"/>
      <c r="AS10" s="14" t="s">
        <v>88</v>
      </c>
      <c r="AT10" s="14" t="s">
        <v>88</v>
      </c>
      <c r="AU10" s="14">
        <v>0.73084160817310795</v>
      </c>
      <c r="AV10" s="14"/>
      <c r="AW10" s="14">
        <v>0.76214680610699703</v>
      </c>
      <c r="AX10" s="14">
        <v>0.65088752362510804</v>
      </c>
      <c r="AY10" s="14"/>
      <c r="AZ10" s="14">
        <v>0.73644892248650595</v>
      </c>
      <c r="BA10" s="14">
        <v>0.69764300221638897</v>
      </c>
    </row>
    <row r="11" spans="2:53" ht="29" x14ac:dyDescent="0.35">
      <c r="B11" s="15" t="s">
        <v>233</v>
      </c>
      <c r="C11" s="14">
        <v>0.103747419627663</v>
      </c>
      <c r="D11" s="14">
        <v>0.10075118361545</v>
      </c>
      <c r="E11" s="14">
        <v>0.106842149817185</v>
      </c>
      <c r="F11" s="14"/>
      <c r="G11" s="14">
        <v>1</v>
      </c>
      <c r="H11" s="14">
        <v>0.124449326140013</v>
      </c>
      <c r="I11" s="14">
        <v>0.13558884860638901</v>
      </c>
      <c r="J11" s="14">
        <v>7.9975116268107105E-2</v>
      </c>
      <c r="K11" s="14">
        <v>2.6854200313862899E-2</v>
      </c>
      <c r="L11" s="14">
        <v>0.119210165264132</v>
      </c>
      <c r="M11" s="14"/>
      <c r="N11" s="14">
        <v>0.100312698661225</v>
      </c>
      <c r="O11" s="14">
        <v>9.6704549841067897E-2</v>
      </c>
      <c r="P11" s="14">
        <v>0.10764213085567501</v>
      </c>
      <c r="Q11" s="14">
        <v>0.11583957823435601</v>
      </c>
      <c r="R11" s="14"/>
      <c r="S11" s="14">
        <v>9.3014780829953098E-2</v>
      </c>
      <c r="T11" s="14">
        <v>0.117411339540963</v>
      </c>
      <c r="U11" s="14">
        <v>6.56198341874418E-2</v>
      </c>
      <c r="V11" s="14">
        <v>8.7863146530068797E-2</v>
      </c>
      <c r="W11" s="14">
        <v>0.13056598727240801</v>
      </c>
      <c r="X11" s="14">
        <v>9.1352760220914694E-2</v>
      </c>
      <c r="Y11" s="14">
        <v>6.4357717273938103E-2</v>
      </c>
      <c r="Z11" s="14">
        <v>0.105420528536634</v>
      </c>
      <c r="AA11" s="14">
        <v>0.160376247076116</v>
      </c>
      <c r="AB11" s="14"/>
      <c r="AC11" s="14">
        <v>7.8166796948704598E-2</v>
      </c>
      <c r="AD11" s="14">
        <v>0.14207624872362701</v>
      </c>
      <c r="AE11" s="14">
        <v>9.6872168154677502E-2</v>
      </c>
      <c r="AF11" s="14">
        <v>0.10938669803284599</v>
      </c>
      <c r="AG11" s="14">
        <v>7.2066473750420607E-2</v>
      </c>
      <c r="AH11" s="14"/>
      <c r="AI11" s="14">
        <v>0.119960715457141</v>
      </c>
      <c r="AJ11" s="14">
        <v>0.14908390724015499</v>
      </c>
      <c r="AK11" s="14">
        <v>6.7859451698099496E-2</v>
      </c>
      <c r="AL11" s="14">
        <v>0.111048181903416</v>
      </c>
      <c r="AM11" s="14">
        <v>6.22919693895264E-2</v>
      </c>
      <c r="AN11" s="14">
        <v>0</v>
      </c>
      <c r="AO11" s="14"/>
      <c r="AP11" s="14">
        <v>9.2083963818585302E-2</v>
      </c>
      <c r="AQ11" s="14">
        <v>0.118321641448224</v>
      </c>
      <c r="AR11" s="14"/>
      <c r="AS11" s="14" t="s">
        <v>88</v>
      </c>
      <c r="AT11" s="14" t="s">
        <v>88</v>
      </c>
      <c r="AU11" s="14">
        <v>0.103747419627663</v>
      </c>
      <c r="AV11" s="14"/>
      <c r="AW11" s="14">
        <v>9.06697343164488E-2</v>
      </c>
      <c r="AX11" s="14">
        <v>0.13442339101457099</v>
      </c>
      <c r="AY11" s="14"/>
      <c r="AZ11" s="14">
        <v>9.8770808170375396E-2</v>
      </c>
      <c r="BA11" s="14">
        <v>0.131881565304695</v>
      </c>
    </row>
    <row r="12" spans="2:53" x14ac:dyDescent="0.35">
      <c r="B12" s="15" t="s">
        <v>116</v>
      </c>
      <c r="C12" s="23">
        <v>4.2040956684846101E-2</v>
      </c>
      <c r="D12" s="23">
        <v>2.0742158005035701E-2</v>
      </c>
      <c r="E12" s="23">
        <v>6.4039903031629306E-2</v>
      </c>
      <c r="F12" s="23"/>
      <c r="G12" s="23">
        <v>0</v>
      </c>
      <c r="H12" s="23">
        <v>0</v>
      </c>
      <c r="I12" s="23">
        <v>3.7377720625253699E-2</v>
      </c>
      <c r="J12" s="23">
        <v>5.0085939374891697E-2</v>
      </c>
      <c r="K12" s="23">
        <v>5.3535874126451798E-2</v>
      </c>
      <c r="L12" s="23">
        <v>8.7864241966433304E-2</v>
      </c>
      <c r="M12" s="23"/>
      <c r="N12" s="23">
        <v>4.3225501865227299E-2</v>
      </c>
      <c r="O12" s="23">
        <v>6.4767388694098593E-2</v>
      </c>
      <c r="P12" s="23">
        <v>9.8000870168561596E-3</v>
      </c>
      <c r="Q12" s="23">
        <v>4.8929137925547199E-2</v>
      </c>
      <c r="R12" s="23"/>
      <c r="S12" s="23">
        <v>4.3329687859656602E-2</v>
      </c>
      <c r="T12" s="23">
        <v>2.5584365243191201E-2</v>
      </c>
      <c r="U12" s="23">
        <v>5.2538412908561698E-2</v>
      </c>
      <c r="V12" s="23">
        <v>2.9523982682032102E-2</v>
      </c>
      <c r="W12" s="23">
        <v>4.2946477012851897E-2</v>
      </c>
      <c r="X12" s="23">
        <v>4.1711300947768599E-2</v>
      </c>
      <c r="Y12" s="23">
        <v>4.8865217389058697E-2</v>
      </c>
      <c r="Z12" s="23">
        <v>1.95712101124428E-2</v>
      </c>
      <c r="AA12" s="23">
        <v>6.4504945421732601E-2</v>
      </c>
      <c r="AB12" s="23"/>
      <c r="AC12" s="23">
        <v>4.9363378225803098E-2</v>
      </c>
      <c r="AD12" s="23">
        <v>3.6252275965400503E-2</v>
      </c>
      <c r="AE12" s="23">
        <v>4.3837468043442802E-2</v>
      </c>
      <c r="AF12" s="23">
        <v>1.79709418076156E-2</v>
      </c>
      <c r="AG12" s="23">
        <v>7.5717421448168995E-2</v>
      </c>
      <c r="AH12" s="23"/>
      <c r="AI12" s="23">
        <v>4.1878350770116299E-2</v>
      </c>
      <c r="AJ12" s="23">
        <v>1.5682185636412001E-2</v>
      </c>
      <c r="AK12" s="23">
        <v>0</v>
      </c>
      <c r="AL12" s="23">
        <v>1.0969060600500799E-2</v>
      </c>
      <c r="AM12" s="23">
        <v>7.1448445793015097E-2</v>
      </c>
      <c r="AN12" s="23">
        <v>0.16722336435497501</v>
      </c>
      <c r="AO12" s="23"/>
      <c r="AP12" s="23">
        <v>3.4920277892651598E-2</v>
      </c>
      <c r="AQ12" s="23">
        <v>5.0938692821475298E-2</v>
      </c>
      <c r="AR12" s="23"/>
      <c r="AS12" s="23" t="s">
        <v>88</v>
      </c>
      <c r="AT12" s="23" t="s">
        <v>88</v>
      </c>
      <c r="AU12" s="23">
        <v>4.2040956684846101E-2</v>
      </c>
      <c r="AV12" s="23"/>
      <c r="AW12" s="23">
        <v>3.9209993967284397E-2</v>
      </c>
      <c r="AX12" s="23">
        <v>1.90957930957034E-2</v>
      </c>
      <c r="AY12" s="23"/>
      <c r="AZ12" s="23">
        <v>3.13218843317042E-2</v>
      </c>
      <c r="BA12" s="23">
        <v>0.100852850288628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739</v>
      </c>
      <c r="D7" s="10">
        <v>315</v>
      </c>
      <c r="E7" s="10">
        <v>424</v>
      </c>
      <c r="F7" s="10"/>
      <c r="G7" s="10">
        <v>2</v>
      </c>
      <c r="H7" s="10">
        <v>68</v>
      </c>
      <c r="I7" s="10">
        <v>314</v>
      </c>
      <c r="J7" s="10">
        <v>262</v>
      </c>
      <c r="K7" s="10">
        <v>77</v>
      </c>
      <c r="L7" s="10">
        <v>16</v>
      </c>
      <c r="M7" s="10"/>
      <c r="N7" s="10">
        <v>368</v>
      </c>
      <c r="O7" s="10">
        <v>164</v>
      </c>
      <c r="P7" s="10">
        <v>104</v>
      </c>
      <c r="Q7" s="10">
        <v>100</v>
      </c>
      <c r="R7" s="10"/>
      <c r="S7" s="10">
        <v>142</v>
      </c>
      <c r="T7" s="10">
        <v>109</v>
      </c>
      <c r="U7" s="10">
        <v>52</v>
      </c>
      <c r="V7" s="10">
        <v>61</v>
      </c>
      <c r="W7" s="10">
        <v>59</v>
      </c>
      <c r="X7" s="10">
        <v>88</v>
      </c>
      <c r="Y7" s="10">
        <v>86</v>
      </c>
      <c r="Z7" s="10">
        <v>40</v>
      </c>
      <c r="AA7" s="10">
        <v>102</v>
      </c>
      <c r="AB7" s="10"/>
      <c r="AC7" s="10">
        <v>103</v>
      </c>
      <c r="AD7" s="10">
        <v>140</v>
      </c>
      <c r="AE7" s="10">
        <v>227</v>
      </c>
      <c r="AF7" s="10">
        <v>172</v>
      </c>
      <c r="AG7" s="10">
        <v>41</v>
      </c>
      <c r="AH7" s="10"/>
      <c r="AI7" s="10">
        <v>281</v>
      </c>
      <c r="AJ7" s="10">
        <v>158</v>
      </c>
      <c r="AK7" s="10">
        <v>73</v>
      </c>
      <c r="AL7" s="10">
        <v>98</v>
      </c>
      <c r="AM7" s="10">
        <v>38</v>
      </c>
      <c r="AN7" s="10">
        <v>42</v>
      </c>
      <c r="AO7" s="10"/>
      <c r="AP7" s="10">
        <v>419</v>
      </c>
      <c r="AQ7" s="10">
        <v>320</v>
      </c>
      <c r="AR7" s="10"/>
      <c r="AS7" s="10" t="s">
        <v>87</v>
      </c>
      <c r="AT7" s="10" t="s">
        <v>87</v>
      </c>
      <c r="AU7" s="10">
        <v>739</v>
      </c>
      <c r="AV7" s="10"/>
      <c r="AW7" s="10">
        <v>524</v>
      </c>
      <c r="AX7" s="10">
        <v>176</v>
      </c>
      <c r="AY7" s="10"/>
      <c r="AZ7" s="10">
        <v>627</v>
      </c>
      <c r="BA7" s="10">
        <v>111</v>
      </c>
    </row>
    <row r="8" spans="2:53" ht="30" customHeight="1" x14ac:dyDescent="0.35">
      <c r="B8" s="11" t="s">
        <v>19</v>
      </c>
      <c r="C8" s="11">
        <v>694</v>
      </c>
      <c r="D8" s="11">
        <v>353</v>
      </c>
      <c r="E8" s="11">
        <v>341</v>
      </c>
      <c r="F8" s="11"/>
      <c r="G8" s="11">
        <v>2</v>
      </c>
      <c r="H8" s="11">
        <v>55</v>
      </c>
      <c r="I8" s="11">
        <v>288</v>
      </c>
      <c r="J8" s="11">
        <v>256</v>
      </c>
      <c r="K8" s="11">
        <v>77</v>
      </c>
      <c r="L8" s="11">
        <v>17</v>
      </c>
      <c r="M8" s="11"/>
      <c r="N8" s="11">
        <v>226</v>
      </c>
      <c r="O8" s="11">
        <v>172</v>
      </c>
      <c r="P8" s="11">
        <v>155</v>
      </c>
      <c r="Q8" s="11">
        <v>139</v>
      </c>
      <c r="R8" s="11"/>
      <c r="S8" s="11">
        <v>114</v>
      </c>
      <c r="T8" s="11">
        <v>103</v>
      </c>
      <c r="U8" s="11">
        <v>62</v>
      </c>
      <c r="V8" s="11">
        <v>69</v>
      </c>
      <c r="W8" s="11">
        <v>64</v>
      </c>
      <c r="X8" s="11">
        <v>76</v>
      </c>
      <c r="Y8" s="11">
        <v>73</v>
      </c>
      <c r="Z8" s="11">
        <v>39</v>
      </c>
      <c r="AA8" s="11">
        <v>94</v>
      </c>
      <c r="AB8" s="11"/>
      <c r="AC8" s="11">
        <v>120</v>
      </c>
      <c r="AD8" s="11">
        <v>153</v>
      </c>
      <c r="AE8" s="11">
        <v>210</v>
      </c>
      <c r="AF8" s="11">
        <v>127</v>
      </c>
      <c r="AG8" s="11">
        <v>23</v>
      </c>
      <c r="AH8" s="11"/>
      <c r="AI8" s="11">
        <v>253</v>
      </c>
      <c r="AJ8" s="11">
        <v>148</v>
      </c>
      <c r="AK8" s="11">
        <v>67</v>
      </c>
      <c r="AL8" s="11">
        <v>98</v>
      </c>
      <c r="AM8" s="11">
        <v>36</v>
      </c>
      <c r="AN8" s="11">
        <v>42</v>
      </c>
      <c r="AO8" s="11"/>
      <c r="AP8" s="11">
        <v>386</v>
      </c>
      <c r="AQ8" s="11">
        <v>309</v>
      </c>
      <c r="AR8" s="11"/>
      <c r="AS8" s="11" t="s">
        <v>87</v>
      </c>
      <c r="AT8" s="11" t="s">
        <v>87</v>
      </c>
      <c r="AU8" s="11">
        <v>694</v>
      </c>
      <c r="AV8" s="11"/>
      <c r="AW8" s="11">
        <v>512</v>
      </c>
      <c r="AX8" s="11">
        <v>142</v>
      </c>
      <c r="AY8" s="11"/>
      <c r="AZ8" s="11">
        <v>586</v>
      </c>
      <c r="BA8" s="11">
        <v>107</v>
      </c>
    </row>
    <row r="9" spans="2:53" x14ac:dyDescent="0.35">
      <c r="B9" s="15" t="s">
        <v>235</v>
      </c>
      <c r="C9" s="14">
        <v>0.27467714435089802</v>
      </c>
      <c r="D9" s="14">
        <v>0.33309646850799501</v>
      </c>
      <c r="E9" s="14">
        <v>0.21433742298597699</v>
      </c>
      <c r="F9" s="14"/>
      <c r="G9" s="14">
        <v>0</v>
      </c>
      <c r="H9" s="14">
        <v>0.330901839682892</v>
      </c>
      <c r="I9" s="14">
        <v>0.27068416247639498</v>
      </c>
      <c r="J9" s="14">
        <v>0.26706446083715601</v>
      </c>
      <c r="K9" s="14">
        <v>0.318985899461185</v>
      </c>
      <c r="L9" s="14">
        <v>9.8713810580287095E-2</v>
      </c>
      <c r="M9" s="14"/>
      <c r="N9" s="14">
        <v>0.33587991819556201</v>
      </c>
      <c r="O9" s="14">
        <v>0.231680258985383</v>
      </c>
      <c r="P9" s="14">
        <v>0.22788952714338401</v>
      </c>
      <c r="Q9" s="14">
        <v>0.28631442592059803</v>
      </c>
      <c r="R9" s="14"/>
      <c r="S9" s="14">
        <v>0.372504040664834</v>
      </c>
      <c r="T9" s="14">
        <v>0.27199049659291502</v>
      </c>
      <c r="U9" s="14">
        <v>0.31039590545511198</v>
      </c>
      <c r="V9" s="14">
        <v>0.33546424781534101</v>
      </c>
      <c r="W9" s="14">
        <v>0.27857980941844401</v>
      </c>
      <c r="X9" s="14">
        <v>0.27785826403575598</v>
      </c>
      <c r="Y9" s="14">
        <v>0.21005370475083601</v>
      </c>
      <c r="Z9" s="14">
        <v>0.16051017525403</v>
      </c>
      <c r="AA9" s="14">
        <v>0.18292057354028601</v>
      </c>
      <c r="AB9" s="14"/>
      <c r="AC9" s="14">
        <v>0.20592018177597601</v>
      </c>
      <c r="AD9" s="14">
        <v>0.23569201009006899</v>
      </c>
      <c r="AE9" s="14">
        <v>0.28235584448481399</v>
      </c>
      <c r="AF9" s="14">
        <v>0.30932964730713203</v>
      </c>
      <c r="AG9" s="14">
        <v>0.67116398990746096</v>
      </c>
      <c r="AH9" s="14"/>
      <c r="AI9" s="14">
        <v>0.34943238014540101</v>
      </c>
      <c r="AJ9" s="14">
        <v>0.24122652588064999</v>
      </c>
      <c r="AK9" s="14">
        <v>0.270880266110476</v>
      </c>
      <c r="AL9" s="14">
        <v>0.242270123231516</v>
      </c>
      <c r="AM9" s="14">
        <v>0.20388708194716501</v>
      </c>
      <c r="AN9" s="14">
        <v>0.20978342858568</v>
      </c>
      <c r="AO9" s="14"/>
      <c r="AP9" s="14">
        <v>0.31316127322401499</v>
      </c>
      <c r="AQ9" s="14">
        <v>0.22658880415833299</v>
      </c>
      <c r="AR9" s="14"/>
      <c r="AS9" s="14" t="s">
        <v>88</v>
      </c>
      <c r="AT9" s="14" t="s">
        <v>88</v>
      </c>
      <c r="AU9" s="14">
        <v>0.27467714435089802</v>
      </c>
      <c r="AV9" s="14"/>
      <c r="AW9" s="14">
        <v>0.248876812447931</v>
      </c>
      <c r="AX9" s="14">
        <v>0.37482843296229601</v>
      </c>
      <c r="AY9" s="14"/>
      <c r="AZ9" s="14">
        <v>0.29903444337305901</v>
      </c>
      <c r="BA9" s="14">
        <v>0.14468140515214201</v>
      </c>
    </row>
    <row r="10" spans="2:53" x14ac:dyDescent="0.35">
      <c r="B10" s="15" t="s">
        <v>236</v>
      </c>
      <c r="C10" s="14">
        <v>0.53580085510487796</v>
      </c>
      <c r="D10" s="14">
        <v>0.55511069940500002</v>
      </c>
      <c r="E10" s="14">
        <v>0.51585624531213004</v>
      </c>
      <c r="F10" s="14"/>
      <c r="G10" s="14">
        <v>1</v>
      </c>
      <c r="H10" s="14">
        <v>0.57921579553184799</v>
      </c>
      <c r="I10" s="14">
        <v>0.54583346042159397</v>
      </c>
      <c r="J10" s="14">
        <v>0.50773996819338296</v>
      </c>
      <c r="K10" s="14">
        <v>0.51486629041947496</v>
      </c>
      <c r="L10" s="14">
        <v>0.70098024507606604</v>
      </c>
      <c r="M10" s="14"/>
      <c r="N10" s="14">
        <v>0.52667724153128903</v>
      </c>
      <c r="O10" s="14">
        <v>0.547756816344936</v>
      </c>
      <c r="P10" s="14">
        <v>0.58433623104541998</v>
      </c>
      <c r="Q10" s="14">
        <v>0.47772287638562999</v>
      </c>
      <c r="R10" s="14"/>
      <c r="S10" s="14">
        <v>0.55594452113661896</v>
      </c>
      <c r="T10" s="14">
        <v>0.53725038852814</v>
      </c>
      <c r="U10" s="14">
        <v>0.51098170865829995</v>
      </c>
      <c r="V10" s="14">
        <v>0.41010140676020101</v>
      </c>
      <c r="W10" s="14">
        <v>0.49093840903392699</v>
      </c>
      <c r="X10" s="14">
        <v>0.492203235006619</v>
      </c>
      <c r="Y10" s="14">
        <v>0.56439213247245901</v>
      </c>
      <c r="Z10" s="14">
        <v>0.61547370406315605</v>
      </c>
      <c r="AA10" s="14">
        <v>0.62905541348669003</v>
      </c>
      <c r="AB10" s="14"/>
      <c r="AC10" s="14">
        <v>0.52570929126916299</v>
      </c>
      <c r="AD10" s="14">
        <v>0.54260840133558597</v>
      </c>
      <c r="AE10" s="14">
        <v>0.53739954095801101</v>
      </c>
      <c r="AF10" s="14">
        <v>0.57263681186431903</v>
      </c>
      <c r="AG10" s="14">
        <v>0.26788050386363799</v>
      </c>
      <c r="AH10" s="14"/>
      <c r="AI10" s="14">
        <v>0.505647081862593</v>
      </c>
      <c r="AJ10" s="14">
        <v>0.56314863049456798</v>
      </c>
      <c r="AK10" s="14">
        <v>0.50414434239121098</v>
      </c>
      <c r="AL10" s="14">
        <v>0.53937178543491304</v>
      </c>
      <c r="AM10" s="14">
        <v>0.58162964084986502</v>
      </c>
      <c r="AN10" s="14">
        <v>0.51729353490746899</v>
      </c>
      <c r="AO10" s="14"/>
      <c r="AP10" s="14">
        <v>0.52732559609104201</v>
      </c>
      <c r="AQ10" s="14">
        <v>0.54639122444963295</v>
      </c>
      <c r="AR10" s="14"/>
      <c r="AS10" s="14" t="s">
        <v>88</v>
      </c>
      <c r="AT10" s="14" t="s">
        <v>88</v>
      </c>
      <c r="AU10" s="14">
        <v>0.53580085510487796</v>
      </c>
      <c r="AV10" s="14"/>
      <c r="AW10" s="14">
        <v>0.55318482126509305</v>
      </c>
      <c r="AX10" s="14">
        <v>0.52885287984658602</v>
      </c>
      <c r="AY10" s="14"/>
      <c r="AZ10" s="14">
        <v>0.53994191612485798</v>
      </c>
      <c r="BA10" s="14">
        <v>0.50867042277783003</v>
      </c>
    </row>
    <row r="11" spans="2:53" x14ac:dyDescent="0.35">
      <c r="B11" s="15" t="s">
        <v>237</v>
      </c>
      <c r="C11" s="14">
        <v>0.14330543584524399</v>
      </c>
      <c r="D11" s="14">
        <v>9.0757595147849202E-2</v>
      </c>
      <c r="E11" s="14">
        <v>0.19758066260895299</v>
      </c>
      <c r="F11" s="14"/>
      <c r="G11" s="14">
        <v>0</v>
      </c>
      <c r="H11" s="14">
        <v>7.7120866145748104E-2</v>
      </c>
      <c r="I11" s="14">
        <v>0.15118852451929199</v>
      </c>
      <c r="J11" s="14">
        <v>0.15865492418082699</v>
      </c>
      <c r="K11" s="14">
        <v>0.100490323480669</v>
      </c>
      <c r="L11" s="14">
        <v>0.20030594434364701</v>
      </c>
      <c r="M11" s="14"/>
      <c r="N11" s="14">
        <v>0.105142052950111</v>
      </c>
      <c r="O11" s="14">
        <v>0.153186114358627</v>
      </c>
      <c r="P11" s="14">
        <v>0.16692161988414</v>
      </c>
      <c r="Q11" s="14">
        <v>0.169721268841898</v>
      </c>
      <c r="R11" s="14"/>
      <c r="S11" s="14">
        <v>3.4951072088848803E-2</v>
      </c>
      <c r="T11" s="14">
        <v>0.13949613454952001</v>
      </c>
      <c r="U11" s="14">
        <v>0.17862238588658899</v>
      </c>
      <c r="V11" s="14">
        <v>0.184293357532575</v>
      </c>
      <c r="W11" s="14">
        <v>0.19759134948356699</v>
      </c>
      <c r="X11" s="14">
        <v>0.197214699817612</v>
      </c>
      <c r="Y11" s="14">
        <v>0.17357529176759301</v>
      </c>
      <c r="Z11" s="14">
        <v>0.170239871105518</v>
      </c>
      <c r="AA11" s="14">
        <v>0.11026904796118001</v>
      </c>
      <c r="AB11" s="14"/>
      <c r="AC11" s="14">
        <v>0.193123892049225</v>
      </c>
      <c r="AD11" s="14">
        <v>0.17545116801477501</v>
      </c>
      <c r="AE11" s="14">
        <v>0.13793305316136001</v>
      </c>
      <c r="AF11" s="14">
        <v>8.6791086029375603E-2</v>
      </c>
      <c r="AG11" s="14">
        <v>2.8038272660748001E-2</v>
      </c>
      <c r="AH11" s="14"/>
      <c r="AI11" s="14">
        <v>8.5444591600614406E-2</v>
      </c>
      <c r="AJ11" s="14">
        <v>0.183560839624482</v>
      </c>
      <c r="AK11" s="14">
        <v>0.199738458173081</v>
      </c>
      <c r="AL11" s="14">
        <v>0.16707016643386499</v>
      </c>
      <c r="AM11" s="14">
        <v>0.14495752757844699</v>
      </c>
      <c r="AN11" s="14">
        <v>0.22463687307688701</v>
      </c>
      <c r="AO11" s="14"/>
      <c r="AP11" s="14">
        <v>0.11611799765434699</v>
      </c>
      <c r="AQ11" s="14">
        <v>0.17727785031767901</v>
      </c>
      <c r="AR11" s="14"/>
      <c r="AS11" s="14" t="s">
        <v>88</v>
      </c>
      <c r="AT11" s="14" t="s">
        <v>88</v>
      </c>
      <c r="AU11" s="14">
        <v>0.14330543584524399</v>
      </c>
      <c r="AV11" s="14"/>
      <c r="AW11" s="14">
        <v>0.15681807047337001</v>
      </c>
      <c r="AX11" s="14">
        <v>8.9107978845861399E-2</v>
      </c>
      <c r="AY11" s="14"/>
      <c r="AZ11" s="14">
        <v>0.12374487016598</v>
      </c>
      <c r="BA11" s="14">
        <v>0.25128309698918599</v>
      </c>
    </row>
    <row r="12" spans="2:53" x14ac:dyDescent="0.35">
      <c r="B12" s="15" t="s">
        <v>238</v>
      </c>
      <c r="C12" s="14">
        <v>3.13915409698549E-2</v>
      </c>
      <c r="D12" s="14">
        <v>1.50347185845012E-2</v>
      </c>
      <c r="E12" s="14">
        <v>4.8286055231842498E-2</v>
      </c>
      <c r="F12" s="14"/>
      <c r="G12" s="14">
        <v>0</v>
      </c>
      <c r="H12" s="14">
        <v>1.27614986395117E-2</v>
      </c>
      <c r="I12" s="14">
        <v>1.1723559767093701E-2</v>
      </c>
      <c r="J12" s="14">
        <v>4.9479190713214501E-2</v>
      </c>
      <c r="K12" s="14">
        <v>6.5657486638671395E-2</v>
      </c>
      <c r="L12" s="14">
        <v>0</v>
      </c>
      <c r="M12" s="14"/>
      <c r="N12" s="14">
        <v>1.2991658232762901E-2</v>
      </c>
      <c r="O12" s="14">
        <v>5.8530520777356002E-2</v>
      </c>
      <c r="P12" s="14">
        <v>2.0852621927056E-2</v>
      </c>
      <c r="Q12" s="14">
        <v>3.4405946883151198E-2</v>
      </c>
      <c r="R12" s="14"/>
      <c r="S12" s="14">
        <v>1.8062768629593402E-2</v>
      </c>
      <c r="T12" s="14">
        <v>4.09629168077272E-2</v>
      </c>
      <c r="U12" s="14">
        <v>0</v>
      </c>
      <c r="V12" s="14">
        <v>7.0140987891883597E-2</v>
      </c>
      <c r="W12" s="14">
        <v>1.3755738127727001E-2</v>
      </c>
      <c r="X12" s="14">
        <v>3.2723801140014198E-2</v>
      </c>
      <c r="Y12" s="14">
        <v>2.4157948703743201E-2</v>
      </c>
      <c r="Z12" s="14">
        <v>0</v>
      </c>
      <c r="AA12" s="14">
        <v>5.90972972709378E-2</v>
      </c>
      <c r="AB12" s="14"/>
      <c r="AC12" s="14">
        <v>6.4993293441584901E-2</v>
      </c>
      <c r="AD12" s="14">
        <v>3.9584231485775702E-2</v>
      </c>
      <c r="AE12" s="14">
        <v>1.6606146612776901E-2</v>
      </c>
      <c r="AF12" s="14">
        <v>2.4445091018925998E-2</v>
      </c>
      <c r="AG12" s="14">
        <v>0</v>
      </c>
      <c r="AH12" s="14"/>
      <c r="AI12" s="14">
        <v>4.04713224335667E-2</v>
      </c>
      <c r="AJ12" s="14">
        <v>1.2064004000299101E-2</v>
      </c>
      <c r="AK12" s="14">
        <v>0</v>
      </c>
      <c r="AL12" s="14">
        <v>5.12879248997061E-2</v>
      </c>
      <c r="AM12" s="14">
        <v>1.8522867648576101E-2</v>
      </c>
      <c r="AN12" s="14">
        <v>1.9321447573104E-2</v>
      </c>
      <c r="AO12" s="14"/>
      <c r="AP12" s="14">
        <v>2.9169595044058E-2</v>
      </c>
      <c r="AQ12" s="14">
        <v>3.4168002194207597E-2</v>
      </c>
      <c r="AR12" s="14"/>
      <c r="AS12" s="14" t="s">
        <v>88</v>
      </c>
      <c r="AT12" s="14" t="s">
        <v>88</v>
      </c>
      <c r="AU12" s="14">
        <v>3.13915409698549E-2</v>
      </c>
      <c r="AV12" s="14"/>
      <c r="AW12" s="14">
        <v>2.6960738436463901E-2</v>
      </c>
      <c r="AX12" s="14">
        <v>0</v>
      </c>
      <c r="AY12" s="14"/>
      <c r="AZ12" s="14">
        <v>2.41066589332673E-2</v>
      </c>
      <c r="BA12" s="14">
        <v>7.1388962011232501E-2</v>
      </c>
    </row>
    <row r="13" spans="2:53" x14ac:dyDescent="0.35">
      <c r="B13" s="15" t="s">
        <v>116</v>
      </c>
      <c r="C13" s="23">
        <v>1.48250237291254E-2</v>
      </c>
      <c r="D13" s="23">
        <v>6.00051835465518E-3</v>
      </c>
      <c r="E13" s="23">
        <v>2.39396138610979E-2</v>
      </c>
      <c r="F13" s="23"/>
      <c r="G13" s="23">
        <v>0</v>
      </c>
      <c r="H13" s="23">
        <v>0</v>
      </c>
      <c r="I13" s="23">
        <v>2.0570292815625901E-2</v>
      </c>
      <c r="J13" s="23">
        <v>1.7061456075419E-2</v>
      </c>
      <c r="K13" s="23">
        <v>0</v>
      </c>
      <c r="L13" s="23">
        <v>0</v>
      </c>
      <c r="M13" s="23"/>
      <c r="N13" s="23">
        <v>1.9309129090274799E-2</v>
      </c>
      <c r="O13" s="23">
        <v>8.84628953369891E-3</v>
      </c>
      <c r="P13" s="23">
        <v>0</v>
      </c>
      <c r="Q13" s="23">
        <v>3.1835481968722601E-2</v>
      </c>
      <c r="R13" s="23"/>
      <c r="S13" s="23">
        <v>1.8537597480104799E-2</v>
      </c>
      <c r="T13" s="23">
        <v>1.03000635216968E-2</v>
      </c>
      <c r="U13" s="23">
        <v>0</v>
      </c>
      <c r="V13" s="23">
        <v>0</v>
      </c>
      <c r="W13" s="23">
        <v>1.9134693936334098E-2</v>
      </c>
      <c r="X13" s="23">
        <v>0</v>
      </c>
      <c r="Y13" s="23">
        <v>2.7820922305369099E-2</v>
      </c>
      <c r="Z13" s="23">
        <v>5.3776249577296001E-2</v>
      </c>
      <c r="AA13" s="23">
        <v>1.8657667740905399E-2</v>
      </c>
      <c r="AB13" s="23"/>
      <c r="AC13" s="23">
        <v>1.0253341464050899E-2</v>
      </c>
      <c r="AD13" s="23">
        <v>6.6641890737942902E-3</v>
      </c>
      <c r="AE13" s="23">
        <v>2.57054147830377E-2</v>
      </c>
      <c r="AF13" s="23">
        <v>6.7973637802465096E-3</v>
      </c>
      <c r="AG13" s="23">
        <v>3.2917233568152598E-2</v>
      </c>
      <c r="AH13" s="23"/>
      <c r="AI13" s="23">
        <v>1.9004623957824901E-2</v>
      </c>
      <c r="AJ13" s="23">
        <v>0</v>
      </c>
      <c r="AK13" s="23">
        <v>2.5236933325232198E-2</v>
      </c>
      <c r="AL13" s="23">
        <v>0</v>
      </c>
      <c r="AM13" s="23">
        <v>5.10028819759469E-2</v>
      </c>
      <c r="AN13" s="23">
        <v>2.89647158568597E-2</v>
      </c>
      <c r="AO13" s="23"/>
      <c r="AP13" s="23">
        <v>1.4225537986538099E-2</v>
      </c>
      <c r="AQ13" s="23">
        <v>1.5574118880146599E-2</v>
      </c>
      <c r="AR13" s="23"/>
      <c r="AS13" s="23" t="s">
        <v>88</v>
      </c>
      <c r="AT13" s="23" t="s">
        <v>88</v>
      </c>
      <c r="AU13" s="23">
        <v>1.48250237291254E-2</v>
      </c>
      <c r="AV13" s="23"/>
      <c r="AW13" s="23">
        <v>1.41595573771418E-2</v>
      </c>
      <c r="AX13" s="23">
        <v>7.2107083452568896E-3</v>
      </c>
      <c r="AY13" s="23"/>
      <c r="AZ13" s="23">
        <v>1.31721114028355E-2</v>
      </c>
      <c r="BA13" s="23">
        <v>2.3976113069609901E-2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B2:BA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739</v>
      </c>
      <c r="D7" s="10">
        <v>315</v>
      </c>
      <c r="E7" s="10">
        <v>424</v>
      </c>
      <c r="F7" s="10"/>
      <c r="G7" s="10">
        <v>2</v>
      </c>
      <c r="H7" s="10">
        <v>68</v>
      </c>
      <c r="I7" s="10">
        <v>314</v>
      </c>
      <c r="J7" s="10">
        <v>262</v>
      </c>
      <c r="K7" s="10">
        <v>77</v>
      </c>
      <c r="L7" s="10">
        <v>16</v>
      </c>
      <c r="M7" s="10"/>
      <c r="N7" s="10">
        <v>368</v>
      </c>
      <c r="O7" s="10">
        <v>164</v>
      </c>
      <c r="P7" s="10">
        <v>104</v>
      </c>
      <c r="Q7" s="10">
        <v>100</v>
      </c>
      <c r="R7" s="10"/>
      <c r="S7" s="10">
        <v>142</v>
      </c>
      <c r="T7" s="10">
        <v>109</v>
      </c>
      <c r="U7" s="10">
        <v>52</v>
      </c>
      <c r="V7" s="10">
        <v>61</v>
      </c>
      <c r="W7" s="10">
        <v>59</v>
      </c>
      <c r="X7" s="10">
        <v>88</v>
      </c>
      <c r="Y7" s="10">
        <v>86</v>
      </c>
      <c r="Z7" s="10">
        <v>40</v>
      </c>
      <c r="AA7" s="10">
        <v>102</v>
      </c>
      <c r="AB7" s="10"/>
      <c r="AC7" s="10">
        <v>103</v>
      </c>
      <c r="AD7" s="10">
        <v>140</v>
      </c>
      <c r="AE7" s="10">
        <v>227</v>
      </c>
      <c r="AF7" s="10">
        <v>172</v>
      </c>
      <c r="AG7" s="10">
        <v>41</v>
      </c>
      <c r="AH7" s="10"/>
      <c r="AI7" s="10">
        <v>281</v>
      </c>
      <c r="AJ7" s="10">
        <v>158</v>
      </c>
      <c r="AK7" s="10">
        <v>73</v>
      </c>
      <c r="AL7" s="10">
        <v>98</v>
      </c>
      <c r="AM7" s="10">
        <v>38</v>
      </c>
      <c r="AN7" s="10">
        <v>42</v>
      </c>
      <c r="AO7" s="10"/>
      <c r="AP7" s="10">
        <v>419</v>
      </c>
      <c r="AQ7" s="10">
        <v>320</v>
      </c>
      <c r="AR7" s="10"/>
      <c r="AS7" s="10" t="s">
        <v>87</v>
      </c>
      <c r="AT7" s="10" t="s">
        <v>87</v>
      </c>
      <c r="AU7" s="10">
        <v>739</v>
      </c>
      <c r="AV7" s="10"/>
      <c r="AW7" s="10">
        <v>524</v>
      </c>
      <c r="AX7" s="10">
        <v>176</v>
      </c>
      <c r="AY7" s="10"/>
      <c r="AZ7" s="10">
        <v>627</v>
      </c>
      <c r="BA7" s="10">
        <v>111</v>
      </c>
    </row>
    <row r="8" spans="2:53" ht="30" customHeight="1" x14ac:dyDescent="0.35">
      <c r="B8" s="11" t="s">
        <v>19</v>
      </c>
      <c r="C8" s="11">
        <v>694</v>
      </c>
      <c r="D8" s="11">
        <v>353</v>
      </c>
      <c r="E8" s="11">
        <v>341</v>
      </c>
      <c r="F8" s="11"/>
      <c r="G8" s="11">
        <v>2</v>
      </c>
      <c r="H8" s="11">
        <v>55</v>
      </c>
      <c r="I8" s="11">
        <v>288</v>
      </c>
      <c r="J8" s="11">
        <v>256</v>
      </c>
      <c r="K8" s="11">
        <v>77</v>
      </c>
      <c r="L8" s="11">
        <v>17</v>
      </c>
      <c r="M8" s="11"/>
      <c r="N8" s="11">
        <v>226</v>
      </c>
      <c r="O8" s="11">
        <v>172</v>
      </c>
      <c r="P8" s="11">
        <v>155</v>
      </c>
      <c r="Q8" s="11">
        <v>139</v>
      </c>
      <c r="R8" s="11"/>
      <c r="S8" s="11">
        <v>114</v>
      </c>
      <c r="T8" s="11">
        <v>103</v>
      </c>
      <c r="U8" s="11">
        <v>62</v>
      </c>
      <c r="V8" s="11">
        <v>69</v>
      </c>
      <c r="W8" s="11">
        <v>64</v>
      </c>
      <c r="X8" s="11">
        <v>76</v>
      </c>
      <c r="Y8" s="11">
        <v>73</v>
      </c>
      <c r="Z8" s="11">
        <v>39</v>
      </c>
      <c r="AA8" s="11">
        <v>94</v>
      </c>
      <c r="AB8" s="11"/>
      <c r="AC8" s="11">
        <v>120</v>
      </c>
      <c r="AD8" s="11">
        <v>153</v>
      </c>
      <c r="AE8" s="11">
        <v>210</v>
      </c>
      <c r="AF8" s="11">
        <v>127</v>
      </c>
      <c r="AG8" s="11">
        <v>23</v>
      </c>
      <c r="AH8" s="11"/>
      <c r="AI8" s="11">
        <v>253</v>
      </c>
      <c r="AJ8" s="11">
        <v>148</v>
      </c>
      <c r="AK8" s="11">
        <v>67</v>
      </c>
      <c r="AL8" s="11">
        <v>98</v>
      </c>
      <c r="AM8" s="11">
        <v>36</v>
      </c>
      <c r="AN8" s="11">
        <v>42</v>
      </c>
      <c r="AO8" s="11"/>
      <c r="AP8" s="11">
        <v>386</v>
      </c>
      <c r="AQ8" s="11">
        <v>309</v>
      </c>
      <c r="AR8" s="11"/>
      <c r="AS8" s="11" t="s">
        <v>87</v>
      </c>
      <c r="AT8" s="11" t="s">
        <v>87</v>
      </c>
      <c r="AU8" s="11">
        <v>694</v>
      </c>
      <c r="AV8" s="11"/>
      <c r="AW8" s="11">
        <v>512</v>
      </c>
      <c r="AX8" s="11">
        <v>142</v>
      </c>
      <c r="AY8" s="11"/>
      <c r="AZ8" s="11">
        <v>586</v>
      </c>
      <c r="BA8" s="11">
        <v>107</v>
      </c>
    </row>
    <row r="9" spans="2:53" x14ac:dyDescent="0.35">
      <c r="B9" s="15" t="s">
        <v>220</v>
      </c>
      <c r="C9" s="14">
        <v>0.24941122567222401</v>
      </c>
      <c r="D9" s="14">
        <v>0.30403838120408</v>
      </c>
      <c r="E9" s="14">
        <v>0.19298833151332301</v>
      </c>
      <c r="F9" s="14"/>
      <c r="G9" s="14">
        <v>1</v>
      </c>
      <c r="H9" s="14">
        <v>0.48722545904510001</v>
      </c>
      <c r="I9" s="14">
        <v>0.25764888420939902</v>
      </c>
      <c r="J9" s="14">
        <v>0.209686856249024</v>
      </c>
      <c r="K9" s="14">
        <v>0.168314135587388</v>
      </c>
      <c r="L9" s="14">
        <v>0.23814705498338201</v>
      </c>
      <c r="M9" s="14"/>
      <c r="N9" s="14">
        <v>0.36221393067075602</v>
      </c>
      <c r="O9" s="14">
        <v>0.194380201300452</v>
      </c>
      <c r="P9" s="14">
        <v>0.18819368447604501</v>
      </c>
      <c r="Q9" s="14">
        <v>0.20755980822558701</v>
      </c>
      <c r="R9" s="14"/>
      <c r="S9" s="14">
        <v>0.33353830047771699</v>
      </c>
      <c r="T9" s="14">
        <v>0.26413279492955499</v>
      </c>
      <c r="U9" s="14">
        <v>0.148449011751631</v>
      </c>
      <c r="V9" s="14">
        <v>0.26932981827879798</v>
      </c>
      <c r="W9" s="14">
        <v>0.27317707890687398</v>
      </c>
      <c r="X9" s="14">
        <v>0.24271925025017099</v>
      </c>
      <c r="Y9" s="14">
        <v>0.176541270716706</v>
      </c>
      <c r="Z9" s="14">
        <v>0.26512737514552698</v>
      </c>
      <c r="AA9" s="14">
        <v>0.22226711377643299</v>
      </c>
      <c r="AB9" s="14"/>
      <c r="AC9" s="14">
        <v>0.19135431818527501</v>
      </c>
      <c r="AD9" s="14">
        <v>0.14091362911809499</v>
      </c>
      <c r="AE9" s="14">
        <v>0.25632685701722002</v>
      </c>
      <c r="AF9" s="14">
        <v>0.35513153985274998</v>
      </c>
      <c r="AG9" s="14">
        <v>0.60018311659216494</v>
      </c>
      <c r="AH9" s="14"/>
      <c r="AI9" s="14">
        <v>0.34658090565771998</v>
      </c>
      <c r="AJ9" s="14">
        <v>0.198939861776531</v>
      </c>
      <c r="AK9" s="14">
        <v>0.22491689217625399</v>
      </c>
      <c r="AL9" s="14">
        <v>0.15919770786623</v>
      </c>
      <c r="AM9" s="14">
        <v>0.19352634080064099</v>
      </c>
      <c r="AN9" s="14">
        <v>0.249888714521421</v>
      </c>
      <c r="AO9" s="14"/>
      <c r="AP9" s="14">
        <v>0.29039377088886298</v>
      </c>
      <c r="AQ9" s="14">
        <v>0.198200957074677</v>
      </c>
      <c r="AR9" s="14"/>
      <c r="AS9" s="14" t="s">
        <v>88</v>
      </c>
      <c r="AT9" s="14" t="s">
        <v>88</v>
      </c>
      <c r="AU9" s="14">
        <v>0.24941122567222401</v>
      </c>
      <c r="AV9" s="14"/>
      <c r="AW9" s="14">
        <v>0.2309065605908</v>
      </c>
      <c r="AX9" s="14">
        <v>0.35169181807940503</v>
      </c>
      <c r="AY9" s="14"/>
      <c r="AZ9" s="14">
        <v>0.281960398015625</v>
      </c>
      <c r="BA9" s="14">
        <v>6.4692704220022906E-2</v>
      </c>
    </row>
    <row r="10" spans="2:53" x14ac:dyDescent="0.35">
      <c r="B10" s="15" t="s">
        <v>221</v>
      </c>
      <c r="C10" s="14">
        <v>0.39447255998252201</v>
      </c>
      <c r="D10" s="14">
        <v>0.41439223425157201</v>
      </c>
      <c r="E10" s="14">
        <v>0.37389807350194798</v>
      </c>
      <c r="F10" s="14"/>
      <c r="G10" s="14">
        <v>0</v>
      </c>
      <c r="H10" s="14">
        <v>0.33791534042225402</v>
      </c>
      <c r="I10" s="14">
        <v>0.42813579029591697</v>
      </c>
      <c r="J10" s="14">
        <v>0.38000924828060101</v>
      </c>
      <c r="K10" s="14">
        <v>0.39850678353263203</v>
      </c>
      <c r="L10" s="14">
        <v>0.24059425912069701</v>
      </c>
      <c r="M10" s="14"/>
      <c r="N10" s="14">
        <v>0.36687851310160902</v>
      </c>
      <c r="O10" s="14">
        <v>0.39924664702349</v>
      </c>
      <c r="P10" s="14">
        <v>0.46232220135163499</v>
      </c>
      <c r="Q10" s="14">
        <v>0.356180542225771</v>
      </c>
      <c r="R10" s="14"/>
      <c r="S10" s="14">
        <v>0.45911967671380599</v>
      </c>
      <c r="T10" s="14">
        <v>0.29489420726833898</v>
      </c>
      <c r="U10" s="14">
        <v>0.44038815456293101</v>
      </c>
      <c r="V10" s="14">
        <v>0.42090380809071198</v>
      </c>
      <c r="W10" s="14">
        <v>0.33126276967014001</v>
      </c>
      <c r="X10" s="14">
        <v>0.378790850836972</v>
      </c>
      <c r="Y10" s="14">
        <v>0.43023566285592801</v>
      </c>
      <c r="Z10" s="14">
        <v>0.36522159559980799</v>
      </c>
      <c r="AA10" s="14">
        <v>0.41614610160437998</v>
      </c>
      <c r="AB10" s="14"/>
      <c r="AC10" s="14">
        <v>0.35272708364622202</v>
      </c>
      <c r="AD10" s="14">
        <v>0.474839821521433</v>
      </c>
      <c r="AE10" s="14">
        <v>0.38926841808600898</v>
      </c>
      <c r="AF10" s="14">
        <v>0.43151497753213203</v>
      </c>
      <c r="AG10" s="14">
        <v>0.208175902312494</v>
      </c>
      <c r="AH10" s="14"/>
      <c r="AI10" s="14">
        <v>0.38373582210171597</v>
      </c>
      <c r="AJ10" s="14">
        <v>0.473574813664073</v>
      </c>
      <c r="AK10" s="14">
        <v>0.38541446722456602</v>
      </c>
      <c r="AL10" s="14">
        <v>0.35324001695064799</v>
      </c>
      <c r="AM10" s="14">
        <v>0.30930425705481901</v>
      </c>
      <c r="AN10" s="14">
        <v>0.29998789024567901</v>
      </c>
      <c r="AO10" s="14"/>
      <c r="AP10" s="14">
        <v>0.42737236109799598</v>
      </c>
      <c r="AQ10" s="14">
        <v>0.35336218865191799</v>
      </c>
      <c r="AR10" s="14"/>
      <c r="AS10" s="14" t="s">
        <v>88</v>
      </c>
      <c r="AT10" s="14" t="s">
        <v>88</v>
      </c>
      <c r="AU10" s="14">
        <v>0.39447255998252201</v>
      </c>
      <c r="AV10" s="14"/>
      <c r="AW10" s="14">
        <v>0.40230783940215997</v>
      </c>
      <c r="AX10" s="14">
        <v>0.39307038931435401</v>
      </c>
      <c r="AY10" s="14"/>
      <c r="AZ10" s="14">
        <v>0.42383537484221401</v>
      </c>
      <c r="BA10" s="14">
        <v>0.23838583233149699</v>
      </c>
    </row>
    <row r="11" spans="2:53" x14ac:dyDescent="0.35">
      <c r="B11" s="15" t="s">
        <v>222</v>
      </c>
      <c r="C11" s="14">
        <v>0.20834118155551501</v>
      </c>
      <c r="D11" s="14">
        <v>0.16908474753481401</v>
      </c>
      <c r="E11" s="14">
        <v>0.24888807806222099</v>
      </c>
      <c r="F11" s="14"/>
      <c r="G11" s="14">
        <v>0</v>
      </c>
      <c r="H11" s="14">
        <v>0.11528834641305701</v>
      </c>
      <c r="I11" s="14">
        <v>0.16936318227338601</v>
      </c>
      <c r="J11" s="14">
        <v>0.25137105545349298</v>
      </c>
      <c r="K11" s="14">
        <v>0.26723736938304199</v>
      </c>
      <c r="L11" s="14">
        <v>0.27498828916357099</v>
      </c>
      <c r="M11" s="14"/>
      <c r="N11" s="14">
        <v>0.15243976569172399</v>
      </c>
      <c r="O11" s="14">
        <v>0.23787598416518499</v>
      </c>
      <c r="P11" s="14">
        <v>0.25775542327228401</v>
      </c>
      <c r="Q11" s="14">
        <v>0.20596602387521401</v>
      </c>
      <c r="R11" s="14"/>
      <c r="S11" s="14">
        <v>0.12698578309814601</v>
      </c>
      <c r="T11" s="14">
        <v>0.216797698156001</v>
      </c>
      <c r="U11" s="14">
        <v>0.250460551633507</v>
      </c>
      <c r="V11" s="14">
        <v>0.21313992229642401</v>
      </c>
      <c r="W11" s="14">
        <v>0.19785079997777999</v>
      </c>
      <c r="X11" s="14">
        <v>0.20453735895198299</v>
      </c>
      <c r="Y11" s="14">
        <v>0.23121441572556101</v>
      </c>
      <c r="Z11" s="14">
        <v>0.23324883936388699</v>
      </c>
      <c r="AA11" s="14">
        <v>0.248955829646615</v>
      </c>
      <c r="AB11" s="14"/>
      <c r="AC11" s="14">
        <v>0.22337537703812299</v>
      </c>
      <c r="AD11" s="14">
        <v>0.235348542012114</v>
      </c>
      <c r="AE11" s="14">
        <v>0.2422293286811</v>
      </c>
      <c r="AF11" s="14">
        <v>0.13608548635576101</v>
      </c>
      <c r="AG11" s="14">
        <v>8.9372416659072099E-2</v>
      </c>
      <c r="AH11" s="14"/>
      <c r="AI11" s="14">
        <v>0.136185975806938</v>
      </c>
      <c r="AJ11" s="14">
        <v>0.19349327359021001</v>
      </c>
      <c r="AK11" s="14">
        <v>0.22323644330985101</v>
      </c>
      <c r="AL11" s="14">
        <v>0.27976855717266103</v>
      </c>
      <c r="AM11" s="14">
        <v>0.32353924115791199</v>
      </c>
      <c r="AN11" s="14">
        <v>0.38107840248008301</v>
      </c>
      <c r="AO11" s="14"/>
      <c r="AP11" s="14">
        <v>0.16836302031290701</v>
      </c>
      <c r="AQ11" s="14">
        <v>0.25829640918834601</v>
      </c>
      <c r="AR11" s="14"/>
      <c r="AS11" s="14" t="s">
        <v>88</v>
      </c>
      <c r="AT11" s="14" t="s">
        <v>88</v>
      </c>
      <c r="AU11" s="14">
        <v>0.20834118155551501</v>
      </c>
      <c r="AV11" s="14"/>
      <c r="AW11" s="14">
        <v>0.212895615463041</v>
      </c>
      <c r="AX11" s="14">
        <v>0.15108052312196801</v>
      </c>
      <c r="AY11" s="14"/>
      <c r="AZ11" s="14">
        <v>0.187156563643012</v>
      </c>
      <c r="BA11" s="14">
        <v>0.32580699182122402</v>
      </c>
    </row>
    <row r="12" spans="2:53" x14ac:dyDescent="0.35">
      <c r="B12" s="15" t="s">
        <v>223</v>
      </c>
      <c r="C12" s="14">
        <v>7.7952944929208998E-2</v>
      </c>
      <c r="D12" s="14">
        <v>2.9929249389866901E-2</v>
      </c>
      <c r="E12" s="14">
        <v>0.127555305955594</v>
      </c>
      <c r="F12" s="14"/>
      <c r="G12" s="14">
        <v>0</v>
      </c>
      <c r="H12" s="14">
        <v>5.1380667204208898E-2</v>
      </c>
      <c r="I12" s="14">
        <v>8.1661363070992504E-2</v>
      </c>
      <c r="J12" s="14">
        <v>8.4475323830502394E-2</v>
      </c>
      <c r="K12" s="14">
        <v>3.7343885055499203E-2</v>
      </c>
      <c r="L12" s="14">
        <v>0.19542254586996399</v>
      </c>
      <c r="M12" s="14"/>
      <c r="N12" s="14">
        <v>4.2330194787514798E-2</v>
      </c>
      <c r="O12" s="14">
        <v>0.119389760774664</v>
      </c>
      <c r="P12" s="14">
        <v>4.2478607421254401E-2</v>
      </c>
      <c r="Q12" s="14">
        <v>0.12062144610109</v>
      </c>
      <c r="R12" s="14"/>
      <c r="S12" s="14">
        <v>3.3042678577725297E-2</v>
      </c>
      <c r="T12" s="14">
        <v>0.13116703608827099</v>
      </c>
      <c r="U12" s="14">
        <v>8.6811127211184794E-2</v>
      </c>
      <c r="V12" s="14">
        <v>1.8971978630908101E-2</v>
      </c>
      <c r="W12" s="14">
        <v>0.12371511567976901</v>
      </c>
      <c r="X12" s="14">
        <v>8.7699672391594694E-2</v>
      </c>
      <c r="Y12" s="14">
        <v>9.3710259098687604E-2</v>
      </c>
      <c r="Z12" s="14">
        <v>7.7688559264876403E-2</v>
      </c>
      <c r="AA12" s="14">
        <v>5.9777659792685803E-2</v>
      </c>
      <c r="AB12" s="14"/>
      <c r="AC12" s="14">
        <v>0.14146412113100501</v>
      </c>
      <c r="AD12" s="14">
        <v>8.3449829894296196E-2</v>
      </c>
      <c r="AE12" s="14">
        <v>4.0166198325264697E-2</v>
      </c>
      <c r="AF12" s="14">
        <v>4.5927308582576001E-2</v>
      </c>
      <c r="AG12" s="14">
        <v>3.2917233568152598E-2</v>
      </c>
      <c r="AH12" s="14"/>
      <c r="AI12" s="14">
        <v>7.06385637616085E-2</v>
      </c>
      <c r="AJ12" s="14">
        <v>5.4156306392477198E-2</v>
      </c>
      <c r="AK12" s="14">
        <v>9.3616984596785802E-2</v>
      </c>
      <c r="AL12" s="14">
        <v>0.12513684163225999</v>
      </c>
      <c r="AM12" s="14">
        <v>0.11035702037689001</v>
      </c>
      <c r="AN12" s="14">
        <v>4.3504682354807103E-2</v>
      </c>
      <c r="AO12" s="14"/>
      <c r="AP12" s="14">
        <v>5.9762152983012698E-2</v>
      </c>
      <c r="AQ12" s="14">
        <v>0.100683483909706</v>
      </c>
      <c r="AR12" s="14"/>
      <c r="AS12" s="14" t="s">
        <v>88</v>
      </c>
      <c r="AT12" s="14" t="s">
        <v>88</v>
      </c>
      <c r="AU12" s="14">
        <v>7.7952944929208998E-2</v>
      </c>
      <c r="AV12" s="14"/>
      <c r="AW12" s="14">
        <v>9.1715665774741398E-2</v>
      </c>
      <c r="AX12" s="14">
        <v>3.5658798273385903E-2</v>
      </c>
      <c r="AY12" s="14"/>
      <c r="AZ12" s="14">
        <v>4.5633298351545101E-2</v>
      </c>
      <c r="BA12" s="14">
        <v>0.254799348976398</v>
      </c>
    </row>
    <row r="13" spans="2:53" x14ac:dyDescent="0.35">
      <c r="B13" s="15" t="s">
        <v>116</v>
      </c>
      <c r="C13" s="18">
        <v>8.1595814897160706E-3</v>
      </c>
      <c r="D13" s="18">
        <v>3.9186140565818598E-3</v>
      </c>
      <c r="E13" s="18">
        <v>1.2539960703704899E-2</v>
      </c>
      <c r="F13" s="18"/>
      <c r="G13" s="18">
        <v>0</v>
      </c>
      <c r="H13" s="18">
        <v>0</v>
      </c>
      <c r="I13" s="18">
        <v>6.8317086194600697E-3</v>
      </c>
      <c r="J13" s="18">
        <v>1.3184975399093199E-2</v>
      </c>
      <c r="K13" s="18">
        <v>4.2010641612408601E-3</v>
      </c>
      <c r="L13" s="18">
        <v>0</v>
      </c>
      <c r="M13" s="18"/>
      <c r="N13" s="18">
        <v>1.23747778176862E-2</v>
      </c>
      <c r="O13" s="18">
        <v>9.5646081977131207E-3</v>
      </c>
      <c r="P13" s="18">
        <v>0</v>
      </c>
      <c r="Q13" s="18">
        <v>8.8596628364048507E-3</v>
      </c>
      <c r="R13" s="18"/>
      <c r="S13" s="18">
        <v>1.2105902484981199E-2</v>
      </c>
      <c r="T13" s="18">
        <v>2.87745908067558E-2</v>
      </c>
      <c r="U13" s="18">
        <v>0</v>
      </c>
      <c r="V13" s="18">
        <v>0</v>
      </c>
      <c r="W13" s="18">
        <v>0</v>
      </c>
      <c r="X13" s="18">
        <v>0</v>
      </c>
      <c r="Y13" s="18">
        <v>7.4772883505249401E-3</v>
      </c>
      <c r="Z13" s="18">
        <v>1.95712101124428E-2</v>
      </c>
      <c r="AA13" s="18">
        <v>0</v>
      </c>
      <c r="AB13" s="18"/>
      <c r="AC13" s="18">
        <v>1.75516633818915E-2</v>
      </c>
      <c r="AD13" s="18">
        <v>2.1121199765018802E-3</v>
      </c>
      <c r="AE13" s="18">
        <v>8.6652742174168507E-3</v>
      </c>
      <c r="AF13" s="18">
        <v>6.7973637802465096E-3</v>
      </c>
      <c r="AG13" s="18">
        <v>0</v>
      </c>
      <c r="AH13" s="18"/>
      <c r="AI13" s="18">
        <v>9.7520463133563707E-3</v>
      </c>
      <c r="AJ13" s="18">
        <v>0</v>
      </c>
      <c r="AK13" s="18">
        <v>9.9041477332033109E-3</v>
      </c>
      <c r="AL13" s="18">
        <v>5.62191033208262E-3</v>
      </c>
      <c r="AM13" s="18">
        <v>0</v>
      </c>
      <c r="AN13" s="18">
        <v>0</v>
      </c>
      <c r="AO13" s="18"/>
      <c r="AP13" s="18">
        <v>6.4955077009184502E-3</v>
      </c>
      <c r="AQ13" s="18">
        <v>1.02389463812813E-2</v>
      </c>
      <c r="AR13" s="18"/>
      <c r="AS13" s="18" t="s">
        <v>88</v>
      </c>
      <c r="AT13" s="18" t="s">
        <v>88</v>
      </c>
      <c r="AU13" s="18">
        <v>8.1595814897160706E-3</v>
      </c>
      <c r="AV13" s="18"/>
      <c r="AW13" s="18">
        <v>4.4815146210783197E-3</v>
      </c>
      <c r="AX13" s="18">
        <v>2.2853325141529999E-3</v>
      </c>
      <c r="AY13" s="18"/>
      <c r="AZ13" s="18">
        <v>5.3399192223033496E-3</v>
      </c>
      <c r="BA13" s="18">
        <v>2.3601564542740799E-2</v>
      </c>
    </row>
    <row r="14" spans="2:53" x14ac:dyDescent="0.35">
      <c r="B14" s="26" t="s">
        <v>224</v>
      </c>
      <c r="C14" s="27">
        <v>0.64388378565474602</v>
      </c>
      <c r="D14" s="27">
        <v>0.71843061545565201</v>
      </c>
      <c r="E14" s="27">
        <v>0.56688640501527099</v>
      </c>
      <c r="F14" s="27"/>
      <c r="G14" s="27">
        <v>1</v>
      </c>
      <c r="H14" s="27">
        <v>0.82514079946735397</v>
      </c>
      <c r="I14" s="27">
        <v>0.68578467450531599</v>
      </c>
      <c r="J14" s="27">
        <v>0.58969610452962495</v>
      </c>
      <c r="K14" s="27">
        <v>0.56682091912001997</v>
      </c>
      <c r="L14" s="27">
        <v>0.478741314104079</v>
      </c>
      <c r="M14" s="27"/>
      <c r="N14" s="27">
        <v>0.72909244377236404</v>
      </c>
      <c r="O14" s="27">
        <v>0.59362684832394197</v>
      </c>
      <c r="P14" s="27">
        <v>0.65051588582768005</v>
      </c>
      <c r="Q14" s="27">
        <v>0.56374035045135795</v>
      </c>
      <c r="R14" s="27"/>
      <c r="S14" s="27">
        <v>0.79265797719152298</v>
      </c>
      <c r="T14" s="27">
        <v>0.55902700219789303</v>
      </c>
      <c r="U14" s="27">
        <v>0.58883716631456196</v>
      </c>
      <c r="V14" s="27">
        <v>0.69023362636951102</v>
      </c>
      <c r="W14" s="27">
        <v>0.60443984857701405</v>
      </c>
      <c r="X14" s="27">
        <v>0.621510101087143</v>
      </c>
      <c r="Y14" s="27">
        <v>0.60677693357263396</v>
      </c>
      <c r="Z14" s="27">
        <v>0.63034897074533502</v>
      </c>
      <c r="AA14" s="27">
        <v>0.63841321538081397</v>
      </c>
      <c r="AB14" s="27"/>
      <c r="AC14" s="27">
        <v>0.544081401831497</v>
      </c>
      <c r="AD14" s="27">
        <v>0.61575345063952802</v>
      </c>
      <c r="AE14" s="27">
        <v>0.645595275103229</v>
      </c>
      <c r="AF14" s="27">
        <v>0.786646517384882</v>
      </c>
      <c r="AG14" s="27">
        <v>0.808359018904659</v>
      </c>
      <c r="AH14" s="27"/>
      <c r="AI14" s="27">
        <v>0.73031672775943601</v>
      </c>
      <c r="AJ14" s="27">
        <v>0.67251467544060395</v>
      </c>
      <c r="AK14" s="27">
        <v>0.61033135940081995</v>
      </c>
      <c r="AL14" s="27">
        <v>0.51243772481687799</v>
      </c>
      <c r="AM14" s="27">
        <v>0.50283059785545903</v>
      </c>
      <c r="AN14" s="27">
        <v>0.54987660476710098</v>
      </c>
      <c r="AO14" s="27"/>
      <c r="AP14" s="27">
        <v>0.71776613198686001</v>
      </c>
      <c r="AQ14" s="27">
        <v>0.55156314572659604</v>
      </c>
      <c r="AR14" s="27"/>
      <c r="AS14" s="27" t="s">
        <v>88</v>
      </c>
      <c r="AT14" s="27" t="s">
        <v>88</v>
      </c>
      <c r="AU14" s="27">
        <v>0.64388378565474602</v>
      </c>
      <c r="AV14" s="27"/>
      <c r="AW14" s="27">
        <v>0.63321439999296003</v>
      </c>
      <c r="AX14" s="27">
        <v>0.74476220739375898</v>
      </c>
      <c r="AY14" s="27"/>
      <c r="AZ14" s="27">
        <v>0.70579577285783901</v>
      </c>
      <c r="BA14" s="27">
        <v>0.30307853655152001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369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154</v>
      </c>
      <c r="C9" s="14">
        <v>0.39042349441528401</v>
      </c>
      <c r="D9" s="14">
        <v>0.41120233451947802</v>
      </c>
      <c r="E9" s="14">
        <v>0.37043724337209299</v>
      </c>
      <c r="F9" s="14"/>
      <c r="G9" s="14">
        <v>0</v>
      </c>
      <c r="H9" s="14">
        <v>0.46381132761893801</v>
      </c>
      <c r="I9" s="14">
        <v>0.44095070864202901</v>
      </c>
      <c r="J9" s="14">
        <v>0.36871234768959199</v>
      </c>
      <c r="K9" s="14">
        <v>0.273602637730815</v>
      </c>
      <c r="L9" s="14">
        <v>0.29868198355289499</v>
      </c>
      <c r="M9" s="14"/>
      <c r="N9" s="14">
        <v>0.46299874393662399</v>
      </c>
      <c r="O9" s="14">
        <v>0.35441825594918802</v>
      </c>
      <c r="P9" s="14">
        <v>0.41580249752993298</v>
      </c>
      <c r="Q9" s="14">
        <v>0.32313139836981702</v>
      </c>
      <c r="R9" s="14"/>
      <c r="S9" s="14">
        <v>0.45523054108113697</v>
      </c>
      <c r="T9" s="14">
        <v>0.402533696992803</v>
      </c>
      <c r="U9" s="14">
        <v>0.389740230897058</v>
      </c>
      <c r="V9" s="14">
        <v>0.376693601928281</v>
      </c>
      <c r="W9" s="14">
        <v>0.34222298814159802</v>
      </c>
      <c r="X9" s="14">
        <v>0.39489188753205001</v>
      </c>
      <c r="Y9" s="14">
        <v>0.332895335547918</v>
      </c>
      <c r="Z9" s="14">
        <v>0.47832049601575699</v>
      </c>
      <c r="AA9" s="14">
        <v>0.35552377568112897</v>
      </c>
      <c r="AB9" s="14"/>
      <c r="AC9" s="14">
        <v>0.26147176626375901</v>
      </c>
      <c r="AD9" s="14">
        <v>0.400876617221472</v>
      </c>
      <c r="AE9" s="14">
        <v>0.41582104258407099</v>
      </c>
      <c r="AF9" s="14">
        <v>0.56381058261190597</v>
      </c>
      <c r="AG9" s="14">
        <v>0.67025255106958104</v>
      </c>
      <c r="AH9" s="14"/>
      <c r="AI9" s="14">
        <v>0.434804303462141</v>
      </c>
      <c r="AJ9" s="14">
        <v>0.43302759572313998</v>
      </c>
      <c r="AK9" s="14">
        <v>0.41089526276344102</v>
      </c>
      <c r="AL9" s="14">
        <v>0.33923145235603702</v>
      </c>
      <c r="AM9" s="14">
        <v>0.507999933319073</v>
      </c>
      <c r="AN9" s="14">
        <v>0.25315980156972301</v>
      </c>
      <c r="AO9" s="14"/>
      <c r="AP9" s="14">
        <v>0.406836064241069</v>
      </c>
      <c r="AQ9" s="14">
        <v>0.373633719095669</v>
      </c>
      <c r="AR9" s="14"/>
      <c r="AS9" s="14" t="s">
        <v>88</v>
      </c>
      <c r="AT9" s="14" t="s">
        <v>88</v>
      </c>
      <c r="AU9" s="14">
        <v>0.39042349441528401</v>
      </c>
      <c r="AV9" s="14"/>
      <c r="AW9" s="14">
        <v>0.38383558315632799</v>
      </c>
      <c r="AX9" s="14">
        <v>0.48327081501499197</v>
      </c>
      <c r="AY9" s="14"/>
      <c r="AZ9" s="14">
        <v>0.42476298682935898</v>
      </c>
      <c r="BA9" s="14">
        <v>0.26616900030200102</v>
      </c>
    </row>
    <row r="10" spans="2:53" x14ac:dyDescent="0.35">
      <c r="B10" s="15" t="s">
        <v>155</v>
      </c>
      <c r="C10" s="14">
        <v>0.25067273790744699</v>
      </c>
      <c r="D10" s="14">
        <v>0.27225924948373798</v>
      </c>
      <c r="E10" s="14">
        <v>0.22816624366038701</v>
      </c>
      <c r="F10" s="14"/>
      <c r="G10" s="14">
        <v>0.56074380449106598</v>
      </c>
      <c r="H10" s="14">
        <v>0.32120105841956298</v>
      </c>
      <c r="I10" s="14">
        <v>0.23525272829709401</v>
      </c>
      <c r="J10" s="14">
        <v>0.22303090881378301</v>
      </c>
      <c r="K10" s="14">
        <v>0.29918776942297398</v>
      </c>
      <c r="L10" s="14">
        <v>0.44838997793854302</v>
      </c>
      <c r="M10" s="14"/>
      <c r="N10" s="14">
        <v>0.26662483718088797</v>
      </c>
      <c r="O10" s="14">
        <v>0.240414788707739</v>
      </c>
      <c r="P10" s="14">
        <v>0.227301484398266</v>
      </c>
      <c r="Q10" s="14">
        <v>0.26925464075142203</v>
      </c>
      <c r="R10" s="14"/>
      <c r="S10" s="14">
        <v>0.259510129745332</v>
      </c>
      <c r="T10" s="14">
        <v>0.26989340801068401</v>
      </c>
      <c r="U10" s="14">
        <v>0.29025295253272598</v>
      </c>
      <c r="V10" s="14">
        <v>0.19031045815655701</v>
      </c>
      <c r="W10" s="14">
        <v>0.21196665043742199</v>
      </c>
      <c r="X10" s="14">
        <v>0.23171329792817</v>
      </c>
      <c r="Y10" s="14">
        <v>0.28630821078833602</v>
      </c>
      <c r="Z10" s="14">
        <v>0.205852375800404</v>
      </c>
      <c r="AA10" s="14">
        <v>0.27309232389118998</v>
      </c>
      <c r="AB10" s="14"/>
      <c r="AC10" s="14">
        <v>0.27114025042711298</v>
      </c>
      <c r="AD10" s="14">
        <v>0.257060788418703</v>
      </c>
      <c r="AE10" s="14">
        <v>0.25639511326362402</v>
      </c>
      <c r="AF10" s="14">
        <v>0.235341217491463</v>
      </c>
      <c r="AG10" s="14">
        <v>0.24794703839276899</v>
      </c>
      <c r="AH10" s="14"/>
      <c r="AI10" s="14">
        <v>0.230798694436916</v>
      </c>
      <c r="AJ10" s="14">
        <v>0.28719553435900602</v>
      </c>
      <c r="AK10" s="14">
        <v>0.17876228064861999</v>
      </c>
      <c r="AL10" s="14">
        <v>0.25826788979343202</v>
      </c>
      <c r="AM10" s="14">
        <v>0.27624153652070998</v>
      </c>
      <c r="AN10" s="14">
        <v>0.21326070574952399</v>
      </c>
      <c r="AO10" s="14"/>
      <c r="AP10" s="14">
        <v>0.25842438244947702</v>
      </c>
      <c r="AQ10" s="14">
        <v>0.24202678589842799</v>
      </c>
      <c r="AR10" s="14"/>
      <c r="AS10" s="14" t="s">
        <v>88</v>
      </c>
      <c r="AT10" s="14" t="s">
        <v>88</v>
      </c>
      <c r="AU10" s="14">
        <v>0.25067273790744699</v>
      </c>
      <c r="AV10" s="14"/>
      <c r="AW10" s="14">
        <v>0.243691644423706</v>
      </c>
      <c r="AX10" s="14">
        <v>0.28071372836106601</v>
      </c>
      <c r="AY10" s="14"/>
      <c r="AZ10" s="14">
        <v>0.26690570807132502</v>
      </c>
      <c r="BA10" s="14">
        <v>0.19442578203553801</v>
      </c>
    </row>
    <row r="11" spans="2:53" x14ac:dyDescent="0.35">
      <c r="B11" s="15" t="s">
        <v>116</v>
      </c>
      <c r="C11" s="23">
        <v>0.358903767677269</v>
      </c>
      <c r="D11" s="23">
        <v>0.31653841599678401</v>
      </c>
      <c r="E11" s="23">
        <v>0.40139651296752099</v>
      </c>
      <c r="F11" s="23"/>
      <c r="G11" s="23">
        <v>0.43925619550893402</v>
      </c>
      <c r="H11" s="23">
        <v>0.21498761396150001</v>
      </c>
      <c r="I11" s="23">
        <v>0.32379656306087701</v>
      </c>
      <c r="J11" s="23">
        <v>0.408256743496625</v>
      </c>
      <c r="K11" s="23">
        <v>0.42720959284621202</v>
      </c>
      <c r="L11" s="23">
        <v>0.25292803850856199</v>
      </c>
      <c r="M11" s="23"/>
      <c r="N11" s="23">
        <v>0.27037641888248798</v>
      </c>
      <c r="O11" s="23">
        <v>0.40516695534307301</v>
      </c>
      <c r="P11" s="23">
        <v>0.35689601807180099</v>
      </c>
      <c r="Q11" s="23">
        <v>0.40761396087876001</v>
      </c>
      <c r="R11" s="23"/>
      <c r="S11" s="23">
        <v>0.28525932917353097</v>
      </c>
      <c r="T11" s="23">
        <v>0.32757289499651199</v>
      </c>
      <c r="U11" s="23">
        <v>0.32000681657021601</v>
      </c>
      <c r="V11" s="23">
        <v>0.432995939915162</v>
      </c>
      <c r="W11" s="23">
        <v>0.44581036142098002</v>
      </c>
      <c r="X11" s="23">
        <v>0.37339481453978002</v>
      </c>
      <c r="Y11" s="23">
        <v>0.38079645366374698</v>
      </c>
      <c r="Z11" s="23">
        <v>0.31582712818383801</v>
      </c>
      <c r="AA11" s="23">
        <v>0.37138390042768099</v>
      </c>
      <c r="AB11" s="23"/>
      <c r="AC11" s="23">
        <v>0.46738798330912801</v>
      </c>
      <c r="AD11" s="23">
        <v>0.342062594359825</v>
      </c>
      <c r="AE11" s="23">
        <v>0.32778384415230499</v>
      </c>
      <c r="AF11" s="23">
        <v>0.200848199896632</v>
      </c>
      <c r="AG11" s="23">
        <v>8.1800410537649998E-2</v>
      </c>
      <c r="AH11" s="23"/>
      <c r="AI11" s="23">
        <v>0.33439700210094297</v>
      </c>
      <c r="AJ11" s="23">
        <v>0.279776869917853</v>
      </c>
      <c r="AK11" s="23">
        <v>0.410342456587939</v>
      </c>
      <c r="AL11" s="23">
        <v>0.40250065785053102</v>
      </c>
      <c r="AM11" s="23">
        <v>0.21575853016021701</v>
      </c>
      <c r="AN11" s="23">
        <v>0.533579492680753</v>
      </c>
      <c r="AO11" s="23"/>
      <c r="AP11" s="23">
        <v>0.33473955330945299</v>
      </c>
      <c r="AQ11" s="23">
        <v>0.38433949500590298</v>
      </c>
      <c r="AR11" s="23"/>
      <c r="AS11" s="23" t="s">
        <v>88</v>
      </c>
      <c r="AT11" s="23" t="s">
        <v>88</v>
      </c>
      <c r="AU11" s="23">
        <v>0.358903767677269</v>
      </c>
      <c r="AV11" s="23"/>
      <c r="AW11" s="23">
        <v>0.37247277241996601</v>
      </c>
      <c r="AX11" s="23">
        <v>0.23601545662394199</v>
      </c>
      <c r="AY11" s="23"/>
      <c r="AZ11" s="23">
        <v>0.308331305099317</v>
      </c>
      <c r="BA11" s="23">
        <v>0.53940521766245997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550</v>
      </c>
      <c r="D7" s="10">
        <v>237</v>
      </c>
      <c r="E7" s="10">
        <v>313</v>
      </c>
      <c r="F7" s="10"/>
      <c r="G7" s="10" t="s">
        <v>87</v>
      </c>
      <c r="H7" s="10">
        <v>59</v>
      </c>
      <c r="I7" s="10">
        <v>242</v>
      </c>
      <c r="J7" s="10">
        <v>192</v>
      </c>
      <c r="K7" s="10">
        <v>48</v>
      </c>
      <c r="L7" s="10">
        <v>9</v>
      </c>
      <c r="M7" s="10"/>
      <c r="N7" s="10">
        <v>288</v>
      </c>
      <c r="O7" s="10">
        <v>108</v>
      </c>
      <c r="P7" s="10">
        <v>83</v>
      </c>
      <c r="Q7" s="10">
        <v>70</v>
      </c>
      <c r="R7" s="10"/>
      <c r="S7" s="10">
        <v>118</v>
      </c>
      <c r="T7" s="10">
        <v>80</v>
      </c>
      <c r="U7" s="10">
        <v>44</v>
      </c>
      <c r="V7" s="10">
        <v>45</v>
      </c>
      <c r="W7" s="10">
        <v>38</v>
      </c>
      <c r="X7" s="10">
        <v>66</v>
      </c>
      <c r="Y7" s="10">
        <v>56</v>
      </c>
      <c r="Z7" s="10">
        <v>34</v>
      </c>
      <c r="AA7" s="10">
        <v>69</v>
      </c>
      <c r="AB7" s="10"/>
      <c r="AC7" s="10">
        <v>70</v>
      </c>
      <c r="AD7" s="10">
        <v>98</v>
      </c>
      <c r="AE7" s="10">
        <v>161</v>
      </c>
      <c r="AF7" s="10">
        <v>137</v>
      </c>
      <c r="AG7" s="10">
        <v>36</v>
      </c>
      <c r="AH7" s="10"/>
      <c r="AI7" s="10">
        <v>220</v>
      </c>
      <c r="AJ7" s="10">
        <v>106</v>
      </c>
      <c r="AK7" s="10">
        <v>58</v>
      </c>
      <c r="AL7" s="10">
        <v>73</v>
      </c>
      <c r="AM7" s="10">
        <v>36</v>
      </c>
      <c r="AN7" s="10">
        <v>24</v>
      </c>
      <c r="AO7" s="10"/>
      <c r="AP7" s="10">
        <v>313</v>
      </c>
      <c r="AQ7" s="10">
        <v>237</v>
      </c>
      <c r="AR7" s="10"/>
      <c r="AS7" s="10" t="s">
        <v>87</v>
      </c>
      <c r="AT7" s="10" t="s">
        <v>87</v>
      </c>
      <c r="AU7" s="10">
        <v>550</v>
      </c>
      <c r="AV7" s="10"/>
      <c r="AW7" s="10">
        <v>382</v>
      </c>
      <c r="AX7" s="10">
        <v>132</v>
      </c>
      <c r="AY7" s="10"/>
      <c r="AZ7" s="10">
        <v>471</v>
      </c>
      <c r="BA7" s="10">
        <v>78</v>
      </c>
    </row>
    <row r="8" spans="2:53" ht="30" customHeight="1" x14ac:dyDescent="0.35">
      <c r="B8" s="11" t="s">
        <v>19</v>
      </c>
      <c r="C8" s="11">
        <v>515</v>
      </c>
      <c r="D8" s="11">
        <v>270</v>
      </c>
      <c r="E8" s="11">
        <v>245</v>
      </c>
      <c r="F8" s="11"/>
      <c r="G8" s="11" t="s">
        <v>87</v>
      </c>
      <c r="H8" s="11">
        <v>50</v>
      </c>
      <c r="I8" s="11">
        <v>226</v>
      </c>
      <c r="J8" s="11">
        <v>187</v>
      </c>
      <c r="K8" s="11">
        <v>45</v>
      </c>
      <c r="L8" s="11">
        <v>8</v>
      </c>
      <c r="M8" s="11"/>
      <c r="N8" s="11">
        <v>169</v>
      </c>
      <c r="O8" s="11">
        <v>115</v>
      </c>
      <c r="P8" s="11">
        <v>127</v>
      </c>
      <c r="Q8" s="11">
        <v>103</v>
      </c>
      <c r="R8" s="11"/>
      <c r="S8" s="11">
        <v>92</v>
      </c>
      <c r="T8" s="11">
        <v>82</v>
      </c>
      <c r="U8" s="11">
        <v>50</v>
      </c>
      <c r="V8" s="11">
        <v>55</v>
      </c>
      <c r="W8" s="11">
        <v>44</v>
      </c>
      <c r="X8" s="11">
        <v>53</v>
      </c>
      <c r="Y8" s="11">
        <v>46</v>
      </c>
      <c r="Z8" s="11">
        <v>33</v>
      </c>
      <c r="AA8" s="11">
        <v>61</v>
      </c>
      <c r="AB8" s="11"/>
      <c r="AC8" s="11">
        <v>81</v>
      </c>
      <c r="AD8" s="11">
        <v>111</v>
      </c>
      <c r="AE8" s="11">
        <v>150</v>
      </c>
      <c r="AF8" s="11">
        <v>101</v>
      </c>
      <c r="AG8" s="11">
        <v>19</v>
      </c>
      <c r="AH8" s="11"/>
      <c r="AI8" s="11">
        <v>197</v>
      </c>
      <c r="AJ8" s="11">
        <v>102</v>
      </c>
      <c r="AK8" s="11">
        <v>50</v>
      </c>
      <c r="AL8" s="11">
        <v>74</v>
      </c>
      <c r="AM8" s="11">
        <v>33</v>
      </c>
      <c r="AN8" s="11">
        <v>25</v>
      </c>
      <c r="AO8" s="11"/>
      <c r="AP8" s="11">
        <v>286</v>
      </c>
      <c r="AQ8" s="11">
        <v>229</v>
      </c>
      <c r="AR8" s="11"/>
      <c r="AS8" s="11" t="s">
        <v>87</v>
      </c>
      <c r="AT8" s="11" t="s">
        <v>87</v>
      </c>
      <c r="AU8" s="11">
        <v>515</v>
      </c>
      <c r="AV8" s="11"/>
      <c r="AW8" s="11">
        <v>374</v>
      </c>
      <c r="AX8" s="11">
        <v>101</v>
      </c>
      <c r="AY8" s="11"/>
      <c r="AZ8" s="11">
        <v>439</v>
      </c>
      <c r="BA8" s="11">
        <v>76</v>
      </c>
    </row>
    <row r="9" spans="2:53" x14ac:dyDescent="0.35">
      <c r="B9" s="15" t="s">
        <v>214</v>
      </c>
      <c r="C9" s="14">
        <v>0.15125222984925099</v>
      </c>
      <c r="D9" s="14">
        <v>0.15722728257544799</v>
      </c>
      <c r="E9" s="14">
        <v>0.14468452077140301</v>
      </c>
      <c r="F9" s="14"/>
      <c r="G9" s="14" t="s">
        <v>88</v>
      </c>
      <c r="H9" s="14">
        <v>0.21352600247579201</v>
      </c>
      <c r="I9" s="14">
        <v>0.178123623348</v>
      </c>
      <c r="J9" s="14">
        <v>0.123797557248713</v>
      </c>
      <c r="K9" s="14">
        <v>8.8962634577377506E-2</v>
      </c>
      <c r="L9" s="14">
        <v>0</v>
      </c>
      <c r="M9" s="14"/>
      <c r="N9" s="14">
        <v>0.14328124324331801</v>
      </c>
      <c r="O9" s="14">
        <v>8.0323116619412993E-2</v>
      </c>
      <c r="P9" s="14">
        <v>0.174281321611444</v>
      </c>
      <c r="Q9" s="14">
        <v>0.21619396624138601</v>
      </c>
      <c r="R9" s="14"/>
      <c r="S9" s="14">
        <v>0.201833332672569</v>
      </c>
      <c r="T9" s="14">
        <v>0.17011434530467201</v>
      </c>
      <c r="U9" s="14">
        <v>8.4883057357501707E-2</v>
      </c>
      <c r="V9" s="14">
        <v>0.181502057420556</v>
      </c>
      <c r="W9" s="14">
        <v>6.4893449775405704E-2</v>
      </c>
      <c r="X9" s="14">
        <v>0.19341617909793701</v>
      </c>
      <c r="Y9" s="14">
        <v>0.117450565065883</v>
      </c>
      <c r="Z9" s="14">
        <v>0.23578564512693501</v>
      </c>
      <c r="AA9" s="14">
        <v>8.1936994487206899E-2</v>
      </c>
      <c r="AB9" s="14"/>
      <c r="AC9" s="14">
        <v>0.159128401939027</v>
      </c>
      <c r="AD9" s="14">
        <v>8.0963605986820106E-2</v>
      </c>
      <c r="AE9" s="14">
        <v>0.14062314208585699</v>
      </c>
      <c r="AF9" s="14">
        <v>0.22111655146627199</v>
      </c>
      <c r="AG9" s="14">
        <v>0.36852408626955102</v>
      </c>
      <c r="AH9" s="14"/>
      <c r="AI9" s="14">
        <v>0.19488258115221699</v>
      </c>
      <c r="AJ9" s="14">
        <v>0.17022375877659901</v>
      </c>
      <c r="AK9" s="14">
        <v>0.10581372015356701</v>
      </c>
      <c r="AL9" s="14">
        <v>7.6594249028774E-2</v>
      </c>
      <c r="AM9" s="14">
        <v>0.107684046583424</v>
      </c>
      <c r="AN9" s="14">
        <v>0.22493126022058799</v>
      </c>
      <c r="AO9" s="14"/>
      <c r="AP9" s="14">
        <v>0.18868890912726599</v>
      </c>
      <c r="AQ9" s="14">
        <v>0.10461384677703101</v>
      </c>
      <c r="AR9" s="14"/>
      <c r="AS9" s="14" t="s">
        <v>88</v>
      </c>
      <c r="AT9" s="14" t="s">
        <v>88</v>
      </c>
      <c r="AU9" s="14">
        <v>0.15125222984925099</v>
      </c>
      <c r="AV9" s="14"/>
      <c r="AW9" s="14">
        <v>0.11827876063119</v>
      </c>
      <c r="AX9" s="14">
        <v>0.289143479795122</v>
      </c>
      <c r="AY9" s="14"/>
      <c r="AZ9" s="14">
        <v>0.16667278643653499</v>
      </c>
      <c r="BA9" s="14">
        <v>6.3908291059419003E-2</v>
      </c>
    </row>
    <row r="10" spans="2:53" x14ac:dyDescent="0.35">
      <c r="B10" s="15" t="s">
        <v>215</v>
      </c>
      <c r="C10" s="14">
        <v>0.52833059717647202</v>
      </c>
      <c r="D10" s="14">
        <v>0.548251917584612</v>
      </c>
      <c r="E10" s="14">
        <v>0.506433311431427</v>
      </c>
      <c r="F10" s="14"/>
      <c r="G10" s="14" t="s">
        <v>88</v>
      </c>
      <c r="H10" s="14">
        <v>0.50750209449867301</v>
      </c>
      <c r="I10" s="14">
        <v>0.53461310315812005</v>
      </c>
      <c r="J10" s="14">
        <v>0.53088768609848602</v>
      </c>
      <c r="K10" s="14">
        <v>0.458395164412296</v>
      </c>
      <c r="L10" s="14">
        <v>0.80066826429982396</v>
      </c>
      <c r="M10" s="14"/>
      <c r="N10" s="14">
        <v>0.52859253390879002</v>
      </c>
      <c r="O10" s="14">
        <v>0.57703822015551198</v>
      </c>
      <c r="P10" s="14">
        <v>0.52932863952004905</v>
      </c>
      <c r="Q10" s="14">
        <v>0.47641079089316102</v>
      </c>
      <c r="R10" s="14"/>
      <c r="S10" s="14">
        <v>0.54747985258476795</v>
      </c>
      <c r="T10" s="14">
        <v>0.44414352115757799</v>
      </c>
      <c r="U10" s="14">
        <v>0.55686061192490299</v>
      </c>
      <c r="V10" s="14">
        <v>0.40870030559793602</v>
      </c>
      <c r="W10" s="14">
        <v>0.510598014111311</v>
      </c>
      <c r="X10" s="14">
        <v>0.59384342805784096</v>
      </c>
      <c r="Y10" s="14">
        <v>0.54343292284234701</v>
      </c>
      <c r="Z10" s="14">
        <v>0.52598913129715297</v>
      </c>
      <c r="AA10" s="14">
        <v>0.64403731959185795</v>
      </c>
      <c r="AB10" s="14"/>
      <c r="AC10" s="14">
        <v>0.57070718963185296</v>
      </c>
      <c r="AD10" s="14">
        <v>0.58507261822956103</v>
      </c>
      <c r="AE10" s="14">
        <v>0.47926143448047598</v>
      </c>
      <c r="AF10" s="14">
        <v>0.55610229396566901</v>
      </c>
      <c r="AG10" s="14">
        <v>0.42300571362489098</v>
      </c>
      <c r="AH10" s="14"/>
      <c r="AI10" s="14">
        <v>0.49548408757504903</v>
      </c>
      <c r="AJ10" s="14">
        <v>0.58666064101322102</v>
      </c>
      <c r="AK10" s="14">
        <v>0.517581335945554</v>
      </c>
      <c r="AL10" s="14">
        <v>0.53260887466260298</v>
      </c>
      <c r="AM10" s="14">
        <v>0.475735468674504</v>
      </c>
      <c r="AN10" s="14">
        <v>0.51327660873844505</v>
      </c>
      <c r="AO10" s="14"/>
      <c r="AP10" s="14">
        <v>0.51011292758726401</v>
      </c>
      <c r="AQ10" s="14">
        <v>0.55102605706689001</v>
      </c>
      <c r="AR10" s="14"/>
      <c r="AS10" s="14" t="s">
        <v>88</v>
      </c>
      <c r="AT10" s="14" t="s">
        <v>88</v>
      </c>
      <c r="AU10" s="14">
        <v>0.52833059717647202</v>
      </c>
      <c r="AV10" s="14"/>
      <c r="AW10" s="14">
        <v>0.55543270032431302</v>
      </c>
      <c r="AX10" s="14">
        <v>0.47088145065414599</v>
      </c>
      <c r="AY10" s="14"/>
      <c r="AZ10" s="14">
        <v>0.52975719000444199</v>
      </c>
      <c r="BA10" s="14">
        <v>0.51345183714932296</v>
      </c>
    </row>
    <row r="11" spans="2:53" x14ac:dyDescent="0.35">
      <c r="B11" s="15" t="s">
        <v>216</v>
      </c>
      <c r="C11" s="14">
        <v>0.157090445845114</v>
      </c>
      <c r="D11" s="14">
        <v>0.13459645816167801</v>
      </c>
      <c r="E11" s="14">
        <v>0.18181557780215499</v>
      </c>
      <c r="F11" s="14"/>
      <c r="G11" s="14" t="s">
        <v>88</v>
      </c>
      <c r="H11" s="14">
        <v>0.12814786647102899</v>
      </c>
      <c r="I11" s="14">
        <v>0.149775085875574</v>
      </c>
      <c r="J11" s="14">
        <v>0.16782989895697201</v>
      </c>
      <c r="K11" s="14">
        <v>0.201658944721987</v>
      </c>
      <c r="L11" s="14">
        <v>4.8327608748138601E-2</v>
      </c>
      <c r="M11" s="14"/>
      <c r="N11" s="14">
        <v>0.15717066418189499</v>
      </c>
      <c r="O11" s="14">
        <v>0.173716488193699</v>
      </c>
      <c r="P11" s="14">
        <v>0.12110301509062101</v>
      </c>
      <c r="Q11" s="14">
        <v>0.1763680945169</v>
      </c>
      <c r="R11" s="14"/>
      <c r="S11" s="14">
        <v>0.12640594912241099</v>
      </c>
      <c r="T11" s="14">
        <v>0.164889929698007</v>
      </c>
      <c r="U11" s="14">
        <v>0.187638195886388</v>
      </c>
      <c r="V11" s="14">
        <v>0.147146248524962</v>
      </c>
      <c r="W11" s="14">
        <v>0.32211821009621</v>
      </c>
      <c r="X11" s="14">
        <v>9.7078046037989002E-2</v>
      </c>
      <c r="Y11" s="14">
        <v>0.170806117467143</v>
      </c>
      <c r="Z11" s="14">
        <v>0.10671429899214201</v>
      </c>
      <c r="AA11" s="14">
        <v>0.12680370708365599</v>
      </c>
      <c r="AB11" s="14"/>
      <c r="AC11" s="14">
        <v>0.119690572384046</v>
      </c>
      <c r="AD11" s="14">
        <v>0.183657614399485</v>
      </c>
      <c r="AE11" s="14">
        <v>0.20802133652049801</v>
      </c>
      <c r="AF11" s="14">
        <v>8.7666193051720007E-2</v>
      </c>
      <c r="AG11" s="14">
        <v>0.118478091803169</v>
      </c>
      <c r="AH11" s="14"/>
      <c r="AI11" s="14">
        <v>0.16483219156397</v>
      </c>
      <c r="AJ11" s="14">
        <v>0.12300339282201</v>
      </c>
      <c r="AK11" s="14">
        <v>0.14131532782668799</v>
      </c>
      <c r="AL11" s="14">
        <v>0.19233977817683501</v>
      </c>
      <c r="AM11" s="14">
        <v>0.182438938442021</v>
      </c>
      <c r="AN11" s="14">
        <v>5.6817814115185897E-2</v>
      </c>
      <c r="AO11" s="14"/>
      <c r="AP11" s="14">
        <v>0.14070070593693501</v>
      </c>
      <c r="AQ11" s="14">
        <v>0.177508682265474</v>
      </c>
      <c r="AR11" s="14"/>
      <c r="AS11" s="14" t="s">
        <v>88</v>
      </c>
      <c r="AT11" s="14" t="s">
        <v>88</v>
      </c>
      <c r="AU11" s="14">
        <v>0.157090445845114</v>
      </c>
      <c r="AV11" s="14"/>
      <c r="AW11" s="14">
        <v>0.16080044287313999</v>
      </c>
      <c r="AX11" s="14">
        <v>0.130522472132648</v>
      </c>
      <c r="AY11" s="14"/>
      <c r="AZ11" s="14">
        <v>0.144931566486078</v>
      </c>
      <c r="BA11" s="14">
        <v>0.22982823322530899</v>
      </c>
    </row>
    <row r="12" spans="2:53" x14ac:dyDescent="0.35">
      <c r="B12" s="15" t="s">
        <v>217</v>
      </c>
      <c r="C12" s="14">
        <v>4.4405659257765302E-2</v>
      </c>
      <c r="D12" s="14">
        <v>4.52980212849068E-2</v>
      </c>
      <c r="E12" s="14">
        <v>4.3424785204439001E-2</v>
      </c>
      <c r="F12" s="14"/>
      <c r="G12" s="14" t="s">
        <v>88</v>
      </c>
      <c r="H12" s="14">
        <v>4.2794523153719802E-2</v>
      </c>
      <c r="I12" s="14">
        <v>4.8238335693521102E-2</v>
      </c>
      <c r="J12" s="14">
        <v>4.1096223184657499E-2</v>
      </c>
      <c r="K12" s="14">
        <v>4.8903799548980699E-2</v>
      </c>
      <c r="L12" s="14">
        <v>0</v>
      </c>
      <c r="M12" s="14"/>
      <c r="N12" s="14">
        <v>3.8908733569007203E-2</v>
      </c>
      <c r="O12" s="14">
        <v>3.60268635865841E-2</v>
      </c>
      <c r="P12" s="14">
        <v>5.9938480003919901E-2</v>
      </c>
      <c r="Q12" s="14">
        <v>4.3911399905991098E-2</v>
      </c>
      <c r="R12" s="14"/>
      <c r="S12" s="14">
        <v>2.41350731311861E-2</v>
      </c>
      <c r="T12" s="14">
        <v>7.6764393334189399E-2</v>
      </c>
      <c r="U12" s="14">
        <v>3.1118524066628399E-2</v>
      </c>
      <c r="V12" s="14">
        <v>0.10535685951852899</v>
      </c>
      <c r="W12" s="14">
        <v>0</v>
      </c>
      <c r="X12" s="14">
        <v>1.86153953565023E-2</v>
      </c>
      <c r="Y12" s="14">
        <v>2.3395289849413001E-2</v>
      </c>
      <c r="Z12" s="14">
        <v>0</v>
      </c>
      <c r="AA12" s="14">
        <v>8.1177246478171997E-2</v>
      </c>
      <c r="AB12" s="14"/>
      <c r="AC12" s="14">
        <v>0</v>
      </c>
      <c r="AD12" s="14">
        <v>6.6220447930203694E-2</v>
      </c>
      <c r="AE12" s="14">
        <v>5.0244544796033498E-2</v>
      </c>
      <c r="AF12" s="14">
        <v>3.6336480149587499E-2</v>
      </c>
      <c r="AG12" s="14">
        <v>0</v>
      </c>
      <c r="AH12" s="14"/>
      <c r="AI12" s="14">
        <v>4.7103478846637299E-2</v>
      </c>
      <c r="AJ12" s="14">
        <v>4.0617133138920701E-2</v>
      </c>
      <c r="AK12" s="14">
        <v>6.7155714756316598E-2</v>
      </c>
      <c r="AL12" s="14">
        <v>4.4608075659764199E-2</v>
      </c>
      <c r="AM12" s="14">
        <v>9.14869278504153E-3</v>
      </c>
      <c r="AN12" s="14">
        <v>4.7960132472098002E-2</v>
      </c>
      <c r="AO12" s="14"/>
      <c r="AP12" s="14">
        <v>4.3633700348158298E-2</v>
      </c>
      <c r="AQ12" s="14">
        <v>4.5367360883993901E-2</v>
      </c>
      <c r="AR12" s="14"/>
      <c r="AS12" s="14" t="s">
        <v>88</v>
      </c>
      <c r="AT12" s="14" t="s">
        <v>88</v>
      </c>
      <c r="AU12" s="14">
        <v>4.4405659257765302E-2</v>
      </c>
      <c r="AV12" s="14"/>
      <c r="AW12" s="14">
        <v>4.6099068130510401E-2</v>
      </c>
      <c r="AX12" s="14">
        <v>2.0688197604276499E-2</v>
      </c>
      <c r="AY12" s="14"/>
      <c r="AZ12" s="14">
        <v>4.8139002032570898E-2</v>
      </c>
      <c r="BA12" s="14">
        <v>2.33685510622029E-2</v>
      </c>
    </row>
    <row r="13" spans="2:53" x14ac:dyDescent="0.35">
      <c r="B13" s="15" t="s">
        <v>116</v>
      </c>
      <c r="C13" s="23">
        <v>4.0836596484093803E-2</v>
      </c>
      <c r="D13" s="23">
        <v>2.3090963473118401E-2</v>
      </c>
      <c r="E13" s="23">
        <v>6.0342391722910699E-2</v>
      </c>
      <c r="F13" s="23"/>
      <c r="G13" s="23" t="s">
        <v>88</v>
      </c>
      <c r="H13" s="23">
        <v>1.9084779125317398E-2</v>
      </c>
      <c r="I13" s="23">
        <v>3.4101522049689699E-2</v>
      </c>
      <c r="J13" s="23">
        <v>6.2721851450741897E-2</v>
      </c>
      <c r="K13" s="23">
        <v>6.3575278466212904E-3</v>
      </c>
      <c r="L13" s="23">
        <v>4.8327608748138601E-2</v>
      </c>
      <c r="M13" s="23"/>
      <c r="N13" s="23">
        <v>5.3731970675814103E-2</v>
      </c>
      <c r="O13" s="23">
        <v>4.0145668226028802E-2</v>
      </c>
      <c r="P13" s="23">
        <v>3.2510667265190002E-2</v>
      </c>
      <c r="Q13" s="23">
        <v>3.1052040007739298E-2</v>
      </c>
      <c r="R13" s="23"/>
      <c r="S13" s="23">
        <v>3.3934440286128E-2</v>
      </c>
      <c r="T13" s="23">
        <v>2.3984763127664201E-2</v>
      </c>
      <c r="U13" s="23">
        <v>7.1695894812434005E-2</v>
      </c>
      <c r="V13" s="23">
        <v>7.1225659221571105E-2</v>
      </c>
      <c r="W13" s="23">
        <v>2.2645323577669699E-2</v>
      </c>
      <c r="X13" s="23">
        <v>3.7953050332487699E-2</v>
      </c>
      <c r="Y13" s="23">
        <v>5.7276693940010497E-2</v>
      </c>
      <c r="Z13" s="23">
        <v>8.5286214678772204E-2</v>
      </c>
      <c r="AA13" s="23">
        <v>0</v>
      </c>
      <c r="AB13" s="23"/>
      <c r="AC13" s="23">
        <v>4.8351031229954503E-2</v>
      </c>
      <c r="AD13" s="23">
        <v>2.3552509706381002E-2</v>
      </c>
      <c r="AE13" s="23">
        <v>5.9857856226297697E-2</v>
      </c>
      <c r="AF13" s="23">
        <v>1.7965905935126598E-2</v>
      </c>
      <c r="AG13" s="23">
        <v>1.7425271353379099E-2</v>
      </c>
      <c r="AH13" s="23"/>
      <c r="AI13" s="23">
        <v>3.8954852151953101E-2</v>
      </c>
      <c r="AJ13" s="23">
        <v>7.2011229087610698E-3</v>
      </c>
      <c r="AK13" s="23">
        <v>0.101460556686622</v>
      </c>
      <c r="AL13" s="23">
        <v>3.8242483431038303E-2</v>
      </c>
      <c r="AM13" s="23">
        <v>4.8456275037603302E-2</v>
      </c>
      <c r="AN13" s="23">
        <v>9.0080503477250801E-2</v>
      </c>
      <c r="AO13" s="23"/>
      <c r="AP13" s="23">
        <v>4.0292936378701801E-2</v>
      </c>
      <c r="AQ13" s="23">
        <v>4.1513884874659998E-2</v>
      </c>
      <c r="AR13" s="23"/>
      <c r="AS13" s="23" t="s">
        <v>88</v>
      </c>
      <c r="AT13" s="23" t="s">
        <v>88</v>
      </c>
      <c r="AU13" s="23">
        <v>4.0836596484093803E-2</v>
      </c>
      <c r="AV13" s="23"/>
      <c r="AW13" s="23">
        <v>3.7169040866807897E-2</v>
      </c>
      <c r="AX13" s="23">
        <v>1.7487976301827302E-2</v>
      </c>
      <c r="AY13" s="23"/>
      <c r="AZ13" s="23">
        <v>3.2890110926888698E-2</v>
      </c>
      <c r="BA13" s="23">
        <v>8.7509164672456299E-2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B2:BA19"/>
  <sheetViews>
    <sheetView showGridLines="0" workbookViewId="0">
      <pane xSplit="2" topLeftCell="C1" activePane="topRight" state="frozen"/>
      <selection pane="topRight" activeCell="AN12" sqref="AN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550</v>
      </c>
      <c r="D7" s="10">
        <v>237</v>
      </c>
      <c r="E7" s="10">
        <v>313</v>
      </c>
      <c r="F7" s="10"/>
      <c r="G7" s="10" t="s">
        <v>87</v>
      </c>
      <c r="H7" s="10">
        <v>59</v>
      </c>
      <c r="I7" s="10">
        <v>242</v>
      </c>
      <c r="J7" s="10">
        <v>192</v>
      </c>
      <c r="K7" s="10">
        <v>48</v>
      </c>
      <c r="L7" s="10">
        <v>9</v>
      </c>
      <c r="M7" s="10"/>
      <c r="N7" s="10">
        <v>288</v>
      </c>
      <c r="O7" s="10">
        <v>108</v>
      </c>
      <c r="P7" s="10">
        <v>83</v>
      </c>
      <c r="Q7" s="10">
        <v>70</v>
      </c>
      <c r="R7" s="10"/>
      <c r="S7" s="10">
        <v>118</v>
      </c>
      <c r="T7" s="10">
        <v>80</v>
      </c>
      <c r="U7" s="10">
        <v>44</v>
      </c>
      <c r="V7" s="10">
        <v>45</v>
      </c>
      <c r="W7" s="10">
        <v>38</v>
      </c>
      <c r="X7" s="10">
        <v>66</v>
      </c>
      <c r="Y7" s="10">
        <v>56</v>
      </c>
      <c r="Z7" s="10">
        <v>34</v>
      </c>
      <c r="AA7" s="10">
        <v>69</v>
      </c>
      <c r="AB7" s="10"/>
      <c r="AC7" s="10">
        <v>70</v>
      </c>
      <c r="AD7" s="10">
        <v>98</v>
      </c>
      <c r="AE7" s="10">
        <v>161</v>
      </c>
      <c r="AF7" s="10">
        <v>137</v>
      </c>
      <c r="AG7" s="10">
        <v>36</v>
      </c>
      <c r="AH7" s="10"/>
      <c r="AI7" s="10">
        <v>220</v>
      </c>
      <c r="AJ7" s="10">
        <v>106</v>
      </c>
      <c r="AK7" s="10">
        <v>58</v>
      </c>
      <c r="AL7" s="10">
        <v>73</v>
      </c>
      <c r="AM7" s="10">
        <v>36</v>
      </c>
      <c r="AN7" s="10">
        <v>24</v>
      </c>
      <c r="AO7" s="10"/>
      <c r="AP7" s="10">
        <v>313</v>
      </c>
      <c r="AQ7" s="10">
        <v>237</v>
      </c>
      <c r="AR7" s="10"/>
      <c r="AS7" s="10" t="s">
        <v>87</v>
      </c>
      <c r="AT7" s="10" t="s">
        <v>87</v>
      </c>
      <c r="AU7" s="10">
        <v>550</v>
      </c>
      <c r="AV7" s="10"/>
      <c r="AW7" s="10">
        <v>382</v>
      </c>
      <c r="AX7" s="10">
        <v>132</v>
      </c>
      <c r="AY7" s="10"/>
      <c r="AZ7" s="10">
        <v>471</v>
      </c>
      <c r="BA7" s="10">
        <v>78</v>
      </c>
    </row>
    <row r="8" spans="2:53" ht="30" customHeight="1" x14ac:dyDescent="0.35">
      <c r="B8" s="11" t="s">
        <v>19</v>
      </c>
      <c r="C8" s="11">
        <v>515</v>
      </c>
      <c r="D8" s="11">
        <v>270</v>
      </c>
      <c r="E8" s="11">
        <v>245</v>
      </c>
      <c r="F8" s="11"/>
      <c r="G8" s="11" t="s">
        <v>87</v>
      </c>
      <c r="H8" s="11">
        <v>50</v>
      </c>
      <c r="I8" s="11">
        <v>226</v>
      </c>
      <c r="J8" s="11">
        <v>187</v>
      </c>
      <c r="K8" s="11">
        <v>45</v>
      </c>
      <c r="L8" s="11">
        <v>8</v>
      </c>
      <c r="M8" s="11"/>
      <c r="N8" s="11">
        <v>169</v>
      </c>
      <c r="O8" s="11">
        <v>115</v>
      </c>
      <c r="P8" s="11">
        <v>127</v>
      </c>
      <c r="Q8" s="11">
        <v>103</v>
      </c>
      <c r="R8" s="11"/>
      <c r="S8" s="11">
        <v>92</v>
      </c>
      <c r="T8" s="11">
        <v>82</v>
      </c>
      <c r="U8" s="11">
        <v>50</v>
      </c>
      <c r="V8" s="11">
        <v>55</v>
      </c>
      <c r="W8" s="11">
        <v>44</v>
      </c>
      <c r="X8" s="11">
        <v>53</v>
      </c>
      <c r="Y8" s="11">
        <v>46</v>
      </c>
      <c r="Z8" s="11">
        <v>33</v>
      </c>
      <c r="AA8" s="11">
        <v>61</v>
      </c>
      <c r="AB8" s="11"/>
      <c r="AC8" s="11">
        <v>81</v>
      </c>
      <c r="AD8" s="11">
        <v>111</v>
      </c>
      <c r="AE8" s="11">
        <v>150</v>
      </c>
      <c r="AF8" s="11">
        <v>101</v>
      </c>
      <c r="AG8" s="11">
        <v>19</v>
      </c>
      <c r="AH8" s="11"/>
      <c r="AI8" s="11">
        <v>197</v>
      </c>
      <c r="AJ8" s="11">
        <v>102</v>
      </c>
      <c r="AK8" s="11">
        <v>50</v>
      </c>
      <c r="AL8" s="11">
        <v>74</v>
      </c>
      <c r="AM8" s="11">
        <v>33</v>
      </c>
      <c r="AN8" s="11">
        <v>25</v>
      </c>
      <c r="AO8" s="11"/>
      <c r="AP8" s="11">
        <v>286</v>
      </c>
      <c r="AQ8" s="11">
        <v>229</v>
      </c>
      <c r="AR8" s="11"/>
      <c r="AS8" s="11" t="s">
        <v>87</v>
      </c>
      <c r="AT8" s="11" t="s">
        <v>87</v>
      </c>
      <c r="AU8" s="11">
        <v>515</v>
      </c>
      <c r="AV8" s="11"/>
      <c r="AW8" s="11">
        <v>374</v>
      </c>
      <c r="AX8" s="11">
        <v>101</v>
      </c>
      <c r="AY8" s="11"/>
      <c r="AZ8" s="11">
        <v>439</v>
      </c>
      <c r="BA8" s="11">
        <v>76</v>
      </c>
    </row>
    <row r="9" spans="2:53" x14ac:dyDescent="0.35">
      <c r="B9" s="15" t="s">
        <v>220</v>
      </c>
      <c r="C9" s="14">
        <v>0.22250589884789099</v>
      </c>
      <c r="D9" s="14">
        <v>0.24789458101859099</v>
      </c>
      <c r="E9" s="14">
        <v>0.19459895207970401</v>
      </c>
      <c r="F9" s="14"/>
      <c r="G9" s="14" t="s">
        <v>88</v>
      </c>
      <c r="H9" s="14">
        <v>0.20548092898415801</v>
      </c>
      <c r="I9" s="14">
        <v>0.21743154206627299</v>
      </c>
      <c r="J9" s="14">
        <v>0.222497102378448</v>
      </c>
      <c r="K9" s="14">
        <v>0.26210877756698903</v>
      </c>
      <c r="L9" s="14">
        <v>0.24930978308374199</v>
      </c>
      <c r="M9" s="14"/>
      <c r="N9" s="14">
        <v>0.22183960598128699</v>
      </c>
      <c r="O9" s="14">
        <v>0.163588817888208</v>
      </c>
      <c r="P9" s="14">
        <v>0.26111684776606497</v>
      </c>
      <c r="Q9" s="14">
        <v>0.243320992543405</v>
      </c>
      <c r="R9" s="14"/>
      <c r="S9" s="14">
        <v>0.33416505659268297</v>
      </c>
      <c r="T9" s="14">
        <v>0.238281576345756</v>
      </c>
      <c r="U9" s="14">
        <v>5.4538552105669699E-2</v>
      </c>
      <c r="V9" s="14">
        <v>0.23744436350542</v>
      </c>
      <c r="W9" s="14">
        <v>0.14643767700079</v>
      </c>
      <c r="X9" s="14">
        <v>0.282017486264656</v>
      </c>
      <c r="Y9" s="14">
        <v>0.12943078422781501</v>
      </c>
      <c r="Z9" s="14">
        <v>0.20323705160633501</v>
      </c>
      <c r="AA9" s="14">
        <v>0.241194720396325</v>
      </c>
      <c r="AB9" s="14"/>
      <c r="AC9" s="14">
        <v>0.24411830395891199</v>
      </c>
      <c r="AD9" s="14">
        <v>0.180544181624407</v>
      </c>
      <c r="AE9" s="14">
        <v>0.17497456494122601</v>
      </c>
      <c r="AF9" s="14">
        <v>0.26530889362337701</v>
      </c>
      <c r="AG9" s="14">
        <v>0.412458904440481</v>
      </c>
      <c r="AH9" s="14"/>
      <c r="AI9" s="14">
        <v>0.26086629563098701</v>
      </c>
      <c r="AJ9" s="14">
        <v>0.20603525737381201</v>
      </c>
      <c r="AK9" s="14">
        <v>0.18666523395779999</v>
      </c>
      <c r="AL9" s="14">
        <v>0.17226957897760301</v>
      </c>
      <c r="AM9" s="14">
        <v>0.24029380036773301</v>
      </c>
      <c r="AN9" s="14">
        <v>0.26684215113848497</v>
      </c>
      <c r="AO9" s="14"/>
      <c r="AP9" s="14">
        <v>0.28271700535611299</v>
      </c>
      <c r="AQ9" s="14">
        <v>0.147495275451553</v>
      </c>
      <c r="AR9" s="14"/>
      <c r="AS9" s="14" t="s">
        <v>88</v>
      </c>
      <c r="AT9" s="14" t="s">
        <v>88</v>
      </c>
      <c r="AU9" s="14">
        <v>0.22250589884789099</v>
      </c>
      <c r="AV9" s="14"/>
      <c r="AW9" s="14">
        <v>0.21362930768260399</v>
      </c>
      <c r="AX9" s="14">
        <v>0.30991175585933101</v>
      </c>
      <c r="AY9" s="14"/>
      <c r="AZ9" s="14">
        <v>0.244033701299848</v>
      </c>
      <c r="BA9" s="14">
        <v>0.10072865542432299</v>
      </c>
    </row>
    <row r="10" spans="2:53" x14ac:dyDescent="0.35">
      <c r="B10" s="15" t="s">
        <v>221</v>
      </c>
      <c r="C10" s="14">
        <v>0.46648055999661497</v>
      </c>
      <c r="D10" s="14">
        <v>0.484176826191621</v>
      </c>
      <c r="E10" s="14">
        <v>0.44702902819282497</v>
      </c>
      <c r="F10" s="14"/>
      <c r="G10" s="14" t="s">
        <v>88</v>
      </c>
      <c r="H10" s="14">
        <v>0.50446319835278597</v>
      </c>
      <c r="I10" s="14">
        <v>0.47321190919295197</v>
      </c>
      <c r="J10" s="14">
        <v>0.46211517390977203</v>
      </c>
      <c r="K10" s="14">
        <v>0.38367983206558998</v>
      </c>
      <c r="L10" s="14">
        <v>0.59968608996422101</v>
      </c>
      <c r="M10" s="14"/>
      <c r="N10" s="14">
        <v>0.48853357541327902</v>
      </c>
      <c r="O10" s="14">
        <v>0.50453712302210796</v>
      </c>
      <c r="P10" s="14">
        <v>0.45346759003752402</v>
      </c>
      <c r="Q10" s="14">
        <v>0.40752107985923902</v>
      </c>
      <c r="R10" s="14"/>
      <c r="S10" s="14">
        <v>0.41482331424304397</v>
      </c>
      <c r="T10" s="14">
        <v>0.36208659624229</v>
      </c>
      <c r="U10" s="14">
        <v>0.489800243503143</v>
      </c>
      <c r="V10" s="14">
        <v>0.43894331888452998</v>
      </c>
      <c r="W10" s="14">
        <v>0.53117106393855895</v>
      </c>
      <c r="X10" s="14">
        <v>0.52807972902448896</v>
      </c>
      <c r="Y10" s="14">
        <v>0.55600097637124402</v>
      </c>
      <c r="Z10" s="14">
        <v>0.58439889032050496</v>
      </c>
      <c r="AA10" s="14">
        <v>0.45919285197827497</v>
      </c>
      <c r="AB10" s="14"/>
      <c r="AC10" s="14">
        <v>0.47856814339665998</v>
      </c>
      <c r="AD10" s="14">
        <v>0.47459641189558099</v>
      </c>
      <c r="AE10" s="14">
        <v>0.50801252956582299</v>
      </c>
      <c r="AF10" s="14">
        <v>0.49312136517164701</v>
      </c>
      <c r="AG10" s="14">
        <v>0.38792574371694399</v>
      </c>
      <c r="AH10" s="14"/>
      <c r="AI10" s="14">
        <v>0.46984340187629797</v>
      </c>
      <c r="AJ10" s="14">
        <v>0.51471569636673598</v>
      </c>
      <c r="AK10" s="14">
        <v>0.49675314938466297</v>
      </c>
      <c r="AL10" s="14">
        <v>0.454091972673769</v>
      </c>
      <c r="AM10" s="14">
        <v>0.29714408169802797</v>
      </c>
      <c r="AN10" s="14">
        <v>0.48077003633467003</v>
      </c>
      <c r="AO10" s="14"/>
      <c r="AP10" s="14">
        <v>0.43880595699578201</v>
      </c>
      <c r="AQ10" s="14">
        <v>0.50095740893236995</v>
      </c>
      <c r="AR10" s="14"/>
      <c r="AS10" s="14" t="s">
        <v>88</v>
      </c>
      <c r="AT10" s="14" t="s">
        <v>88</v>
      </c>
      <c r="AU10" s="14">
        <v>0.46648055999661497</v>
      </c>
      <c r="AV10" s="14"/>
      <c r="AW10" s="14">
        <v>0.47393275760977299</v>
      </c>
      <c r="AX10" s="14">
        <v>0.458365713104396</v>
      </c>
      <c r="AY10" s="14"/>
      <c r="AZ10" s="14">
        <v>0.47578106954080301</v>
      </c>
      <c r="BA10" s="14">
        <v>0.40505608550047001</v>
      </c>
    </row>
    <row r="11" spans="2:53" x14ac:dyDescent="0.35">
      <c r="B11" s="15" t="s">
        <v>222</v>
      </c>
      <c r="C11" s="14">
        <v>0.21146424082279799</v>
      </c>
      <c r="D11" s="14">
        <v>0.161204529002174</v>
      </c>
      <c r="E11" s="14">
        <v>0.26670913667569401</v>
      </c>
      <c r="F11" s="14"/>
      <c r="G11" s="14" t="s">
        <v>88</v>
      </c>
      <c r="H11" s="14">
        <v>0.223785306976688</v>
      </c>
      <c r="I11" s="14">
        <v>0.21266126865752999</v>
      </c>
      <c r="J11" s="14">
        <v>0.211223543189587</v>
      </c>
      <c r="K11" s="14">
        <v>0.22308854710933601</v>
      </c>
      <c r="L11" s="14">
        <v>4.8327608748138601E-2</v>
      </c>
      <c r="M11" s="14"/>
      <c r="N11" s="14">
        <v>0.19283675838870701</v>
      </c>
      <c r="O11" s="14">
        <v>0.214849185451609</v>
      </c>
      <c r="P11" s="14">
        <v>0.185246744599456</v>
      </c>
      <c r="Q11" s="14">
        <v>0.26457540616604902</v>
      </c>
      <c r="R11" s="14"/>
      <c r="S11" s="14">
        <v>0.17745714594838499</v>
      </c>
      <c r="T11" s="14">
        <v>0.27847354919668199</v>
      </c>
      <c r="U11" s="14">
        <v>0.254613452903028</v>
      </c>
      <c r="V11" s="14">
        <v>0.27836990500672998</v>
      </c>
      <c r="W11" s="14">
        <v>0.160639534593952</v>
      </c>
      <c r="X11" s="14">
        <v>0.145375021468615</v>
      </c>
      <c r="Y11" s="14">
        <v>0.19806015008374001</v>
      </c>
      <c r="Z11" s="14">
        <v>0.112617711040312</v>
      </c>
      <c r="AA11" s="14">
        <v>0.23388247356479999</v>
      </c>
      <c r="AB11" s="14"/>
      <c r="AC11" s="14">
        <v>0.20581959883801099</v>
      </c>
      <c r="AD11" s="14">
        <v>0.26377303772482302</v>
      </c>
      <c r="AE11" s="14">
        <v>0.185212755440812</v>
      </c>
      <c r="AF11" s="14">
        <v>0.169159990581943</v>
      </c>
      <c r="AG11" s="14">
        <v>0.15579014527316401</v>
      </c>
      <c r="AH11" s="14"/>
      <c r="AI11" s="14">
        <v>0.18412999153516399</v>
      </c>
      <c r="AJ11" s="14">
        <v>0.20440198455282399</v>
      </c>
      <c r="AK11" s="14">
        <v>0.19984422307157201</v>
      </c>
      <c r="AL11" s="14">
        <v>0.221168861375235</v>
      </c>
      <c r="AM11" s="14">
        <v>0.34966398428274398</v>
      </c>
      <c r="AN11" s="14">
        <v>0.15608443787148499</v>
      </c>
      <c r="AO11" s="14"/>
      <c r="AP11" s="14">
        <v>0.18859473364792601</v>
      </c>
      <c r="AQ11" s="14">
        <v>0.23995493115282801</v>
      </c>
      <c r="AR11" s="14"/>
      <c r="AS11" s="14" t="s">
        <v>88</v>
      </c>
      <c r="AT11" s="14" t="s">
        <v>88</v>
      </c>
      <c r="AU11" s="14">
        <v>0.21146424082279799</v>
      </c>
      <c r="AV11" s="14"/>
      <c r="AW11" s="14">
        <v>0.213676205824196</v>
      </c>
      <c r="AX11" s="14">
        <v>0.14044254376982501</v>
      </c>
      <c r="AY11" s="14"/>
      <c r="AZ11" s="14">
        <v>0.19872847969621199</v>
      </c>
      <c r="BA11" s="14">
        <v>0.28830989545399999</v>
      </c>
    </row>
    <row r="12" spans="2:53" x14ac:dyDescent="0.35">
      <c r="B12" s="15" t="s">
        <v>223</v>
      </c>
      <c r="C12" s="14">
        <v>1.11081601375478E-2</v>
      </c>
      <c r="D12" s="14">
        <v>5.3528417864399797E-3</v>
      </c>
      <c r="E12" s="14">
        <v>1.74343397233357E-2</v>
      </c>
      <c r="F12" s="14"/>
      <c r="G12" s="14" t="s">
        <v>88</v>
      </c>
      <c r="H12" s="14">
        <v>0</v>
      </c>
      <c r="I12" s="14">
        <v>1.2408188028888999E-2</v>
      </c>
      <c r="J12" s="14">
        <v>1.5652602842382402E-2</v>
      </c>
      <c r="K12" s="14">
        <v>0</v>
      </c>
      <c r="L12" s="14">
        <v>0</v>
      </c>
      <c r="M12" s="14"/>
      <c r="N12" s="14">
        <v>3.6106872712434999E-3</v>
      </c>
      <c r="O12" s="14">
        <v>3.5873339414996E-2</v>
      </c>
      <c r="P12" s="14">
        <v>7.7650365209389199E-3</v>
      </c>
      <c r="Q12" s="14">
        <v>0</v>
      </c>
      <c r="R12" s="14"/>
      <c r="S12" s="14">
        <v>1.89015985662476E-2</v>
      </c>
      <c r="T12" s="14">
        <v>1.76475594711283E-2</v>
      </c>
      <c r="U12" s="14">
        <v>0</v>
      </c>
      <c r="V12" s="14">
        <v>1.7107174877772899E-2</v>
      </c>
      <c r="W12" s="14">
        <v>0</v>
      </c>
      <c r="X12" s="14">
        <v>1.86153953565023E-2</v>
      </c>
      <c r="Y12" s="14">
        <v>0</v>
      </c>
      <c r="Z12" s="14">
        <v>0</v>
      </c>
      <c r="AA12" s="14">
        <v>1.0055811176972801E-2</v>
      </c>
      <c r="AB12" s="14"/>
      <c r="AC12" s="14">
        <v>0</v>
      </c>
      <c r="AD12" s="14">
        <v>1.30487060549449E-2</v>
      </c>
      <c r="AE12" s="14">
        <v>1.6399684171452E-2</v>
      </c>
      <c r="AF12" s="14">
        <v>8.5902475937316303E-3</v>
      </c>
      <c r="AG12" s="14">
        <v>0</v>
      </c>
      <c r="AH12" s="14"/>
      <c r="AI12" s="14">
        <v>1.2541327737956701E-2</v>
      </c>
      <c r="AJ12" s="14">
        <v>0</v>
      </c>
      <c r="AK12" s="14">
        <v>1.7307288895025402E-2</v>
      </c>
      <c r="AL12" s="14">
        <v>1.9509402203756101E-2</v>
      </c>
      <c r="AM12" s="14">
        <v>0</v>
      </c>
      <c r="AN12" s="14">
        <v>3.8086649592394002E-2</v>
      </c>
      <c r="AO12" s="14"/>
      <c r="AP12" s="14">
        <v>1.13994774883117E-2</v>
      </c>
      <c r="AQ12" s="14">
        <v>1.07452387870827E-2</v>
      </c>
      <c r="AR12" s="14"/>
      <c r="AS12" s="14" t="s">
        <v>88</v>
      </c>
      <c r="AT12" s="14" t="s">
        <v>88</v>
      </c>
      <c r="AU12" s="14">
        <v>1.11081601375478E-2</v>
      </c>
      <c r="AV12" s="14"/>
      <c r="AW12" s="14">
        <v>1.5312769328432001E-2</v>
      </c>
      <c r="AX12" s="14">
        <v>0</v>
      </c>
      <c r="AY12" s="14"/>
      <c r="AZ12" s="14">
        <v>1.16575575703575E-2</v>
      </c>
      <c r="BA12" s="14">
        <v>8.0763661581183099E-3</v>
      </c>
    </row>
    <row r="13" spans="2:53" x14ac:dyDescent="0.35">
      <c r="B13" s="15" t="s">
        <v>116</v>
      </c>
      <c r="C13" s="18">
        <v>1.1930537805558101E-2</v>
      </c>
      <c r="D13" s="18">
        <v>6.5196226569298604E-3</v>
      </c>
      <c r="E13" s="18">
        <v>1.78781533613671E-2</v>
      </c>
      <c r="F13" s="18"/>
      <c r="G13" s="18" t="s">
        <v>88</v>
      </c>
      <c r="H13" s="18">
        <v>4.3679664095927703E-3</v>
      </c>
      <c r="I13" s="18">
        <v>8.6524001569624406E-3</v>
      </c>
      <c r="J13" s="18">
        <v>2.1308598561315301E-2</v>
      </c>
      <c r="K13" s="18">
        <v>0</v>
      </c>
      <c r="L13" s="18">
        <v>0</v>
      </c>
      <c r="M13" s="18"/>
      <c r="N13" s="18">
        <v>7.6229352040318504E-3</v>
      </c>
      <c r="O13" s="18">
        <v>1.7030102463245701E-2</v>
      </c>
      <c r="P13" s="18">
        <v>1.38049354723113E-2</v>
      </c>
      <c r="Q13" s="18">
        <v>1.1085576970131E-2</v>
      </c>
      <c r="R13" s="18"/>
      <c r="S13" s="18">
        <v>0</v>
      </c>
      <c r="T13" s="18">
        <v>1.0789296073309199E-2</v>
      </c>
      <c r="U13" s="18">
        <v>2.14331638212743E-2</v>
      </c>
      <c r="V13" s="18">
        <v>3.9153487047704303E-3</v>
      </c>
      <c r="W13" s="18">
        <v>0</v>
      </c>
      <c r="X13" s="18">
        <v>9.8314759143773595E-3</v>
      </c>
      <c r="Y13" s="18">
        <v>3.7085435418170803E-2</v>
      </c>
      <c r="Z13" s="18">
        <v>5.3521637127850401E-2</v>
      </c>
      <c r="AA13" s="18">
        <v>0</v>
      </c>
      <c r="AB13" s="18"/>
      <c r="AC13" s="18">
        <v>1.09379828427951E-2</v>
      </c>
      <c r="AD13" s="18">
        <v>1.5036223998659301E-2</v>
      </c>
      <c r="AE13" s="18">
        <v>1.1701256114621399E-2</v>
      </c>
      <c r="AF13" s="18">
        <v>2.15564626968904E-3</v>
      </c>
      <c r="AG13" s="18">
        <v>0</v>
      </c>
      <c r="AH13" s="18"/>
      <c r="AI13" s="18">
        <v>1.3932651081413601E-2</v>
      </c>
      <c r="AJ13" s="18">
        <v>2.12975437618568E-3</v>
      </c>
      <c r="AK13" s="18">
        <v>0</v>
      </c>
      <c r="AL13" s="18">
        <v>3.1183573719444298E-2</v>
      </c>
      <c r="AM13" s="18">
        <v>0</v>
      </c>
      <c r="AN13" s="18">
        <v>0</v>
      </c>
      <c r="AO13" s="18"/>
      <c r="AP13" s="18">
        <v>4.5100286960506001E-3</v>
      </c>
      <c r="AQ13" s="18">
        <v>2.1174962073800901E-2</v>
      </c>
      <c r="AR13" s="18"/>
      <c r="AS13" s="18" t="s">
        <v>88</v>
      </c>
      <c r="AT13" s="18" t="s">
        <v>88</v>
      </c>
      <c r="AU13" s="18">
        <v>1.1930537805558101E-2</v>
      </c>
      <c r="AV13" s="18"/>
      <c r="AW13" s="18">
        <v>1.2811165326709799E-2</v>
      </c>
      <c r="AX13" s="18">
        <v>2.15655981430118E-3</v>
      </c>
      <c r="AY13" s="18"/>
      <c r="AZ13" s="18">
        <v>9.5525496589985194E-3</v>
      </c>
      <c r="BA13" s="18">
        <v>2.58932605818878E-2</v>
      </c>
    </row>
    <row r="14" spans="2:53" x14ac:dyDescent="0.35">
      <c r="B14" s="26" t="s">
        <v>224</v>
      </c>
      <c r="C14" s="27">
        <v>0.68898645884450604</v>
      </c>
      <c r="D14" s="27">
        <v>0.73207140721021202</v>
      </c>
      <c r="E14" s="27">
        <v>0.64162798027252899</v>
      </c>
      <c r="F14" s="27"/>
      <c r="G14" s="27" t="s">
        <v>88</v>
      </c>
      <c r="H14" s="27">
        <v>0.70994412733694401</v>
      </c>
      <c r="I14" s="27">
        <v>0.69064345125922499</v>
      </c>
      <c r="J14" s="27">
        <v>0.68461227628821997</v>
      </c>
      <c r="K14" s="27">
        <v>0.645788609632578</v>
      </c>
      <c r="L14" s="27">
        <v>0.84899587304796298</v>
      </c>
      <c r="M14" s="27"/>
      <c r="N14" s="27">
        <v>0.71037318139456496</v>
      </c>
      <c r="O14" s="27">
        <v>0.66812594091031596</v>
      </c>
      <c r="P14" s="27">
        <v>0.71458443780358905</v>
      </c>
      <c r="Q14" s="27">
        <v>0.65084207240264402</v>
      </c>
      <c r="R14" s="27"/>
      <c r="S14" s="27">
        <v>0.748988370835726</v>
      </c>
      <c r="T14" s="27">
        <v>0.60036817258804498</v>
      </c>
      <c r="U14" s="27">
        <v>0.54433879560881304</v>
      </c>
      <c r="V14" s="27">
        <v>0.67638768238994995</v>
      </c>
      <c r="W14" s="27">
        <v>0.67760874093934798</v>
      </c>
      <c r="X14" s="27">
        <v>0.81009721528914502</v>
      </c>
      <c r="Y14" s="27">
        <v>0.68543176059905897</v>
      </c>
      <c r="Z14" s="27">
        <v>0.78763594192684006</v>
      </c>
      <c r="AA14" s="27">
        <v>0.70038757237460003</v>
      </c>
      <c r="AB14" s="27"/>
      <c r="AC14" s="27">
        <v>0.72268644735557197</v>
      </c>
      <c r="AD14" s="27">
        <v>0.65514059351998799</v>
      </c>
      <c r="AE14" s="27">
        <v>0.68298709450704997</v>
      </c>
      <c r="AF14" s="27">
        <v>0.75843025879502401</v>
      </c>
      <c r="AG14" s="27">
        <v>0.80038464815742605</v>
      </c>
      <c r="AH14" s="27"/>
      <c r="AI14" s="27">
        <v>0.73070969750728498</v>
      </c>
      <c r="AJ14" s="27">
        <v>0.72075095374054798</v>
      </c>
      <c r="AK14" s="27">
        <v>0.68341838334246297</v>
      </c>
      <c r="AL14" s="27">
        <v>0.62636155165137197</v>
      </c>
      <c r="AM14" s="27">
        <v>0.53743788206576104</v>
      </c>
      <c r="AN14" s="27">
        <v>0.74761218747315505</v>
      </c>
      <c r="AO14" s="27"/>
      <c r="AP14" s="27">
        <v>0.72152296235189595</v>
      </c>
      <c r="AQ14" s="27">
        <v>0.64845268438392301</v>
      </c>
      <c r="AR14" s="27"/>
      <c r="AS14" s="27" t="s">
        <v>88</v>
      </c>
      <c r="AT14" s="27" t="s">
        <v>88</v>
      </c>
      <c r="AU14" s="27">
        <v>0.68898645884450604</v>
      </c>
      <c r="AV14" s="27"/>
      <c r="AW14" s="27">
        <v>0.68756206529237696</v>
      </c>
      <c r="AX14" s="27">
        <v>0.76827746896372695</v>
      </c>
      <c r="AY14" s="27"/>
      <c r="AZ14" s="27">
        <v>0.71981477084065104</v>
      </c>
      <c r="BA14" s="27">
        <v>0.50578474092479297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550</v>
      </c>
      <c r="D7" s="10">
        <v>237</v>
      </c>
      <c r="E7" s="10">
        <v>313</v>
      </c>
      <c r="F7" s="10"/>
      <c r="G7" s="10" t="s">
        <v>87</v>
      </c>
      <c r="H7" s="10">
        <v>59</v>
      </c>
      <c r="I7" s="10">
        <v>242</v>
      </c>
      <c r="J7" s="10">
        <v>192</v>
      </c>
      <c r="K7" s="10">
        <v>48</v>
      </c>
      <c r="L7" s="10">
        <v>9</v>
      </c>
      <c r="M7" s="10"/>
      <c r="N7" s="10">
        <v>288</v>
      </c>
      <c r="O7" s="10">
        <v>108</v>
      </c>
      <c r="P7" s="10">
        <v>83</v>
      </c>
      <c r="Q7" s="10">
        <v>70</v>
      </c>
      <c r="R7" s="10"/>
      <c r="S7" s="10">
        <v>118</v>
      </c>
      <c r="T7" s="10">
        <v>80</v>
      </c>
      <c r="U7" s="10">
        <v>44</v>
      </c>
      <c r="V7" s="10">
        <v>45</v>
      </c>
      <c r="W7" s="10">
        <v>38</v>
      </c>
      <c r="X7" s="10">
        <v>66</v>
      </c>
      <c r="Y7" s="10">
        <v>56</v>
      </c>
      <c r="Z7" s="10">
        <v>34</v>
      </c>
      <c r="AA7" s="10">
        <v>69</v>
      </c>
      <c r="AB7" s="10"/>
      <c r="AC7" s="10">
        <v>70</v>
      </c>
      <c r="AD7" s="10">
        <v>98</v>
      </c>
      <c r="AE7" s="10">
        <v>161</v>
      </c>
      <c r="AF7" s="10">
        <v>137</v>
      </c>
      <c r="AG7" s="10">
        <v>36</v>
      </c>
      <c r="AH7" s="10"/>
      <c r="AI7" s="10">
        <v>220</v>
      </c>
      <c r="AJ7" s="10">
        <v>106</v>
      </c>
      <c r="AK7" s="10">
        <v>58</v>
      </c>
      <c r="AL7" s="10">
        <v>73</v>
      </c>
      <c r="AM7" s="10">
        <v>36</v>
      </c>
      <c r="AN7" s="10">
        <v>24</v>
      </c>
      <c r="AO7" s="10"/>
      <c r="AP7" s="10">
        <v>313</v>
      </c>
      <c r="AQ7" s="10">
        <v>237</v>
      </c>
      <c r="AR7" s="10"/>
      <c r="AS7" s="10" t="s">
        <v>87</v>
      </c>
      <c r="AT7" s="10" t="s">
        <v>87</v>
      </c>
      <c r="AU7" s="10">
        <v>550</v>
      </c>
      <c r="AV7" s="10"/>
      <c r="AW7" s="10">
        <v>382</v>
      </c>
      <c r="AX7" s="10">
        <v>132</v>
      </c>
      <c r="AY7" s="10"/>
      <c r="AZ7" s="10">
        <v>471</v>
      </c>
      <c r="BA7" s="10">
        <v>78</v>
      </c>
    </row>
    <row r="8" spans="2:53" ht="30" customHeight="1" x14ac:dyDescent="0.35">
      <c r="B8" s="11" t="s">
        <v>19</v>
      </c>
      <c r="C8" s="11">
        <v>515</v>
      </c>
      <c r="D8" s="11">
        <v>270</v>
      </c>
      <c r="E8" s="11">
        <v>245</v>
      </c>
      <c r="F8" s="11"/>
      <c r="G8" s="11" t="s">
        <v>87</v>
      </c>
      <c r="H8" s="11">
        <v>50</v>
      </c>
      <c r="I8" s="11">
        <v>226</v>
      </c>
      <c r="J8" s="11">
        <v>187</v>
      </c>
      <c r="K8" s="11">
        <v>45</v>
      </c>
      <c r="L8" s="11">
        <v>8</v>
      </c>
      <c r="M8" s="11"/>
      <c r="N8" s="11">
        <v>169</v>
      </c>
      <c r="O8" s="11">
        <v>115</v>
      </c>
      <c r="P8" s="11">
        <v>127</v>
      </c>
      <c r="Q8" s="11">
        <v>103</v>
      </c>
      <c r="R8" s="11"/>
      <c r="S8" s="11">
        <v>92</v>
      </c>
      <c r="T8" s="11">
        <v>82</v>
      </c>
      <c r="U8" s="11">
        <v>50</v>
      </c>
      <c r="V8" s="11">
        <v>55</v>
      </c>
      <c r="W8" s="11">
        <v>44</v>
      </c>
      <c r="X8" s="11">
        <v>53</v>
      </c>
      <c r="Y8" s="11">
        <v>46</v>
      </c>
      <c r="Z8" s="11">
        <v>33</v>
      </c>
      <c r="AA8" s="11">
        <v>61</v>
      </c>
      <c r="AB8" s="11"/>
      <c r="AC8" s="11">
        <v>81</v>
      </c>
      <c r="AD8" s="11">
        <v>111</v>
      </c>
      <c r="AE8" s="11">
        <v>150</v>
      </c>
      <c r="AF8" s="11">
        <v>101</v>
      </c>
      <c r="AG8" s="11">
        <v>19</v>
      </c>
      <c r="AH8" s="11"/>
      <c r="AI8" s="11">
        <v>197</v>
      </c>
      <c r="AJ8" s="11">
        <v>102</v>
      </c>
      <c r="AK8" s="11">
        <v>50</v>
      </c>
      <c r="AL8" s="11">
        <v>74</v>
      </c>
      <c r="AM8" s="11">
        <v>33</v>
      </c>
      <c r="AN8" s="11">
        <v>25</v>
      </c>
      <c r="AO8" s="11"/>
      <c r="AP8" s="11">
        <v>286</v>
      </c>
      <c r="AQ8" s="11">
        <v>229</v>
      </c>
      <c r="AR8" s="11"/>
      <c r="AS8" s="11" t="s">
        <v>87</v>
      </c>
      <c r="AT8" s="11" t="s">
        <v>87</v>
      </c>
      <c r="AU8" s="11">
        <v>515</v>
      </c>
      <c r="AV8" s="11"/>
      <c r="AW8" s="11">
        <v>374</v>
      </c>
      <c r="AX8" s="11">
        <v>101</v>
      </c>
      <c r="AY8" s="11"/>
      <c r="AZ8" s="11">
        <v>439</v>
      </c>
      <c r="BA8" s="11">
        <v>76</v>
      </c>
    </row>
    <row r="9" spans="2:53" x14ac:dyDescent="0.35">
      <c r="B9" s="15" t="s">
        <v>226</v>
      </c>
      <c r="C9" s="14">
        <v>0.19826282257015501</v>
      </c>
      <c r="D9" s="14">
        <v>0.22723918874452401</v>
      </c>
      <c r="E9" s="14">
        <v>0.16641233490298399</v>
      </c>
      <c r="F9" s="14"/>
      <c r="G9" s="14" t="s">
        <v>88</v>
      </c>
      <c r="H9" s="14">
        <v>0.19866040345390801</v>
      </c>
      <c r="I9" s="14">
        <v>0.187338955082094</v>
      </c>
      <c r="J9" s="14">
        <v>0.20735751148502701</v>
      </c>
      <c r="K9" s="14">
        <v>0.14165882459812201</v>
      </c>
      <c r="L9" s="14">
        <v>0.59270610549252001</v>
      </c>
      <c r="M9" s="14"/>
      <c r="N9" s="14">
        <v>0.24169150791272501</v>
      </c>
      <c r="O9" s="14">
        <v>0.158547740784101</v>
      </c>
      <c r="P9" s="14">
        <v>0.20242301294614901</v>
      </c>
      <c r="Q9" s="14">
        <v>0.16767491609958801</v>
      </c>
      <c r="R9" s="14"/>
      <c r="S9" s="14">
        <v>0.33130110749620501</v>
      </c>
      <c r="T9" s="14">
        <v>0.208867969493334</v>
      </c>
      <c r="U9" s="14">
        <v>0.100909108192466</v>
      </c>
      <c r="V9" s="14">
        <v>0.10628176279097901</v>
      </c>
      <c r="W9" s="14">
        <v>0.128438220815904</v>
      </c>
      <c r="X9" s="14">
        <v>0.26725841574714498</v>
      </c>
      <c r="Y9" s="14">
        <v>0.114344502063161</v>
      </c>
      <c r="Z9" s="14">
        <v>0.22932659668835101</v>
      </c>
      <c r="AA9" s="14">
        <v>0.18409216975247</v>
      </c>
      <c r="AB9" s="14"/>
      <c r="AC9" s="14">
        <v>0.17370900766979999</v>
      </c>
      <c r="AD9" s="14">
        <v>8.0643930625473398E-2</v>
      </c>
      <c r="AE9" s="14">
        <v>0.23322020388244399</v>
      </c>
      <c r="AF9" s="14">
        <v>0.24365326910354501</v>
      </c>
      <c r="AG9" s="14">
        <v>0.51126132035932303</v>
      </c>
      <c r="AH9" s="14"/>
      <c r="AI9" s="14">
        <v>0.24111090755105799</v>
      </c>
      <c r="AJ9" s="14">
        <v>0.18617321757649499</v>
      </c>
      <c r="AK9" s="14">
        <v>0.202590188187702</v>
      </c>
      <c r="AL9" s="14">
        <v>0.15523978247994499</v>
      </c>
      <c r="AM9" s="14">
        <v>0.110759876826929</v>
      </c>
      <c r="AN9" s="14">
        <v>0.261005671806393</v>
      </c>
      <c r="AO9" s="14"/>
      <c r="AP9" s="14">
        <v>0.24195823651996501</v>
      </c>
      <c r="AQ9" s="14">
        <v>0.14382734662538599</v>
      </c>
      <c r="AR9" s="14"/>
      <c r="AS9" s="14" t="s">
        <v>88</v>
      </c>
      <c r="AT9" s="14" t="s">
        <v>88</v>
      </c>
      <c r="AU9" s="14">
        <v>0.19826282257015501</v>
      </c>
      <c r="AV9" s="14"/>
      <c r="AW9" s="14">
        <v>0.17982039447355599</v>
      </c>
      <c r="AX9" s="14">
        <v>0.30758566577554203</v>
      </c>
      <c r="AY9" s="14"/>
      <c r="AZ9" s="14">
        <v>0.21632238551511301</v>
      </c>
      <c r="BA9" s="14">
        <v>9.6266949357211903E-2</v>
      </c>
    </row>
    <row r="10" spans="2:53" x14ac:dyDescent="0.35">
      <c r="B10" s="15" t="s">
        <v>227</v>
      </c>
      <c r="C10" s="14">
        <v>0.37687327616480898</v>
      </c>
      <c r="D10" s="14">
        <v>0.40070843902273201</v>
      </c>
      <c r="E10" s="14">
        <v>0.350673939916677</v>
      </c>
      <c r="F10" s="14"/>
      <c r="G10" s="14" t="s">
        <v>88</v>
      </c>
      <c r="H10" s="14">
        <v>0.36362395268917902</v>
      </c>
      <c r="I10" s="14">
        <v>0.408823101148234</v>
      </c>
      <c r="J10" s="14">
        <v>0.35053859383080999</v>
      </c>
      <c r="K10" s="14">
        <v>0.349531417247056</v>
      </c>
      <c r="L10" s="14">
        <v>0.32592290203524898</v>
      </c>
      <c r="M10" s="14"/>
      <c r="N10" s="14">
        <v>0.33637647767127998</v>
      </c>
      <c r="O10" s="14">
        <v>0.395810122036443</v>
      </c>
      <c r="P10" s="14">
        <v>0.40601248099496401</v>
      </c>
      <c r="Q10" s="14">
        <v>0.38911417690481998</v>
      </c>
      <c r="R10" s="14"/>
      <c r="S10" s="14">
        <v>0.36418566401535801</v>
      </c>
      <c r="T10" s="14">
        <v>0.32567313249658503</v>
      </c>
      <c r="U10" s="14">
        <v>0.29898540021991898</v>
      </c>
      <c r="V10" s="14">
        <v>0.40324843072253402</v>
      </c>
      <c r="W10" s="14">
        <v>0.42582366962701801</v>
      </c>
      <c r="X10" s="14">
        <v>0.391567048112134</v>
      </c>
      <c r="Y10" s="14">
        <v>0.51259086689495603</v>
      </c>
      <c r="Z10" s="14">
        <v>0.36978825942740001</v>
      </c>
      <c r="AA10" s="14">
        <v>0.35887292551177102</v>
      </c>
      <c r="AB10" s="14"/>
      <c r="AC10" s="14">
        <v>0.404157125921835</v>
      </c>
      <c r="AD10" s="14">
        <v>0.42346989538232399</v>
      </c>
      <c r="AE10" s="14">
        <v>0.360130295158613</v>
      </c>
      <c r="AF10" s="14">
        <v>0.423884235108129</v>
      </c>
      <c r="AG10" s="14">
        <v>0.26057065481137798</v>
      </c>
      <c r="AH10" s="14"/>
      <c r="AI10" s="14">
        <v>0.387735466363127</v>
      </c>
      <c r="AJ10" s="14">
        <v>0.41010303842382101</v>
      </c>
      <c r="AK10" s="14">
        <v>0.43379351766990998</v>
      </c>
      <c r="AL10" s="14">
        <v>0.31970905851167403</v>
      </c>
      <c r="AM10" s="14">
        <v>0.32706518560025299</v>
      </c>
      <c r="AN10" s="14">
        <v>0.43828609439600003</v>
      </c>
      <c r="AO10" s="14"/>
      <c r="AP10" s="14">
        <v>0.37029681196126701</v>
      </c>
      <c r="AQ10" s="14">
        <v>0.38506619451923402</v>
      </c>
      <c r="AR10" s="14"/>
      <c r="AS10" s="14" t="s">
        <v>88</v>
      </c>
      <c r="AT10" s="14" t="s">
        <v>88</v>
      </c>
      <c r="AU10" s="14">
        <v>0.37687327616480898</v>
      </c>
      <c r="AV10" s="14"/>
      <c r="AW10" s="14">
        <v>0.390593331086176</v>
      </c>
      <c r="AX10" s="14">
        <v>0.39965517962545999</v>
      </c>
      <c r="AY10" s="14"/>
      <c r="AZ10" s="14">
        <v>0.39292459576875999</v>
      </c>
      <c r="BA10" s="14">
        <v>0.27503015555196197</v>
      </c>
    </row>
    <row r="11" spans="2:53" x14ac:dyDescent="0.35">
      <c r="B11" s="15" t="s">
        <v>228</v>
      </c>
      <c r="C11" s="14">
        <v>0.24431291607781999</v>
      </c>
      <c r="D11" s="14">
        <v>0.22914769545164301</v>
      </c>
      <c r="E11" s="14">
        <v>0.26098235176956203</v>
      </c>
      <c r="F11" s="14"/>
      <c r="G11" s="14" t="s">
        <v>88</v>
      </c>
      <c r="H11" s="14">
        <v>0.174092187355705</v>
      </c>
      <c r="I11" s="14">
        <v>0.24568291730716799</v>
      </c>
      <c r="J11" s="14">
        <v>0.25706597356442901</v>
      </c>
      <c r="K11" s="14">
        <v>0.30156527859193799</v>
      </c>
      <c r="L11" s="14">
        <v>3.3043383724092497E-2</v>
      </c>
      <c r="M11" s="14"/>
      <c r="N11" s="14">
        <v>0.267955603501769</v>
      </c>
      <c r="O11" s="14">
        <v>0.25081698231842597</v>
      </c>
      <c r="P11" s="14">
        <v>0.23658172807986699</v>
      </c>
      <c r="Q11" s="14">
        <v>0.20191579018820799</v>
      </c>
      <c r="R11" s="14"/>
      <c r="S11" s="14">
        <v>0.204624760302035</v>
      </c>
      <c r="T11" s="14">
        <v>0.25603293992042703</v>
      </c>
      <c r="U11" s="14">
        <v>0.496357495486697</v>
      </c>
      <c r="V11" s="14">
        <v>0.24847132300767699</v>
      </c>
      <c r="W11" s="14">
        <v>0.16360363420395599</v>
      </c>
      <c r="X11" s="14">
        <v>0.19678591836491199</v>
      </c>
      <c r="Y11" s="14">
        <v>0.187656468615675</v>
      </c>
      <c r="Z11" s="14">
        <v>0.102238862917242</v>
      </c>
      <c r="AA11" s="14">
        <v>0.29588598199303501</v>
      </c>
      <c r="AB11" s="14"/>
      <c r="AC11" s="14">
        <v>0.20810884517568101</v>
      </c>
      <c r="AD11" s="14">
        <v>0.31642074419021998</v>
      </c>
      <c r="AE11" s="14">
        <v>0.21930845726680601</v>
      </c>
      <c r="AF11" s="14">
        <v>0.205454530568486</v>
      </c>
      <c r="AG11" s="14">
        <v>0.172699506009721</v>
      </c>
      <c r="AH11" s="14"/>
      <c r="AI11" s="14">
        <v>0.20345055009706001</v>
      </c>
      <c r="AJ11" s="14">
        <v>0.28158213682347399</v>
      </c>
      <c r="AK11" s="14">
        <v>0.10514641751885399</v>
      </c>
      <c r="AL11" s="14">
        <v>0.28002967483489299</v>
      </c>
      <c r="AM11" s="14">
        <v>0.30112769643376203</v>
      </c>
      <c r="AN11" s="14">
        <v>0.17509083091893499</v>
      </c>
      <c r="AO11" s="14"/>
      <c r="AP11" s="14">
        <v>0.246467356783658</v>
      </c>
      <c r="AQ11" s="14">
        <v>0.24162892719624601</v>
      </c>
      <c r="AR11" s="14"/>
      <c r="AS11" s="14" t="s">
        <v>88</v>
      </c>
      <c r="AT11" s="14" t="s">
        <v>88</v>
      </c>
      <c r="AU11" s="14">
        <v>0.24431291607781999</v>
      </c>
      <c r="AV11" s="14"/>
      <c r="AW11" s="14">
        <v>0.239237975203035</v>
      </c>
      <c r="AX11" s="14">
        <v>0.227677125702658</v>
      </c>
      <c r="AY11" s="14"/>
      <c r="AZ11" s="14">
        <v>0.23521879177310601</v>
      </c>
      <c r="BA11" s="14">
        <v>0.30049171145414599</v>
      </c>
    </row>
    <row r="12" spans="2:53" x14ac:dyDescent="0.35">
      <c r="B12" s="15" t="s">
        <v>229</v>
      </c>
      <c r="C12" s="14">
        <v>0.112706185613828</v>
      </c>
      <c r="D12" s="14">
        <v>8.9877231790071205E-2</v>
      </c>
      <c r="E12" s="14">
        <v>0.137799508490909</v>
      </c>
      <c r="F12" s="14"/>
      <c r="G12" s="14" t="s">
        <v>88</v>
      </c>
      <c r="H12" s="14">
        <v>0.19442140418534501</v>
      </c>
      <c r="I12" s="14">
        <v>9.5083508233513706E-2</v>
      </c>
      <c r="J12" s="14">
        <v>0.123120963023417</v>
      </c>
      <c r="K12" s="14">
        <v>7.9445452141196707E-2</v>
      </c>
      <c r="L12" s="14">
        <v>4.8327608748138601E-2</v>
      </c>
      <c r="M12" s="14"/>
      <c r="N12" s="14">
        <v>7.6240876173589101E-2</v>
      </c>
      <c r="O12" s="14">
        <v>0.112979299633736</v>
      </c>
      <c r="P12" s="14">
        <v>0.101672732798244</v>
      </c>
      <c r="Q12" s="14">
        <v>0.18680773460458699</v>
      </c>
      <c r="R12" s="14"/>
      <c r="S12" s="14">
        <v>7.5349475036190799E-2</v>
      </c>
      <c r="T12" s="14">
        <v>0.122245667413952</v>
      </c>
      <c r="U12" s="14">
        <v>8.0236080287797492E-3</v>
      </c>
      <c r="V12" s="14">
        <v>0.15934435051324999</v>
      </c>
      <c r="W12" s="14">
        <v>0.13074755518980999</v>
      </c>
      <c r="X12" s="14">
        <v>8.8465454597638493E-2</v>
      </c>
      <c r="Y12" s="14">
        <v>0.121842871410885</v>
      </c>
      <c r="Z12" s="14">
        <v>0.25242157106200902</v>
      </c>
      <c r="AA12" s="14">
        <v>0.12570309051887699</v>
      </c>
      <c r="AB12" s="14"/>
      <c r="AC12" s="14">
        <v>0.153752944209961</v>
      </c>
      <c r="AD12" s="14">
        <v>0.15030615867737099</v>
      </c>
      <c r="AE12" s="14">
        <v>8.3132226799612699E-2</v>
      </c>
      <c r="AF12" s="14">
        <v>5.6159549003779001E-2</v>
      </c>
      <c r="AG12" s="14">
        <v>1.0609450028654099E-2</v>
      </c>
      <c r="AH12" s="14"/>
      <c r="AI12" s="14">
        <v>0.104639285049587</v>
      </c>
      <c r="AJ12" s="14">
        <v>8.3168325274884894E-2</v>
      </c>
      <c r="AK12" s="14">
        <v>9.1359720125199606E-2</v>
      </c>
      <c r="AL12" s="14">
        <v>0.18091334292779901</v>
      </c>
      <c r="AM12" s="14">
        <v>0.15940353947456901</v>
      </c>
      <c r="AN12" s="14">
        <v>7.7296981607910306E-2</v>
      </c>
      <c r="AO12" s="14"/>
      <c r="AP12" s="14">
        <v>7.5555223934958504E-2</v>
      </c>
      <c r="AQ12" s="14">
        <v>0.15898862347145001</v>
      </c>
      <c r="AR12" s="14"/>
      <c r="AS12" s="14" t="s">
        <v>88</v>
      </c>
      <c r="AT12" s="14" t="s">
        <v>88</v>
      </c>
      <c r="AU12" s="14">
        <v>0.112706185613828</v>
      </c>
      <c r="AV12" s="14"/>
      <c r="AW12" s="14">
        <v>0.12082800018247999</v>
      </c>
      <c r="AX12" s="14">
        <v>2.4636565122355999E-2</v>
      </c>
      <c r="AY12" s="14"/>
      <c r="AZ12" s="14">
        <v>0.102874204503864</v>
      </c>
      <c r="BA12" s="14">
        <v>0.17132335291499001</v>
      </c>
    </row>
    <row r="13" spans="2:53" x14ac:dyDescent="0.35">
      <c r="B13" s="15" t="s">
        <v>116</v>
      </c>
      <c r="C13" s="23">
        <v>1.9715722599557499E-2</v>
      </c>
      <c r="D13" s="23">
        <v>6.4577398554434102E-3</v>
      </c>
      <c r="E13" s="23">
        <v>3.4288744397456397E-2</v>
      </c>
      <c r="F13" s="23"/>
      <c r="G13" s="23" t="s">
        <v>88</v>
      </c>
      <c r="H13" s="23">
        <v>1.9084779125317398E-2</v>
      </c>
      <c r="I13" s="23">
        <v>1.53501673772789E-2</v>
      </c>
      <c r="J13" s="23">
        <v>2.5452234700766799E-2</v>
      </c>
      <c r="K13" s="23">
        <v>2.22116197220888E-2</v>
      </c>
      <c r="L13" s="23">
        <v>0</v>
      </c>
      <c r="M13" s="23"/>
      <c r="N13" s="23">
        <v>2.8584912920741799E-2</v>
      </c>
      <c r="O13" s="23">
        <v>2.4706514993503601E-2</v>
      </c>
      <c r="P13" s="23">
        <v>1.0541693712316299E-2</v>
      </c>
      <c r="Q13" s="23">
        <v>1.1085576970131E-2</v>
      </c>
      <c r="R13" s="23"/>
      <c r="S13" s="23">
        <v>2.1630209472593802E-3</v>
      </c>
      <c r="T13" s="23">
        <v>1.7234494737192799E-2</v>
      </c>
      <c r="U13" s="23">
        <v>2.14331638212743E-2</v>
      </c>
      <c r="V13" s="23">
        <v>4.13270690670096E-2</v>
      </c>
      <c r="W13" s="23">
        <v>3.7735563137436E-2</v>
      </c>
      <c r="X13" s="23">
        <v>2.94944285266742E-2</v>
      </c>
      <c r="Y13" s="23">
        <v>2.50368504959287E-2</v>
      </c>
      <c r="Z13" s="23">
        <v>0</v>
      </c>
      <c r="AA13" s="23">
        <v>1.3448591317879E-2</v>
      </c>
      <c r="AB13" s="23"/>
      <c r="AC13" s="23">
        <v>2.1868951952305399E-2</v>
      </c>
      <c r="AD13" s="23">
        <v>1.5036223998659301E-2</v>
      </c>
      <c r="AE13" s="23">
        <v>2.40048276991554E-2</v>
      </c>
      <c r="AF13" s="23">
        <v>8.5473277979459597E-3</v>
      </c>
      <c r="AG13" s="23">
        <v>4.4859068790924203E-2</v>
      </c>
      <c r="AH13" s="23"/>
      <c r="AI13" s="23">
        <v>3.2072321166410803E-2</v>
      </c>
      <c r="AJ13" s="23">
        <v>9.7576154279020808E-3</v>
      </c>
      <c r="AK13" s="23">
        <v>4.0125644239639699E-2</v>
      </c>
      <c r="AL13" s="23">
        <v>1.15240583210776E-2</v>
      </c>
      <c r="AM13" s="23">
        <v>0</v>
      </c>
      <c r="AN13" s="23">
        <v>0</v>
      </c>
      <c r="AO13" s="23"/>
      <c r="AP13" s="23">
        <v>1.55139191025869E-2</v>
      </c>
      <c r="AQ13" s="23">
        <v>2.49503033600629E-2</v>
      </c>
      <c r="AR13" s="23"/>
      <c r="AS13" s="23" t="s">
        <v>88</v>
      </c>
      <c r="AT13" s="23" t="s">
        <v>88</v>
      </c>
      <c r="AU13" s="23">
        <v>1.9715722599557499E-2</v>
      </c>
      <c r="AV13" s="23"/>
      <c r="AW13" s="23">
        <v>1.07080248452124E-2</v>
      </c>
      <c r="AX13" s="23">
        <v>2.0456428462377101E-2</v>
      </c>
      <c r="AY13" s="23"/>
      <c r="AZ13" s="23">
        <v>1.49461883208138E-2</v>
      </c>
      <c r="BA13" s="23">
        <v>4.7661796580749899E-2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550</v>
      </c>
      <c r="D7" s="10">
        <v>237</v>
      </c>
      <c r="E7" s="10">
        <v>313</v>
      </c>
      <c r="F7" s="10"/>
      <c r="G7" s="10" t="s">
        <v>87</v>
      </c>
      <c r="H7" s="10">
        <v>59</v>
      </c>
      <c r="I7" s="10">
        <v>242</v>
      </c>
      <c r="J7" s="10">
        <v>192</v>
      </c>
      <c r="K7" s="10">
        <v>48</v>
      </c>
      <c r="L7" s="10">
        <v>9</v>
      </c>
      <c r="M7" s="10"/>
      <c r="N7" s="10">
        <v>288</v>
      </c>
      <c r="O7" s="10">
        <v>108</v>
      </c>
      <c r="P7" s="10">
        <v>83</v>
      </c>
      <c r="Q7" s="10">
        <v>70</v>
      </c>
      <c r="R7" s="10"/>
      <c r="S7" s="10">
        <v>118</v>
      </c>
      <c r="T7" s="10">
        <v>80</v>
      </c>
      <c r="U7" s="10">
        <v>44</v>
      </c>
      <c r="V7" s="10">
        <v>45</v>
      </c>
      <c r="W7" s="10">
        <v>38</v>
      </c>
      <c r="X7" s="10">
        <v>66</v>
      </c>
      <c r="Y7" s="10">
        <v>56</v>
      </c>
      <c r="Z7" s="10">
        <v>34</v>
      </c>
      <c r="AA7" s="10">
        <v>69</v>
      </c>
      <c r="AB7" s="10"/>
      <c r="AC7" s="10">
        <v>70</v>
      </c>
      <c r="AD7" s="10">
        <v>98</v>
      </c>
      <c r="AE7" s="10">
        <v>161</v>
      </c>
      <c r="AF7" s="10">
        <v>137</v>
      </c>
      <c r="AG7" s="10">
        <v>36</v>
      </c>
      <c r="AH7" s="10"/>
      <c r="AI7" s="10">
        <v>220</v>
      </c>
      <c r="AJ7" s="10">
        <v>106</v>
      </c>
      <c r="AK7" s="10">
        <v>58</v>
      </c>
      <c r="AL7" s="10">
        <v>73</v>
      </c>
      <c r="AM7" s="10">
        <v>36</v>
      </c>
      <c r="AN7" s="10">
        <v>24</v>
      </c>
      <c r="AO7" s="10"/>
      <c r="AP7" s="10">
        <v>313</v>
      </c>
      <c r="AQ7" s="10">
        <v>237</v>
      </c>
      <c r="AR7" s="10"/>
      <c r="AS7" s="10" t="s">
        <v>87</v>
      </c>
      <c r="AT7" s="10" t="s">
        <v>87</v>
      </c>
      <c r="AU7" s="10">
        <v>550</v>
      </c>
      <c r="AV7" s="10"/>
      <c r="AW7" s="10">
        <v>382</v>
      </c>
      <c r="AX7" s="10">
        <v>132</v>
      </c>
      <c r="AY7" s="10"/>
      <c r="AZ7" s="10">
        <v>471</v>
      </c>
      <c r="BA7" s="10">
        <v>78</v>
      </c>
    </row>
    <row r="8" spans="2:53" ht="30" customHeight="1" x14ac:dyDescent="0.35">
      <c r="B8" s="11" t="s">
        <v>19</v>
      </c>
      <c r="C8" s="11">
        <v>515</v>
      </c>
      <c r="D8" s="11">
        <v>270</v>
      </c>
      <c r="E8" s="11">
        <v>245</v>
      </c>
      <c r="F8" s="11"/>
      <c r="G8" s="11" t="s">
        <v>87</v>
      </c>
      <c r="H8" s="11">
        <v>50</v>
      </c>
      <c r="I8" s="11">
        <v>226</v>
      </c>
      <c r="J8" s="11">
        <v>187</v>
      </c>
      <c r="K8" s="11">
        <v>45</v>
      </c>
      <c r="L8" s="11">
        <v>8</v>
      </c>
      <c r="M8" s="11"/>
      <c r="N8" s="11">
        <v>169</v>
      </c>
      <c r="O8" s="11">
        <v>115</v>
      </c>
      <c r="P8" s="11">
        <v>127</v>
      </c>
      <c r="Q8" s="11">
        <v>103</v>
      </c>
      <c r="R8" s="11"/>
      <c r="S8" s="11">
        <v>92</v>
      </c>
      <c r="T8" s="11">
        <v>82</v>
      </c>
      <c r="U8" s="11">
        <v>50</v>
      </c>
      <c r="V8" s="11">
        <v>55</v>
      </c>
      <c r="W8" s="11">
        <v>44</v>
      </c>
      <c r="X8" s="11">
        <v>53</v>
      </c>
      <c r="Y8" s="11">
        <v>46</v>
      </c>
      <c r="Z8" s="11">
        <v>33</v>
      </c>
      <c r="AA8" s="11">
        <v>61</v>
      </c>
      <c r="AB8" s="11"/>
      <c r="AC8" s="11">
        <v>81</v>
      </c>
      <c r="AD8" s="11">
        <v>111</v>
      </c>
      <c r="AE8" s="11">
        <v>150</v>
      </c>
      <c r="AF8" s="11">
        <v>101</v>
      </c>
      <c r="AG8" s="11">
        <v>19</v>
      </c>
      <c r="AH8" s="11"/>
      <c r="AI8" s="11">
        <v>197</v>
      </c>
      <c r="AJ8" s="11">
        <v>102</v>
      </c>
      <c r="AK8" s="11">
        <v>50</v>
      </c>
      <c r="AL8" s="11">
        <v>74</v>
      </c>
      <c r="AM8" s="11">
        <v>33</v>
      </c>
      <c r="AN8" s="11">
        <v>25</v>
      </c>
      <c r="AO8" s="11"/>
      <c r="AP8" s="11">
        <v>286</v>
      </c>
      <c r="AQ8" s="11">
        <v>229</v>
      </c>
      <c r="AR8" s="11"/>
      <c r="AS8" s="11" t="s">
        <v>87</v>
      </c>
      <c r="AT8" s="11" t="s">
        <v>87</v>
      </c>
      <c r="AU8" s="11">
        <v>515</v>
      </c>
      <c r="AV8" s="11"/>
      <c r="AW8" s="11">
        <v>374</v>
      </c>
      <c r="AX8" s="11">
        <v>101</v>
      </c>
      <c r="AY8" s="11"/>
      <c r="AZ8" s="11">
        <v>439</v>
      </c>
      <c r="BA8" s="11">
        <v>76</v>
      </c>
    </row>
    <row r="9" spans="2:53" ht="29" x14ac:dyDescent="0.35">
      <c r="B9" s="15" t="s">
        <v>231</v>
      </c>
      <c r="C9" s="14">
        <v>0.14502875805339399</v>
      </c>
      <c r="D9" s="14">
        <v>0.165953096025893</v>
      </c>
      <c r="E9" s="14">
        <v>0.12202896696411999</v>
      </c>
      <c r="F9" s="14"/>
      <c r="G9" s="14" t="s">
        <v>88</v>
      </c>
      <c r="H9" s="14">
        <v>0.101233367091613</v>
      </c>
      <c r="I9" s="14">
        <v>0.17347189552806999</v>
      </c>
      <c r="J9" s="14">
        <v>0.12838664349916901</v>
      </c>
      <c r="K9" s="14">
        <v>0.146432170694829</v>
      </c>
      <c r="L9" s="14">
        <v>0</v>
      </c>
      <c r="M9" s="14"/>
      <c r="N9" s="14">
        <v>0.12252642152007499</v>
      </c>
      <c r="O9" s="14">
        <v>0.161212213771813</v>
      </c>
      <c r="P9" s="14">
        <v>0.17939041883335599</v>
      </c>
      <c r="Q9" s="14">
        <v>0.122529341514094</v>
      </c>
      <c r="R9" s="14"/>
      <c r="S9" s="14">
        <v>0.22489795675333901</v>
      </c>
      <c r="T9" s="14">
        <v>0.138824359235596</v>
      </c>
      <c r="U9" s="14">
        <v>0.10619069507232499</v>
      </c>
      <c r="V9" s="14">
        <v>0.176033815232401</v>
      </c>
      <c r="W9" s="14">
        <v>0.111938464717849</v>
      </c>
      <c r="X9" s="14">
        <v>0.19688766544541</v>
      </c>
      <c r="Y9" s="14">
        <v>6.8513002163468506E-2</v>
      </c>
      <c r="Z9" s="14">
        <v>0</v>
      </c>
      <c r="AA9" s="14">
        <v>0.15121403990403101</v>
      </c>
      <c r="AB9" s="14"/>
      <c r="AC9" s="14">
        <v>0.11142621802857899</v>
      </c>
      <c r="AD9" s="14">
        <v>0.152136574918394</v>
      </c>
      <c r="AE9" s="14">
        <v>0.15020030829322201</v>
      </c>
      <c r="AF9" s="14">
        <v>0.154153712373126</v>
      </c>
      <c r="AG9" s="14">
        <v>0.14233225338498001</v>
      </c>
      <c r="AH9" s="14"/>
      <c r="AI9" s="14">
        <v>0.151075017626464</v>
      </c>
      <c r="AJ9" s="14">
        <v>0.186796699046823</v>
      </c>
      <c r="AK9" s="14">
        <v>0.105888312644723</v>
      </c>
      <c r="AL9" s="14">
        <v>6.6148082070636799E-2</v>
      </c>
      <c r="AM9" s="14">
        <v>9.2953633051820195E-2</v>
      </c>
      <c r="AN9" s="14">
        <v>0.37056761578207997</v>
      </c>
      <c r="AO9" s="14"/>
      <c r="AP9" s="14">
        <v>0.14215580693084101</v>
      </c>
      <c r="AQ9" s="14">
        <v>0.14860786275994101</v>
      </c>
      <c r="AR9" s="14"/>
      <c r="AS9" s="14" t="s">
        <v>88</v>
      </c>
      <c r="AT9" s="14" t="s">
        <v>88</v>
      </c>
      <c r="AU9" s="14">
        <v>0.14502875805339399</v>
      </c>
      <c r="AV9" s="14"/>
      <c r="AW9" s="14">
        <v>0.13220807629731099</v>
      </c>
      <c r="AX9" s="14">
        <v>0.182841860030691</v>
      </c>
      <c r="AY9" s="14"/>
      <c r="AZ9" s="14">
        <v>0.15236673699241801</v>
      </c>
      <c r="BA9" s="14">
        <v>0.104488162372374</v>
      </c>
    </row>
    <row r="10" spans="2:53" ht="29" x14ac:dyDescent="0.35">
      <c r="B10" s="15" t="s">
        <v>232</v>
      </c>
      <c r="C10" s="14">
        <v>0.68167395793633601</v>
      </c>
      <c r="D10" s="14">
        <v>0.67928180213753597</v>
      </c>
      <c r="E10" s="14">
        <v>0.68430338801425405</v>
      </c>
      <c r="F10" s="14"/>
      <c r="G10" s="14" t="s">
        <v>88</v>
      </c>
      <c r="H10" s="14">
        <v>0.59574474303028502</v>
      </c>
      <c r="I10" s="14">
        <v>0.65322999331284803</v>
      </c>
      <c r="J10" s="14">
        <v>0.71698115943713803</v>
      </c>
      <c r="K10" s="14">
        <v>0.76814661841270004</v>
      </c>
      <c r="L10" s="14">
        <v>0.71095258704698205</v>
      </c>
      <c r="M10" s="14"/>
      <c r="N10" s="14">
        <v>0.70542295901721297</v>
      </c>
      <c r="O10" s="14">
        <v>0.71542969792685396</v>
      </c>
      <c r="P10" s="14">
        <v>0.63256553534251203</v>
      </c>
      <c r="Q10" s="14">
        <v>0.66328270805586298</v>
      </c>
      <c r="R10" s="14"/>
      <c r="S10" s="14">
        <v>0.56695368753000697</v>
      </c>
      <c r="T10" s="14">
        <v>0.68109068075328505</v>
      </c>
      <c r="U10" s="14">
        <v>0.70716512825310895</v>
      </c>
      <c r="V10" s="14">
        <v>0.68830806884594198</v>
      </c>
      <c r="W10" s="14">
        <v>0.60193527131853197</v>
      </c>
      <c r="X10" s="14">
        <v>0.63724664940331399</v>
      </c>
      <c r="Y10" s="14">
        <v>0.81375107303126504</v>
      </c>
      <c r="Z10" s="14">
        <v>0.88610315032119602</v>
      </c>
      <c r="AA10" s="14">
        <v>0.71508404398071401</v>
      </c>
      <c r="AB10" s="14"/>
      <c r="AC10" s="14">
        <v>0.73526558748242998</v>
      </c>
      <c r="AD10" s="14">
        <v>0.75331975318878497</v>
      </c>
      <c r="AE10" s="14">
        <v>0.62536764606584905</v>
      </c>
      <c r="AF10" s="14">
        <v>0.687110415750809</v>
      </c>
      <c r="AG10" s="14">
        <v>0.73809715960865097</v>
      </c>
      <c r="AH10" s="14"/>
      <c r="AI10" s="14">
        <v>0.64210589023142295</v>
      </c>
      <c r="AJ10" s="14">
        <v>0.68581325457280695</v>
      </c>
      <c r="AK10" s="14">
        <v>0.73137864032617494</v>
      </c>
      <c r="AL10" s="14">
        <v>0.72314985015306399</v>
      </c>
      <c r="AM10" s="14">
        <v>0.71411199864539499</v>
      </c>
      <c r="AN10" s="14">
        <v>0.61955890133821601</v>
      </c>
      <c r="AO10" s="14"/>
      <c r="AP10" s="14">
        <v>0.69391049928257098</v>
      </c>
      <c r="AQ10" s="14">
        <v>0.66642975054960096</v>
      </c>
      <c r="AR10" s="14"/>
      <c r="AS10" s="14" t="s">
        <v>88</v>
      </c>
      <c r="AT10" s="14" t="s">
        <v>88</v>
      </c>
      <c r="AU10" s="14">
        <v>0.68167395793633601</v>
      </c>
      <c r="AV10" s="14"/>
      <c r="AW10" s="14">
        <v>0.69156088444725605</v>
      </c>
      <c r="AX10" s="14">
        <v>0.64880596914267596</v>
      </c>
      <c r="AY10" s="14"/>
      <c r="AZ10" s="14">
        <v>0.67694955402631896</v>
      </c>
      <c r="BA10" s="14">
        <v>0.70462625857580297</v>
      </c>
    </row>
    <row r="11" spans="2:53" ht="29" x14ac:dyDescent="0.35">
      <c r="B11" s="15" t="s">
        <v>233</v>
      </c>
      <c r="C11" s="14">
        <v>0.127509120666633</v>
      </c>
      <c r="D11" s="14">
        <v>0.111813795811042</v>
      </c>
      <c r="E11" s="14">
        <v>0.14476124081644701</v>
      </c>
      <c r="F11" s="14"/>
      <c r="G11" s="14" t="s">
        <v>88</v>
      </c>
      <c r="H11" s="14">
        <v>0.26337728117682302</v>
      </c>
      <c r="I11" s="14">
        <v>0.137882474864958</v>
      </c>
      <c r="J11" s="14">
        <v>8.3780326977230896E-2</v>
      </c>
      <c r="K11" s="14">
        <v>8.5421210892471705E-2</v>
      </c>
      <c r="L11" s="14">
        <v>0.24071980420487901</v>
      </c>
      <c r="M11" s="14"/>
      <c r="N11" s="14">
        <v>0.11501686105702499</v>
      </c>
      <c r="O11" s="14">
        <v>9.4807002200230001E-2</v>
      </c>
      <c r="P11" s="14">
        <v>0.16442844090663999</v>
      </c>
      <c r="Q11" s="14">
        <v>0.139836472691868</v>
      </c>
      <c r="R11" s="14"/>
      <c r="S11" s="14">
        <v>0.18639750897203</v>
      </c>
      <c r="T11" s="14">
        <v>0.127629525523901</v>
      </c>
      <c r="U11" s="14">
        <v>0.12128898125262499</v>
      </c>
      <c r="V11" s="14">
        <v>0.118550941043884</v>
      </c>
      <c r="W11" s="14">
        <v>0.230470820106465</v>
      </c>
      <c r="X11" s="14">
        <v>0.136371255841059</v>
      </c>
      <c r="Y11" s="14">
        <v>4.7869619340400398E-2</v>
      </c>
      <c r="Z11" s="14">
        <v>6.03752125509536E-2</v>
      </c>
      <c r="AA11" s="14">
        <v>6.5759306353457503E-2</v>
      </c>
      <c r="AB11" s="14"/>
      <c r="AC11" s="14">
        <v>0.10495716325903701</v>
      </c>
      <c r="AD11" s="14">
        <v>5.8808993517871097E-2</v>
      </c>
      <c r="AE11" s="14">
        <v>0.15596345553423399</v>
      </c>
      <c r="AF11" s="14">
        <v>0.139798372294762</v>
      </c>
      <c r="AG11" s="14">
        <v>0.10214531565299</v>
      </c>
      <c r="AH11" s="14"/>
      <c r="AI11" s="14">
        <v>0.14859143898777299</v>
      </c>
      <c r="AJ11" s="14">
        <v>0.107928102151694</v>
      </c>
      <c r="AK11" s="14">
        <v>0.12318607791715699</v>
      </c>
      <c r="AL11" s="14">
        <v>0.172822301763735</v>
      </c>
      <c r="AM11" s="14">
        <v>0.105011512959367</v>
      </c>
      <c r="AN11" s="14">
        <v>0</v>
      </c>
      <c r="AO11" s="14"/>
      <c r="AP11" s="14">
        <v>0.13069613872583799</v>
      </c>
      <c r="AQ11" s="14">
        <v>0.123538753316487</v>
      </c>
      <c r="AR11" s="14"/>
      <c r="AS11" s="14" t="s">
        <v>88</v>
      </c>
      <c r="AT11" s="14" t="s">
        <v>88</v>
      </c>
      <c r="AU11" s="14">
        <v>0.127509120666633</v>
      </c>
      <c r="AV11" s="14"/>
      <c r="AW11" s="14">
        <v>0.128580639255162</v>
      </c>
      <c r="AX11" s="14">
        <v>0.142267245674216</v>
      </c>
      <c r="AY11" s="14"/>
      <c r="AZ11" s="14">
        <v>0.12532018432572001</v>
      </c>
      <c r="BA11" s="14">
        <v>0.141992957911796</v>
      </c>
    </row>
    <row r="12" spans="2:53" x14ac:dyDescent="0.35">
      <c r="B12" s="15" t="s">
        <v>116</v>
      </c>
      <c r="C12" s="23">
        <v>4.5788163343636598E-2</v>
      </c>
      <c r="D12" s="23">
        <v>4.2951306025529101E-2</v>
      </c>
      <c r="E12" s="23">
        <v>4.8906404205178201E-2</v>
      </c>
      <c r="F12" s="23"/>
      <c r="G12" s="23" t="s">
        <v>88</v>
      </c>
      <c r="H12" s="23">
        <v>3.96446087012794E-2</v>
      </c>
      <c r="I12" s="23">
        <v>3.5415636294124198E-2</v>
      </c>
      <c r="J12" s="23">
        <v>7.0851870086461696E-2</v>
      </c>
      <c r="K12" s="23">
        <v>0</v>
      </c>
      <c r="L12" s="23">
        <v>4.8327608748138601E-2</v>
      </c>
      <c r="M12" s="23"/>
      <c r="N12" s="23">
        <v>5.7033758405687897E-2</v>
      </c>
      <c r="O12" s="23">
        <v>2.8551086101102699E-2</v>
      </c>
      <c r="P12" s="23">
        <v>2.3615604917491699E-2</v>
      </c>
      <c r="Q12" s="23">
        <v>7.4351477738174798E-2</v>
      </c>
      <c r="R12" s="23"/>
      <c r="S12" s="23">
        <v>2.1750846744624099E-2</v>
      </c>
      <c r="T12" s="23">
        <v>5.2455434487218101E-2</v>
      </c>
      <c r="U12" s="23">
        <v>6.5355195421939904E-2</v>
      </c>
      <c r="V12" s="23">
        <v>1.7107174877772899E-2</v>
      </c>
      <c r="W12" s="23">
        <v>5.56554438571547E-2</v>
      </c>
      <c r="X12" s="23">
        <v>2.94944293102164E-2</v>
      </c>
      <c r="Y12" s="23">
        <v>6.9866305464865899E-2</v>
      </c>
      <c r="Z12" s="23">
        <v>5.3521637127850401E-2</v>
      </c>
      <c r="AA12" s="23">
        <v>6.7942609761797196E-2</v>
      </c>
      <c r="AB12" s="23"/>
      <c r="AC12" s="23">
        <v>4.8351031229954503E-2</v>
      </c>
      <c r="AD12" s="23">
        <v>3.573467837495E-2</v>
      </c>
      <c r="AE12" s="23">
        <v>6.8468590106695995E-2</v>
      </c>
      <c r="AF12" s="23">
        <v>1.8937499581303498E-2</v>
      </c>
      <c r="AG12" s="23">
        <v>1.7425271353379099E-2</v>
      </c>
      <c r="AH12" s="23"/>
      <c r="AI12" s="23">
        <v>5.8227653154340801E-2</v>
      </c>
      <c r="AJ12" s="23">
        <v>1.9461944228675102E-2</v>
      </c>
      <c r="AK12" s="23">
        <v>3.9546969111946099E-2</v>
      </c>
      <c r="AL12" s="23">
        <v>3.7879766012563897E-2</v>
      </c>
      <c r="AM12" s="23">
        <v>8.7922855343417594E-2</v>
      </c>
      <c r="AN12" s="23">
        <v>9.8734828797039792E-3</v>
      </c>
      <c r="AO12" s="23"/>
      <c r="AP12" s="23">
        <v>3.32375550607499E-2</v>
      </c>
      <c r="AQ12" s="23">
        <v>6.1423633373970797E-2</v>
      </c>
      <c r="AR12" s="23"/>
      <c r="AS12" s="23" t="s">
        <v>88</v>
      </c>
      <c r="AT12" s="23" t="s">
        <v>88</v>
      </c>
      <c r="AU12" s="23">
        <v>4.5788163343636598E-2</v>
      </c>
      <c r="AV12" s="23"/>
      <c r="AW12" s="23">
        <v>4.7650400000271098E-2</v>
      </c>
      <c r="AX12" s="23">
        <v>2.6084925152417199E-2</v>
      </c>
      <c r="AY12" s="23"/>
      <c r="AZ12" s="23">
        <v>4.5363524655542997E-2</v>
      </c>
      <c r="BA12" s="23">
        <v>4.8892621140026897E-2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550</v>
      </c>
      <c r="D7" s="10">
        <v>237</v>
      </c>
      <c r="E7" s="10">
        <v>313</v>
      </c>
      <c r="F7" s="10"/>
      <c r="G7" s="10" t="s">
        <v>87</v>
      </c>
      <c r="H7" s="10">
        <v>59</v>
      </c>
      <c r="I7" s="10">
        <v>242</v>
      </c>
      <c r="J7" s="10">
        <v>192</v>
      </c>
      <c r="K7" s="10">
        <v>48</v>
      </c>
      <c r="L7" s="10">
        <v>9</v>
      </c>
      <c r="M7" s="10"/>
      <c r="N7" s="10">
        <v>288</v>
      </c>
      <c r="O7" s="10">
        <v>108</v>
      </c>
      <c r="P7" s="10">
        <v>83</v>
      </c>
      <c r="Q7" s="10">
        <v>70</v>
      </c>
      <c r="R7" s="10"/>
      <c r="S7" s="10">
        <v>118</v>
      </c>
      <c r="T7" s="10">
        <v>80</v>
      </c>
      <c r="U7" s="10">
        <v>44</v>
      </c>
      <c r="V7" s="10">
        <v>45</v>
      </c>
      <c r="W7" s="10">
        <v>38</v>
      </c>
      <c r="X7" s="10">
        <v>66</v>
      </c>
      <c r="Y7" s="10">
        <v>56</v>
      </c>
      <c r="Z7" s="10">
        <v>34</v>
      </c>
      <c r="AA7" s="10">
        <v>69</v>
      </c>
      <c r="AB7" s="10"/>
      <c r="AC7" s="10">
        <v>70</v>
      </c>
      <c r="AD7" s="10">
        <v>98</v>
      </c>
      <c r="AE7" s="10">
        <v>161</v>
      </c>
      <c r="AF7" s="10">
        <v>137</v>
      </c>
      <c r="AG7" s="10">
        <v>36</v>
      </c>
      <c r="AH7" s="10"/>
      <c r="AI7" s="10">
        <v>220</v>
      </c>
      <c r="AJ7" s="10">
        <v>106</v>
      </c>
      <c r="AK7" s="10">
        <v>58</v>
      </c>
      <c r="AL7" s="10">
        <v>73</v>
      </c>
      <c r="AM7" s="10">
        <v>36</v>
      </c>
      <c r="AN7" s="10">
        <v>24</v>
      </c>
      <c r="AO7" s="10"/>
      <c r="AP7" s="10">
        <v>313</v>
      </c>
      <c r="AQ7" s="10">
        <v>237</v>
      </c>
      <c r="AR7" s="10"/>
      <c r="AS7" s="10" t="s">
        <v>87</v>
      </c>
      <c r="AT7" s="10" t="s">
        <v>87</v>
      </c>
      <c r="AU7" s="10">
        <v>550</v>
      </c>
      <c r="AV7" s="10"/>
      <c r="AW7" s="10">
        <v>382</v>
      </c>
      <c r="AX7" s="10">
        <v>132</v>
      </c>
      <c r="AY7" s="10"/>
      <c r="AZ7" s="10">
        <v>471</v>
      </c>
      <c r="BA7" s="10">
        <v>78</v>
      </c>
    </row>
    <row r="8" spans="2:53" ht="30" customHeight="1" x14ac:dyDescent="0.35">
      <c r="B8" s="11" t="s">
        <v>19</v>
      </c>
      <c r="C8" s="11">
        <v>515</v>
      </c>
      <c r="D8" s="11">
        <v>270</v>
      </c>
      <c r="E8" s="11">
        <v>245</v>
      </c>
      <c r="F8" s="11"/>
      <c r="G8" s="11" t="s">
        <v>87</v>
      </c>
      <c r="H8" s="11">
        <v>50</v>
      </c>
      <c r="I8" s="11">
        <v>226</v>
      </c>
      <c r="J8" s="11">
        <v>187</v>
      </c>
      <c r="K8" s="11">
        <v>45</v>
      </c>
      <c r="L8" s="11">
        <v>8</v>
      </c>
      <c r="M8" s="11"/>
      <c r="N8" s="11">
        <v>169</v>
      </c>
      <c r="O8" s="11">
        <v>115</v>
      </c>
      <c r="P8" s="11">
        <v>127</v>
      </c>
      <c r="Q8" s="11">
        <v>103</v>
      </c>
      <c r="R8" s="11"/>
      <c r="S8" s="11">
        <v>92</v>
      </c>
      <c r="T8" s="11">
        <v>82</v>
      </c>
      <c r="U8" s="11">
        <v>50</v>
      </c>
      <c r="V8" s="11">
        <v>55</v>
      </c>
      <c r="W8" s="11">
        <v>44</v>
      </c>
      <c r="X8" s="11">
        <v>53</v>
      </c>
      <c r="Y8" s="11">
        <v>46</v>
      </c>
      <c r="Z8" s="11">
        <v>33</v>
      </c>
      <c r="AA8" s="11">
        <v>61</v>
      </c>
      <c r="AB8" s="11"/>
      <c r="AC8" s="11">
        <v>81</v>
      </c>
      <c r="AD8" s="11">
        <v>111</v>
      </c>
      <c r="AE8" s="11">
        <v>150</v>
      </c>
      <c r="AF8" s="11">
        <v>101</v>
      </c>
      <c r="AG8" s="11">
        <v>19</v>
      </c>
      <c r="AH8" s="11"/>
      <c r="AI8" s="11">
        <v>197</v>
      </c>
      <c r="AJ8" s="11">
        <v>102</v>
      </c>
      <c r="AK8" s="11">
        <v>50</v>
      </c>
      <c r="AL8" s="11">
        <v>74</v>
      </c>
      <c r="AM8" s="11">
        <v>33</v>
      </c>
      <c r="AN8" s="11">
        <v>25</v>
      </c>
      <c r="AO8" s="11"/>
      <c r="AP8" s="11">
        <v>286</v>
      </c>
      <c r="AQ8" s="11">
        <v>229</v>
      </c>
      <c r="AR8" s="11"/>
      <c r="AS8" s="11" t="s">
        <v>87</v>
      </c>
      <c r="AT8" s="11" t="s">
        <v>87</v>
      </c>
      <c r="AU8" s="11">
        <v>515</v>
      </c>
      <c r="AV8" s="11"/>
      <c r="AW8" s="11">
        <v>374</v>
      </c>
      <c r="AX8" s="11">
        <v>101</v>
      </c>
      <c r="AY8" s="11"/>
      <c r="AZ8" s="11">
        <v>439</v>
      </c>
      <c r="BA8" s="11">
        <v>76</v>
      </c>
    </row>
    <row r="9" spans="2:53" x14ac:dyDescent="0.35">
      <c r="B9" s="15" t="s">
        <v>235</v>
      </c>
      <c r="C9" s="14">
        <v>0.25155257535363201</v>
      </c>
      <c r="D9" s="14">
        <v>0.277466659083631</v>
      </c>
      <c r="E9" s="14">
        <v>0.22306811324815101</v>
      </c>
      <c r="F9" s="14"/>
      <c r="G9" s="14" t="s">
        <v>88</v>
      </c>
      <c r="H9" s="14">
        <v>0.31167556673378599</v>
      </c>
      <c r="I9" s="14">
        <v>0.25685816195957301</v>
      </c>
      <c r="J9" s="14">
        <v>0.228471505683011</v>
      </c>
      <c r="K9" s="14">
        <v>0.27291179584481201</v>
      </c>
      <c r="L9" s="14">
        <v>0.15100412695203699</v>
      </c>
      <c r="M9" s="14"/>
      <c r="N9" s="14">
        <v>0.32415774997069402</v>
      </c>
      <c r="O9" s="14">
        <v>0.221163133190967</v>
      </c>
      <c r="P9" s="14">
        <v>0.21630743245208101</v>
      </c>
      <c r="Q9" s="14">
        <v>0.21181581595946999</v>
      </c>
      <c r="R9" s="14"/>
      <c r="S9" s="14">
        <v>0.34535833413143502</v>
      </c>
      <c r="T9" s="14">
        <v>0.25665869141050401</v>
      </c>
      <c r="U9" s="14">
        <v>0.119119746696026</v>
      </c>
      <c r="V9" s="14">
        <v>0.30688382332134401</v>
      </c>
      <c r="W9" s="14">
        <v>0.181629961222114</v>
      </c>
      <c r="X9" s="14">
        <v>0.36046020331674</v>
      </c>
      <c r="Y9" s="14">
        <v>0.198987139511353</v>
      </c>
      <c r="Z9" s="14">
        <v>0.155823725464075</v>
      </c>
      <c r="AA9" s="14">
        <v>0.208586687628736</v>
      </c>
      <c r="AB9" s="14"/>
      <c r="AC9" s="14">
        <v>0.23802086318885399</v>
      </c>
      <c r="AD9" s="14">
        <v>0.16247264094268099</v>
      </c>
      <c r="AE9" s="14">
        <v>0.22570803503918299</v>
      </c>
      <c r="AF9" s="14">
        <v>0.33927913522506498</v>
      </c>
      <c r="AG9" s="14">
        <v>0.60620697394758805</v>
      </c>
      <c r="AH9" s="14"/>
      <c r="AI9" s="14">
        <v>0.28593011485244602</v>
      </c>
      <c r="AJ9" s="14">
        <v>0.218216979431581</v>
      </c>
      <c r="AK9" s="14">
        <v>0.25612709353913898</v>
      </c>
      <c r="AL9" s="14">
        <v>0.259658272348404</v>
      </c>
      <c r="AM9" s="14">
        <v>0.171648714254478</v>
      </c>
      <c r="AN9" s="14">
        <v>0.31412374160884698</v>
      </c>
      <c r="AO9" s="14"/>
      <c r="AP9" s="14">
        <v>0.30364141238790798</v>
      </c>
      <c r="AQ9" s="14">
        <v>0.18666062493917199</v>
      </c>
      <c r="AR9" s="14"/>
      <c r="AS9" s="14" t="s">
        <v>88</v>
      </c>
      <c r="AT9" s="14" t="s">
        <v>88</v>
      </c>
      <c r="AU9" s="14">
        <v>0.25155257535363201</v>
      </c>
      <c r="AV9" s="14"/>
      <c r="AW9" s="14">
        <v>0.22501644647553901</v>
      </c>
      <c r="AX9" s="14">
        <v>0.35848092686769201</v>
      </c>
      <c r="AY9" s="14"/>
      <c r="AZ9" s="14">
        <v>0.26326100979883499</v>
      </c>
      <c r="BA9" s="14">
        <v>0.187148248495662</v>
      </c>
    </row>
    <row r="10" spans="2:53" x14ac:dyDescent="0.35">
      <c r="B10" s="15" t="s">
        <v>236</v>
      </c>
      <c r="C10" s="14">
        <v>0.56550181452328496</v>
      </c>
      <c r="D10" s="14">
        <v>0.55746373503536295</v>
      </c>
      <c r="E10" s="14">
        <v>0.57433717883560798</v>
      </c>
      <c r="F10" s="14"/>
      <c r="G10" s="14" t="s">
        <v>88</v>
      </c>
      <c r="H10" s="14">
        <v>0.497016164417383</v>
      </c>
      <c r="I10" s="14">
        <v>0.54456055896250399</v>
      </c>
      <c r="J10" s="14">
        <v>0.59322880358560703</v>
      </c>
      <c r="K10" s="14">
        <v>0.58798727448584798</v>
      </c>
      <c r="L10" s="14">
        <v>0.80066826429982396</v>
      </c>
      <c r="M10" s="14"/>
      <c r="N10" s="14">
        <v>0.52906114734075804</v>
      </c>
      <c r="O10" s="14">
        <v>0.63389702426051298</v>
      </c>
      <c r="P10" s="14">
        <v>0.57948756307489502</v>
      </c>
      <c r="Q10" s="14">
        <v>0.528313426010531</v>
      </c>
      <c r="R10" s="14"/>
      <c r="S10" s="14">
        <v>0.50614478345883396</v>
      </c>
      <c r="T10" s="14">
        <v>0.53241432742582995</v>
      </c>
      <c r="U10" s="14">
        <v>0.68696761470295098</v>
      </c>
      <c r="V10" s="14">
        <v>0.49145288168144302</v>
      </c>
      <c r="W10" s="14">
        <v>0.60052439896816101</v>
      </c>
      <c r="X10" s="14">
        <v>0.49103483618150601</v>
      </c>
      <c r="Y10" s="14">
        <v>0.62195452658057904</v>
      </c>
      <c r="Z10" s="14">
        <v>0.69471226893822702</v>
      </c>
      <c r="AA10" s="14">
        <v>0.59444879503661996</v>
      </c>
      <c r="AB10" s="14"/>
      <c r="AC10" s="14">
        <v>0.61368688437321695</v>
      </c>
      <c r="AD10" s="14">
        <v>0.58114922409735703</v>
      </c>
      <c r="AE10" s="14">
        <v>0.61588416981794403</v>
      </c>
      <c r="AF10" s="14">
        <v>0.53729535169473097</v>
      </c>
      <c r="AG10" s="14">
        <v>0.36617702496496302</v>
      </c>
      <c r="AH10" s="14"/>
      <c r="AI10" s="14">
        <v>0.56258807507942599</v>
      </c>
      <c r="AJ10" s="14">
        <v>0.59857929656619002</v>
      </c>
      <c r="AK10" s="14">
        <v>0.628869411791105</v>
      </c>
      <c r="AL10" s="14">
        <v>0.47945982142690702</v>
      </c>
      <c r="AM10" s="14">
        <v>0.51137253228894197</v>
      </c>
      <c r="AN10" s="14">
        <v>0.54056942275345399</v>
      </c>
      <c r="AO10" s="14"/>
      <c r="AP10" s="14">
        <v>0.53362819949649198</v>
      </c>
      <c r="AQ10" s="14">
        <v>0.60520976662225801</v>
      </c>
      <c r="AR10" s="14"/>
      <c r="AS10" s="14" t="s">
        <v>88</v>
      </c>
      <c r="AT10" s="14" t="s">
        <v>88</v>
      </c>
      <c r="AU10" s="14">
        <v>0.56550181452328496</v>
      </c>
      <c r="AV10" s="14"/>
      <c r="AW10" s="14">
        <v>0.56908380392302105</v>
      </c>
      <c r="AX10" s="14">
        <v>0.56413261693486105</v>
      </c>
      <c r="AY10" s="14"/>
      <c r="AZ10" s="14">
        <v>0.55780496345261998</v>
      </c>
      <c r="BA10" s="14">
        <v>0.60407234861508297</v>
      </c>
    </row>
    <row r="11" spans="2:53" x14ac:dyDescent="0.35">
      <c r="B11" s="15" t="s">
        <v>237</v>
      </c>
      <c r="C11" s="14">
        <v>0.15218606669769799</v>
      </c>
      <c r="D11" s="14">
        <v>0.13699883436048099</v>
      </c>
      <c r="E11" s="14">
        <v>0.168879697408468</v>
      </c>
      <c r="F11" s="14"/>
      <c r="G11" s="14" t="s">
        <v>88</v>
      </c>
      <c r="H11" s="14">
        <v>0.15355542370303099</v>
      </c>
      <c r="I11" s="14">
        <v>0.17592789450750901</v>
      </c>
      <c r="J11" s="14">
        <v>0.13559167353403601</v>
      </c>
      <c r="K11" s="14">
        <v>0.11927855778633401</v>
      </c>
      <c r="L11" s="14">
        <v>4.8327608748138601E-2</v>
      </c>
      <c r="M11" s="14"/>
      <c r="N11" s="14">
        <v>0.127696794697719</v>
      </c>
      <c r="O11" s="14">
        <v>0.114718397943727</v>
      </c>
      <c r="P11" s="14">
        <v>0.15883841183924799</v>
      </c>
      <c r="Q11" s="14">
        <v>0.227172676484519</v>
      </c>
      <c r="R11" s="14"/>
      <c r="S11" s="14">
        <v>0.123792035967424</v>
      </c>
      <c r="T11" s="14">
        <v>0.16272901717691499</v>
      </c>
      <c r="U11" s="14">
        <v>0.13735506103105299</v>
      </c>
      <c r="V11" s="14">
        <v>0.201663294997213</v>
      </c>
      <c r="W11" s="14">
        <v>0.19766403005576699</v>
      </c>
      <c r="X11" s="14">
        <v>0.110917567697519</v>
      </c>
      <c r="Y11" s="14">
        <v>0.13160676095377299</v>
      </c>
      <c r="Z11" s="14">
        <v>9.5942368469848105E-2</v>
      </c>
      <c r="AA11" s="14">
        <v>0.19696451733464401</v>
      </c>
      <c r="AB11" s="14"/>
      <c r="AC11" s="14">
        <v>0.118646210817834</v>
      </c>
      <c r="AD11" s="14">
        <v>0.21576914726160401</v>
      </c>
      <c r="AE11" s="14">
        <v>0.121641002716794</v>
      </c>
      <c r="AF11" s="14">
        <v>0.114940544011661</v>
      </c>
      <c r="AG11" s="14">
        <v>2.76160010874494E-2</v>
      </c>
      <c r="AH11" s="14"/>
      <c r="AI11" s="14">
        <v>0.131432238355324</v>
      </c>
      <c r="AJ11" s="14">
        <v>0.15602056637866599</v>
      </c>
      <c r="AK11" s="14">
        <v>0.115003494669756</v>
      </c>
      <c r="AL11" s="14">
        <v>0.20216908773623399</v>
      </c>
      <c r="AM11" s="14">
        <v>0.28639081161942698</v>
      </c>
      <c r="AN11" s="14">
        <v>4.6803605505859103E-2</v>
      </c>
      <c r="AO11" s="14"/>
      <c r="AP11" s="14">
        <v>0.137729877151575</v>
      </c>
      <c r="AQ11" s="14">
        <v>0.17019549805804399</v>
      </c>
      <c r="AR11" s="14"/>
      <c r="AS11" s="14" t="s">
        <v>88</v>
      </c>
      <c r="AT11" s="14" t="s">
        <v>88</v>
      </c>
      <c r="AU11" s="14">
        <v>0.15218606669769799</v>
      </c>
      <c r="AV11" s="14"/>
      <c r="AW11" s="14">
        <v>0.16938289368591</v>
      </c>
      <c r="AX11" s="14">
        <v>7.7386456197446399E-2</v>
      </c>
      <c r="AY11" s="14"/>
      <c r="AZ11" s="14">
        <v>0.153468951233906</v>
      </c>
      <c r="BA11" s="14">
        <v>0.14687383005129101</v>
      </c>
    </row>
    <row r="12" spans="2:53" x14ac:dyDescent="0.35">
      <c r="B12" s="15" t="s">
        <v>238</v>
      </c>
      <c r="C12" s="14">
        <v>1.0642395263064401E-2</v>
      </c>
      <c r="D12" s="14">
        <v>1.02241078077848E-2</v>
      </c>
      <c r="E12" s="14">
        <v>1.11021720120033E-2</v>
      </c>
      <c r="F12" s="14"/>
      <c r="G12" s="14" t="s">
        <v>88</v>
      </c>
      <c r="H12" s="14">
        <v>0</v>
      </c>
      <c r="I12" s="14">
        <v>1.20613099530521E-2</v>
      </c>
      <c r="J12" s="14">
        <v>1.47862909258111E-2</v>
      </c>
      <c r="K12" s="14">
        <v>0</v>
      </c>
      <c r="L12" s="14">
        <v>0</v>
      </c>
      <c r="M12" s="14"/>
      <c r="N12" s="14">
        <v>7.7719359947192399E-3</v>
      </c>
      <c r="O12" s="14">
        <v>1.25640142320628E-2</v>
      </c>
      <c r="P12" s="14">
        <v>1.1940318271104301E-2</v>
      </c>
      <c r="Q12" s="14">
        <v>1.1687928354520399E-2</v>
      </c>
      <c r="R12" s="14"/>
      <c r="S12" s="14">
        <v>1.31463788890093E-2</v>
      </c>
      <c r="T12" s="14">
        <v>1.76475594711283E-2</v>
      </c>
      <c r="U12" s="14">
        <v>5.6557577569970298E-2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/>
      <c r="AC12" s="14">
        <v>0</v>
      </c>
      <c r="AD12" s="14">
        <v>1.30487060549449E-2</v>
      </c>
      <c r="AE12" s="14">
        <v>1.67498758678284E-2</v>
      </c>
      <c r="AF12" s="14">
        <v>0</v>
      </c>
      <c r="AG12" s="14">
        <v>0</v>
      </c>
      <c r="AH12" s="14"/>
      <c r="AI12" s="14">
        <v>0</v>
      </c>
      <c r="AJ12" s="14">
        <v>1.4922336303648901E-2</v>
      </c>
      <c r="AK12" s="14">
        <v>0</v>
      </c>
      <c r="AL12" s="14">
        <v>1.9509402203756101E-2</v>
      </c>
      <c r="AM12" s="14">
        <v>0</v>
      </c>
      <c r="AN12" s="14">
        <v>4.8320421270761402E-2</v>
      </c>
      <c r="AO12" s="14"/>
      <c r="AP12" s="14">
        <v>9.2639722571793894E-3</v>
      </c>
      <c r="AQ12" s="14">
        <v>1.23596261025469E-2</v>
      </c>
      <c r="AR12" s="14"/>
      <c r="AS12" s="14" t="s">
        <v>88</v>
      </c>
      <c r="AT12" s="14" t="s">
        <v>88</v>
      </c>
      <c r="AU12" s="14">
        <v>1.0642395263064401E-2</v>
      </c>
      <c r="AV12" s="14"/>
      <c r="AW12" s="14">
        <v>1.46707052965908E-2</v>
      </c>
      <c r="AX12" s="14">
        <v>0</v>
      </c>
      <c r="AY12" s="14"/>
      <c r="AZ12" s="14">
        <v>9.0336906011681192E-3</v>
      </c>
      <c r="BA12" s="14">
        <v>2.0124146767887999E-2</v>
      </c>
    </row>
    <row r="13" spans="2:53" x14ac:dyDescent="0.35">
      <c r="B13" s="15" t="s">
        <v>116</v>
      </c>
      <c r="C13" s="23">
        <v>2.01171481623202E-2</v>
      </c>
      <c r="D13" s="23">
        <v>1.78466637127398E-2</v>
      </c>
      <c r="E13" s="23">
        <v>2.2612838495769599E-2</v>
      </c>
      <c r="F13" s="23"/>
      <c r="G13" s="23" t="s">
        <v>88</v>
      </c>
      <c r="H13" s="23">
        <v>3.77528451458004E-2</v>
      </c>
      <c r="I13" s="23">
        <v>1.0592074617362199E-2</v>
      </c>
      <c r="J13" s="23">
        <v>2.7921726271535201E-2</v>
      </c>
      <c r="K13" s="23">
        <v>1.9822371883006201E-2</v>
      </c>
      <c r="L13" s="23">
        <v>0</v>
      </c>
      <c r="M13" s="23"/>
      <c r="N13" s="23">
        <v>1.1312371996109899E-2</v>
      </c>
      <c r="O13" s="23">
        <v>1.7657430372730501E-2</v>
      </c>
      <c r="P13" s="23">
        <v>3.34262743626721E-2</v>
      </c>
      <c r="Q13" s="23">
        <v>2.1010153190959901E-2</v>
      </c>
      <c r="R13" s="23"/>
      <c r="S13" s="23">
        <v>1.1558467553297499E-2</v>
      </c>
      <c r="T13" s="23">
        <v>3.0550404515623401E-2</v>
      </c>
      <c r="U13" s="23">
        <v>0</v>
      </c>
      <c r="V13" s="23">
        <v>0</v>
      </c>
      <c r="W13" s="23">
        <v>2.0181609753958E-2</v>
      </c>
      <c r="X13" s="23">
        <v>3.7587392804235203E-2</v>
      </c>
      <c r="Y13" s="23">
        <v>4.74515729542948E-2</v>
      </c>
      <c r="Z13" s="23">
        <v>5.3521637127850401E-2</v>
      </c>
      <c r="AA13" s="23">
        <v>0</v>
      </c>
      <c r="AB13" s="23"/>
      <c r="AC13" s="23">
        <v>2.96460416200942E-2</v>
      </c>
      <c r="AD13" s="23">
        <v>2.7560281643412801E-2</v>
      </c>
      <c r="AE13" s="23">
        <v>2.0016916558250102E-2</v>
      </c>
      <c r="AF13" s="23">
        <v>8.4849690685426492E-3</v>
      </c>
      <c r="AG13" s="23">
        <v>0</v>
      </c>
      <c r="AH13" s="23"/>
      <c r="AI13" s="23">
        <v>2.0049571712804599E-2</v>
      </c>
      <c r="AJ13" s="23">
        <v>1.2260821319914E-2</v>
      </c>
      <c r="AK13" s="23">
        <v>0</v>
      </c>
      <c r="AL13" s="23">
        <v>3.9203416284698797E-2</v>
      </c>
      <c r="AM13" s="23">
        <v>3.05879418371524E-2</v>
      </c>
      <c r="AN13" s="23">
        <v>5.0182808861078398E-2</v>
      </c>
      <c r="AO13" s="23"/>
      <c r="AP13" s="23">
        <v>1.57365387068449E-2</v>
      </c>
      <c r="AQ13" s="23">
        <v>2.5574484277978898E-2</v>
      </c>
      <c r="AR13" s="23"/>
      <c r="AS13" s="23" t="s">
        <v>88</v>
      </c>
      <c r="AT13" s="23" t="s">
        <v>88</v>
      </c>
      <c r="AU13" s="23">
        <v>2.01171481623202E-2</v>
      </c>
      <c r="AV13" s="23"/>
      <c r="AW13" s="23">
        <v>2.1846150618938999E-2</v>
      </c>
      <c r="AX13" s="23">
        <v>0</v>
      </c>
      <c r="AY13" s="23"/>
      <c r="AZ13" s="23">
        <v>1.6431384913471299E-2</v>
      </c>
      <c r="BA13" s="23">
        <v>4.17814260700764E-2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B2:BA19"/>
  <sheetViews>
    <sheetView showGridLines="0" workbookViewId="0">
      <pane xSplit="2" topLeftCell="C1" activePane="topRight" state="frozen"/>
      <selection pane="topRight" activeCell="AO10" sqref="AO1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550</v>
      </c>
      <c r="D7" s="10">
        <v>237</v>
      </c>
      <c r="E7" s="10">
        <v>313</v>
      </c>
      <c r="F7" s="10"/>
      <c r="G7" s="10" t="s">
        <v>87</v>
      </c>
      <c r="H7" s="10">
        <v>59</v>
      </c>
      <c r="I7" s="10">
        <v>242</v>
      </c>
      <c r="J7" s="10">
        <v>192</v>
      </c>
      <c r="K7" s="10">
        <v>48</v>
      </c>
      <c r="L7" s="10">
        <v>9</v>
      </c>
      <c r="M7" s="10"/>
      <c r="N7" s="10">
        <v>288</v>
      </c>
      <c r="O7" s="10">
        <v>108</v>
      </c>
      <c r="P7" s="10">
        <v>83</v>
      </c>
      <c r="Q7" s="10">
        <v>70</v>
      </c>
      <c r="R7" s="10"/>
      <c r="S7" s="10">
        <v>118</v>
      </c>
      <c r="T7" s="10">
        <v>80</v>
      </c>
      <c r="U7" s="10">
        <v>44</v>
      </c>
      <c r="V7" s="10">
        <v>45</v>
      </c>
      <c r="W7" s="10">
        <v>38</v>
      </c>
      <c r="X7" s="10">
        <v>66</v>
      </c>
      <c r="Y7" s="10">
        <v>56</v>
      </c>
      <c r="Z7" s="10">
        <v>34</v>
      </c>
      <c r="AA7" s="10">
        <v>69</v>
      </c>
      <c r="AB7" s="10"/>
      <c r="AC7" s="10">
        <v>70</v>
      </c>
      <c r="AD7" s="10">
        <v>98</v>
      </c>
      <c r="AE7" s="10">
        <v>161</v>
      </c>
      <c r="AF7" s="10">
        <v>137</v>
      </c>
      <c r="AG7" s="10">
        <v>36</v>
      </c>
      <c r="AH7" s="10"/>
      <c r="AI7" s="10">
        <v>220</v>
      </c>
      <c r="AJ7" s="10">
        <v>106</v>
      </c>
      <c r="AK7" s="10">
        <v>58</v>
      </c>
      <c r="AL7" s="10">
        <v>73</v>
      </c>
      <c r="AM7" s="10">
        <v>36</v>
      </c>
      <c r="AN7" s="10">
        <v>24</v>
      </c>
      <c r="AO7" s="10"/>
      <c r="AP7" s="10">
        <v>313</v>
      </c>
      <c r="AQ7" s="10">
        <v>237</v>
      </c>
      <c r="AR7" s="10"/>
      <c r="AS7" s="10" t="s">
        <v>87</v>
      </c>
      <c r="AT7" s="10" t="s">
        <v>87</v>
      </c>
      <c r="AU7" s="10">
        <v>550</v>
      </c>
      <c r="AV7" s="10"/>
      <c r="AW7" s="10">
        <v>382</v>
      </c>
      <c r="AX7" s="10">
        <v>132</v>
      </c>
      <c r="AY7" s="10"/>
      <c r="AZ7" s="10">
        <v>471</v>
      </c>
      <c r="BA7" s="10">
        <v>78</v>
      </c>
    </row>
    <row r="8" spans="2:53" ht="30" customHeight="1" x14ac:dyDescent="0.35">
      <c r="B8" s="11" t="s">
        <v>19</v>
      </c>
      <c r="C8" s="11">
        <v>515</v>
      </c>
      <c r="D8" s="11">
        <v>270</v>
      </c>
      <c r="E8" s="11">
        <v>245</v>
      </c>
      <c r="F8" s="11"/>
      <c r="G8" s="11" t="s">
        <v>87</v>
      </c>
      <c r="H8" s="11">
        <v>50</v>
      </c>
      <c r="I8" s="11">
        <v>226</v>
      </c>
      <c r="J8" s="11">
        <v>187</v>
      </c>
      <c r="K8" s="11">
        <v>45</v>
      </c>
      <c r="L8" s="11">
        <v>8</v>
      </c>
      <c r="M8" s="11"/>
      <c r="N8" s="11">
        <v>169</v>
      </c>
      <c r="O8" s="11">
        <v>115</v>
      </c>
      <c r="P8" s="11">
        <v>127</v>
      </c>
      <c r="Q8" s="11">
        <v>103</v>
      </c>
      <c r="R8" s="11"/>
      <c r="S8" s="11">
        <v>92</v>
      </c>
      <c r="T8" s="11">
        <v>82</v>
      </c>
      <c r="U8" s="11">
        <v>50</v>
      </c>
      <c r="V8" s="11">
        <v>55</v>
      </c>
      <c r="W8" s="11">
        <v>44</v>
      </c>
      <c r="X8" s="11">
        <v>53</v>
      </c>
      <c r="Y8" s="11">
        <v>46</v>
      </c>
      <c r="Z8" s="11">
        <v>33</v>
      </c>
      <c r="AA8" s="11">
        <v>61</v>
      </c>
      <c r="AB8" s="11"/>
      <c r="AC8" s="11">
        <v>81</v>
      </c>
      <c r="AD8" s="11">
        <v>111</v>
      </c>
      <c r="AE8" s="11">
        <v>150</v>
      </c>
      <c r="AF8" s="11">
        <v>101</v>
      </c>
      <c r="AG8" s="11">
        <v>19</v>
      </c>
      <c r="AH8" s="11"/>
      <c r="AI8" s="11">
        <v>197</v>
      </c>
      <c r="AJ8" s="11">
        <v>102</v>
      </c>
      <c r="AK8" s="11">
        <v>50</v>
      </c>
      <c r="AL8" s="11">
        <v>74</v>
      </c>
      <c r="AM8" s="11">
        <v>33</v>
      </c>
      <c r="AN8" s="11">
        <v>25</v>
      </c>
      <c r="AO8" s="11"/>
      <c r="AP8" s="11">
        <v>286</v>
      </c>
      <c r="AQ8" s="11">
        <v>229</v>
      </c>
      <c r="AR8" s="11"/>
      <c r="AS8" s="11" t="s">
        <v>87</v>
      </c>
      <c r="AT8" s="11" t="s">
        <v>87</v>
      </c>
      <c r="AU8" s="11">
        <v>515</v>
      </c>
      <c r="AV8" s="11"/>
      <c r="AW8" s="11">
        <v>374</v>
      </c>
      <c r="AX8" s="11">
        <v>101</v>
      </c>
      <c r="AY8" s="11"/>
      <c r="AZ8" s="11">
        <v>439</v>
      </c>
      <c r="BA8" s="11">
        <v>76</v>
      </c>
    </row>
    <row r="9" spans="2:53" x14ac:dyDescent="0.35">
      <c r="B9" s="15" t="s">
        <v>220</v>
      </c>
      <c r="C9" s="14">
        <v>0.235141485896916</v>
      </c>
      <c r="D9" s="14">
        <v>0.272029783707464</v>
      </c>
      <c r="E9" s="14">
        <v>0.194594294181861</v>
      </c>
      <c r="F9" s="14"/>
      <c r="G9" s="14" t="s">
        <v>88</v>
      </c>
      <c r="H9" s="14">
        <v>0.198111478116962</v>
      </c>
      <c r="I9" s="14">
        <v>0.28947029936355001</v>
      </c>
      <c r="J9" s="14">
        <v>0.19619898144975101</v>
      </c>
      <c r="K9" s="14">
        <v>0.208051845254622</v>
      </c>
      <c r="L9" s="14">
        <v>0</v>
      </c>
      <c r="M9" s="14"/>
      <c r="N9" s="14">
        <v>0.27443590251295202</v>
      </c>
      <c r="O9" s="14">
        <v>0.21078539853501299</v>
      </c>
      <c r="P9" s="14">
        <v>0.224097514370101</v>
      </c>
      <c r="Q9" s="14">
        <v>0.21329756792525001</v>
      </c>
      <c r="R9" s="14"/>
      <c r="S9" s="14">
        <v>0.30196727188940597</v>
      </c>
      <c r="T9" s="14">
        <v>0.206192907352162</v>
      </c>
      <c r="U9" s="14">
        <v>0.19151066241017001</v>
      </c>
      <c r="V9" s="14">
        <v>0.18163984485189499</v>
      </c>
      <c r="W9" s="14">
        <v>0.30815992725760399</v>
      </c>
      <c r="X9" s="14">
        <v>0.29157100597208002</v>
      </c>
      <c r="Y9" s="14">
        <v>0.17265963998755901</v>
      </c>
      <c r="Z9" s="14">
        <v>0.168337068843635</v>
      </c>
      <c r="AA9" s="14">
        <v>0.23914026426691101</v>
      </c>
      <c r="AB9" s="14"/>
      <c r="AC9" s="14">
        <v>0.19990993934873</v>
      </c>
      <c r="AD9" s="14">
        <v>0.12966809549638</v>
      </c>
      <c r="AE9" s="14">
        <v>0.236816269086154</v>
      </c>
      <c r="AF9" s="14">
        <v>0.31800529490928497</v>
      </c>
      <c r="AG9" s="14">
        <v>0.71753794257456105</v>
      </c>
      <c r="AH9" s="14"/>
      <c r="AI9" s="14">
        <v>0.27220351128685999</v>
      </c>
      <c r="AJ9" s="14">
        <v>0.24697158156124499</v>
      </c>
      <c r="AK9" s="14">
        <v>0.24148478574787</v>
      </c>
      <c r="AL9" s="14">
        <v>0.19203968944247099</v>
      </c>
      <c r="AM9" s="14">
        <v>0.13220182379815301</v>
      </c>
      <c r="AN9" s="14">
        <v>0.231159329301902</v>
      </c>
      <c r="AO9" s="14"/>
      <c r="AP9" s="14">
        <v>0.26172084342516699</v>
      </c>
      <c r="AQ9" s="14">
        <v>0.202029086984334</v>
      </c>
      <c r="AR9" s="14"/>
      <c r="AS9" s="14" t="s">
        <v>88</v>
      </c>
      <c r="AT9" s="14" t="s">
        <v>88</v>
      </c>
      <c r="AU9" s="14">
        <v>0.235141485896916</v>
      </c>
      <c r="AV9" s="14"/>
      <c r="AW9" s="14">
        <v>0.204757166020373</v>
      </c>
      <c r="AX9" s="14">
        <v>0.40009079669201397</v>
      </c>
      <c r="AY9" s="14"/>
      <c r="AZ9" s="14">
        <v>0.26326528573326602</v>
      </c>
      <c r="BA9" s="14">
        <v>7.5274939439513799E-2</v>
      </c>
    </row>
    <row r="10" spans="2:53" x14ac:dyDescent="0.35">
      <c r="B10" s="15" t="s">
        <v>221</v>
      </c>
      <c r="C10" s="14">
        <v>0.43851960493881498</v>
      </c>
      <c r="D10" s="14">
        <v>0.46549661248511998</v>
      </c>
      <c r="E10" s="14">
        <v>0.40886678922754699</v>
      </c>
      <c r="F10" s="14"/>
      <c r="G10" s="14" t="s">
        <v>88</v>
      </c>
      <c r="H10" s="14">
        <v>0.46062573140843099</v>
      </c>
      <c r="I10" s="14">
        <v>0.43818760397354001</v>
      </c>
      <c r="J10" s="14">
        <v>0.41309050111960299</v>
      </c>
      <c r="K10" s="14">
        <v>0.46044106090480702</v>
      </c>
      <c r="L10" s="14">
        <v>0.76762488057573197</v>
      </c>
      <c r="M10" s="14"/>
      <c r="N10" s="14">
        <v>0.408584641148804</v>
      </c>
      <c r="O10" s="14">
        <v>0.52071424848381598</v>
      </c>
      <c r="P10" s="14">
        <v>0.46433389536580899</v>
      </c>
      <c r="Q10" s="14">
        <v>0.35962278096990002</v>
      </c>
      <c r="R10" s="14"/>
      <c r="S10" s="14">
        <v>0.424506131547085</v>
      </c>
      <c r="T10" s="14">
        <v>0.34280831770477699</v>
      </c>
      <c r="U10" s="14">
        <v>0.36494662957041601</v>
      </c>
      <c r="V10" s="14">
        <v>0.535999181600464</v>
      </c>
      <c r="W10" s="14">
        <v>0.41238741640968302</v>
      </c>
      <c r="X10" s="14">
        <v>0.46687000881867802</v>
      </c>
      <c r="Y10" s="14">
        <v>0.40149461808990999</v>
      </c>
      <c r="Z10" s="14">
        <v>0.54299385643680798</v>
      </c>
      <c r="AA10" s="14">
        <v>0.52571192066615102</v>
      </c>
      <c r="AB10" s="14"/>
      <c r="AC10" s="14">
        <v>0.48653783153755498</v>
      </c>
      <c r="AD10" s="14">
        <v>0.46260600734047902</v>
      </c>
      <c r="AE10" s="14">
        <v>0.465231293676313</v>
      </c>
      <c r="AF10" s="14">
        <v>0.45156262890743698</v>
      </c>
      <c r="AG10" s="14">
        <v>0.13875971363095399</v>
      </c>
      <c r="AH10" s="14"/>
      <c r="AI10" s="14">
        <v>0.45675941901987099</v>
      </c>
      <c r="AJ10" s="14">
        <v>0.462592201217223</v>
      </c>
      <c r="AK10" s="14">
        <v>0.41090041327604199</v>
      </c>
      <c r="AL10" s="14">
        <v>0.409417505462146</v>
      </c>
      <c r="AM10" s="14">
        <v>0.40134079833066999</v>
      </c>
      <c r="AN10" s="14">
        <v>0.42676833783802498</v>
      </c>
      <c r="AO10" s="14"/>
      <c r="AP10" s="14">
        <v>0.44088727427566199</v>
      </c>
      <c r="AQ10" s="14">
        <v>0.43556997714997803</v>
      </c>
      <c r="AR10" s="14"/>
      <c r="AS10" s="14" t="s">
        <v>88</v>
      </c>
      <c r="AT10" s="14" t="s">
        <v>88</v>
      </c>
      <c r="AU10" s="14">
        <v>0.43851960493881498</v>
      </c>
      <c r="AV10" s="14"/>
      <c r="AW10" s="14">
        <v>0.45821796253137398</v>
      </c>
      <c r="AX10" s="14">
        <v>0.35468045098348899</v>
      </c>
      <c r="AY10" s="14"/>
      <c r="AZ10" s="14">
        <v>0.45666060204965098</v>
      </c>
      <c r="BA10" s="14">
        <v>0.32541631244262997</v>
      </c>
    </row>
    <row r="11" spans="2:53" x14ac:dyDescent="0.35">
      <c r="B11" s="15" t="s">
        <v>222</v>
      </c>
      <c r="C11" s="14">
        <v>0.19425185912326901</v>
      </c>
      <c r="D11" s="14">
        <v>0.15078107359936199</v>
      </c>
      <c r="E11" s="14">
        <v>0.24203444545171601</v>
      </c>
      <c r="F11" s="14"/>
      <c r="G11" s="14" t="s">
        <v>88</v>
      </c>
      <c r="H11" s="14">
        <v>0.171272358269836</v>
      </c>
      <c r="I11" s="14">
        <v>0.14587268655406499</v>
      </c>
      <c r="J11" s="14">
        <v>0.26546131870645601</v>
      </c>
      <c r="K11" s="14">
        <v>0.16906193493365501</v>
      </c>
      <c r="L11" s="14">
        <v>0.18404751067613001</v>
      </c>
      <c r="M11" s="14"/>
      <c r="N11" s="14">
        <v>0.21745843408247401</v>
      </c>
      <c r="O11" s="14">
        <v>0.154527051864815</v>
      </c>
      <c r="P11" s="14">
        <v>0.17282871848928999</v>
      </c>
      <c r="Q11" s="14">
        <v>0.22850280525710201</v>
      </c>
      <c r="R11" s="14"/>
      <c r="S11" s="14">
        <v>0.154724393033985</v>
      </c>
      <c r="T11" s="14">
        <v>0.32845374013817902</v>
      </c>
      <c r="U11" s="14">
        <v>0.22493280615695199</v>
      </c>
      <c r="V11" s="14">
        <v>0.121869078516643</v>
      </c>
      <c r="W11" s="14">
        <v>0.179526044139351</v>
      </c>
      <c r="X11" s="14">
        <v>0.15787990487210499</v>
      </c>
      <c r="Y11" s="14">
        <v>0.22131216035666501</v>
      </c>
      <c r="Z11" s="14">
        <v>0.18892272768670901</v>
      </c>
      <c r="AA11" s="14">
        <v>0.13881472621975299</v>
      </c>
      <c r="AB11" s="14"/>
      <c r="AC11" s="14">
        <v>0.15029003379022099</v>
      </c>
      <c r="AD11" s="14">
        <v>0.272789346902576</v>
      </c>
      <c r="AE11" s="14">
        <v>0.183710562201883</v>
      </c>
      <c r="AF11" s="14">
        <v>0.15826954648548999</v>
      </c>
      <c r="AG11" s="14">
        <v>0.11688368828387</v>
      </c>
      <c r="AH11" s="14"/>
      <c r="AI11" s="14">
        <v>0.14732897448301999</v>
      </c>
      <c r="AJ11" s="14">
        <v>0.17476665321840601</v>
      </c>
      <c r="AK11" s="14">
        <v>0.28027124761622102</v>
      </c>
      <c r="AL11" s="14">
        <v>0.19168675328086399</v>
      </c>
      <c r="AM11" s="14">
        <v>0.259332857556619</v>
      </c>
      <c r="AN11" s="14">
        <v>0.19744853693395101</v>
      </c>
      <c r="AO11" s="14"/>
      <c r="AP11" s="14">
        <v>0.18190175003036199</v>
      </c>
      <c r="AQ11" s="14">
        <v>0.209637548505098</v>
      </c>
      <c r="AR11" s="14"/>
      <c r="AS11" s="14" t="s">
        <v>88</v>
      </c>
      <c r="AT11" s="14" t="s">
        <v>88</v>
      </c>
      <c r="AU11" s="14">
        <v>0.19425185912326901</v>
      </c>
      <c r="AV11" s="14"/>
      <c r="AW11" s="14">
        <v>0.19832180416569001</v>
      </c>
      <c r="AX11" s="14">
        <v>0.157946373045731</v>
      </c>
      <c r="AY11" s="14"/>
      <c r="AZ11" s="14">
        <v>0.17222245766094199</v>
      </c>
      <c r="BA11" s="14">
        <v>0.32477292082237103</v>
      </c>
    </row>
    <row r="12" spans="2:53" x14ac:dyDescent="0.35">
      <c r="B12" s="15" t="s">
        <v>223</v>
      </c>
      <c r="C12" s="14">
        <v>3.7368550274180103E-2</v>
      </c>
      <c r="D12" s="14">
        <v>9.23579113245869E-3</v>
      </c>
      <c r="E12" s="14">
        <v>6.8291754815938494E-2</v>
      </c>
      <c r="F12" s="14"/>
      <c r="G12" s="14" t="s">
        <v>88</v>
      </c>
      <c r="H12" s="14">
        <v>0</v>
      </c>
      <c r="I12" s="14">
        <v>4.3659317523929701E-2</v>
      </c>
      <c r="J12" s="14">
        <v>4.2937883593917398E-2</v>
      </c>
      <c r="K12" s="14">
        <v>2.1855464492184801E-2</v>
      </c>
      <c r="L12" s="14">
        <v>4.8327608748138601E-2</v>
      </c>
      <c r="M12" s="14"/>
      <c r="N12" s="14">
        <v>2.49780635062085E-2</v>
      </c>
      <c r="O12" s="14">
        <v>1.6452817660483999E-2</v>
      </c>
      <c r="P12" s="14">
        <v>3.62869452061629E-2</v>
      </c>
      <c r="Q12" s="14">
        <v>8.2688981463411401E-2</v>
      </c>
      <c r="R12" s="14"/>
      <c r="S12" s="14">
        <v>5.0206624940024001E-2</v>
      </c>
      <c r="T12" s="14">
        <v>3.5811275791767898E-2</v>
      </c>
      <c r="U12" s="14">
        <v>7.5827327746127701E-2</v>
      </c>
      <c r="V12" s="14">
        <v>3.7011304297565301E-2</v>
      </c>
      <c r="W12" s="14">
        <v>0</v>
      </c>
      <c r="X12" s="14">
        <v>9.8314766979195108E-3</v>
      </c>
      <c r="Y12" s="14">
        <v>4.7451583006499799E-2</v>
      </c>
      <c r="Z12" s="14">
        <v>5.3521637127850401E-2</v>
      </c>
      <c r="AA12" s="14">
        <v>2.3504402494851799E-2</v>
      </c>
      <c r="AB12" s="14"/>
      <c r="AC12" s="14">
        <v>1.50994880952319E-2</v>
      </c>
      <c r="AD12" s="14">
        <v>3.9204900786916297E-2</v>
      </c>
      <c r="AE12" s="14">
        <v>2.7246115754973502E-2</v>
      </c>
      <c r="AF12" s="14">
        <v>1.9660644966592801E-3</v>
      </c>
      <c r="AG12" s="14">
        <v>0</v>
      </c>
      <c r="AH12" s="14"/>
      <c r="AI12" s="14">
        <v>3.86212278142017E-2</v>
      </c>
      <c r="AJ12" s="14">
        <v>3.2042469558332801E-2</v>
      </c>
      <c r="AK12" s="14">
        <v>3.0260342603952502E-2</v>
      </c>
      <c r="AL12" s="14">
        <v>7.6715761399880303E-2</v>
      </c>
      <c r="AM12" s="14">
        <v>0</v>
      </c>
      <c r="AN12" s="14">
        <v>4.8320421270761402E-2</v>
      </c>
      <c r="AO12" s="14"/>
      <c r="AP12" s="14">
        <v>3.0435748474843101E-2</v>
      </c>
      <c r="AQ12" s="14">
        <v>4.6005391797437997E-2</v>
      </c>
      <c r="AR12" s="14"/>
      <c r="AS12" s="14" t="s">
        <v>88</v>
      </c>
      <c r="AT12" s="14" t="s">
        <v>88</v>
      </c>
      <c r="AU12" s="14">
        <v>3.7368550274180103E-2</v>
      </c>
      <c r="AV12" s="14"/>
      <c r="AW12" s="14">
        <v>4.4253499209222801E-2</v>
      </c>
      <c r="AX12" s="14">
        <v>1.16155490640357E-2</v>
      </c>
      <c r="AY12" s="14"/>
      <c r="AZ12" s="14">
        <v>2.0373650931879001E-2</v>
      </c>
      <c r="BA12" s="14">
        <v>0.13648625734004999</v>
      </c>
    </row>
    <row r="13" spans="2:53" x14ac:dyDescent="0.35">
      <c r="B13" s="15" t="s">
        <v>116</v>
      </c>
      <c r="C13" s="18">
        <v>1.6617288452262301E-2</v>
      </c>
      <c r="D13" s="18">
        <v>1.0432954501920499E-2</v>
      </c>
      <c r="E13" s="18">
        <v>2.34150370391525E-2</v>
      </c>
      <c r="F13" s="18"/>
      <c r="G13" s="18" t="s">
        <v>88</v>
      </c>
      <c r="H13" s="18">
        <v>5.4188595108219502E-2</v>
      </c>
      <c r="I13" s="18">
        <v>1.1004341609636399E-2</v>
      </c>
      <c r="J13" s="18">
        <v>1.81288927724364E-2</v>
      </c>
      <c r="K13" s="18">
        <v>0</v>
      </c>
      <c r="L13" s="18">
        <v>0</v>
      </c>
      <c r="M13" s="18"/>
      <c r="N13" s="18">
        <v>3.6106871892277602E-3</v>
      </c>
      <c r="O13" s="18">
        <v>9.9442742012183002E-3</v>
      </c>
      <c r="P13" s="18">
        <v>3.2292681428600999E-2</v>
      </c>
      <c r="Q13" s="18">
        <v>2.6157748071994801E-2</v>
      </c>
      <c r="R13" s="18"/>
      <c r="S13" s="18">
        <v>0</v>
      </c>
      <c r="T13" s="18">
        <v>1.5275202257811701E-2</v>
      </c>
      <c r="U13" s="18">
        <v>3.0344505251832E-2</v>
      </c>
      <c r="V13" s="18">
        <v>2.4219894189236601E-2</v>
      </c>
      <c r="W13" s="18">
        <v>0</v>
      </c>
      <c r="X13" s="18">
        <v>2.1506501101983301E-2</v>
      </c>
      <c r="Y13" s="18">
        <v>5.9077450777102997E-2</v>
      </c>
      <c r="Z13" s="18">
        <v>0</v>
      </c>
      <c r="AA13" s="18">
        <v>1.0055810948557901E-2</v>
      </c>
      <c r="AB13" s="18"/>
      <c r="AC13" s="18">
        <v>3.4869979116971199E-2</v>
      </c>
      <c r="AD13" s="18">
        <v>9.2346393612394596E-3</v>
      </c>
      <c r="AE13" s="18">
        <v>1.7250947266020101E-2</v>
      </c>
      <c r="AF13" s="18">
        <v>0</v>
      </c>
      <c r="AG13" s="18">
        <v>0</v>
      </c>
      <c r="AH13" s="18"/>
      <c r="AI13" s="18">
        <v>1.16105893530005E-2</v>
      </c>
      <c r="AJ13" s="18">
        <v>1.2260821319914E-2</v>
      </c>
      <c r="AK13" s="18">
        <v>2.6865977894630799E-2</v>
      </c>
      <c r="AL13" s="18">
        <v>3.5993916723213698E-2</v>
      </c>
      <c r="AM13" s="18">
        <v>3.05879418371524E-2</v>
      </c>
      <c r="AN13" s="18">
        <v>0</v>
      </c>
      <c r="AO13" s="18"/>
      <c r="AP13" s="18">
        <v>2.05312558863649E-2</v>
      </c>
      <c r="AQ13" s="18">
        <v>1.17412920753329E-2</v>
      </c>
      <c r="AR13" s="18"/>
      <c r="AS13" s="18" t="s">
        <v>88</v>
      </c>
      <c r="AT13" s="18" t="s">
        <v>88</v>
      </c>
      <c r="AU13" s="18">
        <v>1.6617288452262301E-2</v>
      </c>
      <c r="AV13" s="18"/>
      <c r="AW13" s="18">
        <v>1.52431855636694E-2</v>
      </c>
      <c r="AX13" s="18">
        <v>0</v>
      </c>
      <c r="AY13" s="18"/>
      <c r="AZ13" s="18">
        <v>1.0660071540201601E-2</v>
      </c>
      <c r="BA13" s="18">
        <v>5.1410240698838199E-2</v>
      </c>
    </row>
    <row r="14" spans="2:53" x14ac:dyDescent="0.35">
      <c r="B14" s="26" t="s">
        <v>224</v>
      </c>
      <c r="C14" s="27">
        <v>0.673661090835732</v>
      </c>
      <c r="D14" s="27">
        <v>0.73752639619258398</v>
      </c>
      <c r="E14" s="27">
        <v>0.60346108340940796</v>
      </c>
      <c r="F14" s="27"/>
      <c r="G14" s="27" t="s">
        <v>88</v>
      </c>
      <c r="H14" s="27">
        <v>0.65873720952539305</v>
      </c>
      <c r="I14" s="27">
        <v>0.72765790333709002</v>
      </c>
      <c r="J14" s="27">
        <v>0.609289482569354</v>
      </c>
      <c r="K14" s="27">
        <v>0.66849290615943002</v>
      </c>
      <c r="L14" s="27">
        <v>0.76762488057573197</v>
      </c>
      <c r="M14" s="27"/>
      <c r="N14" s="27">
        <v>0.68302054366175602</v>
      </c>
      <c r="O14" s="27">
        <v>0.73149964701882897</v>
      </c>
      <c r="P14" s="27">
        <v>0.68843140973590899</v>
      </c>
      <c r="Q14" s="27">
        <v>0.57292034889514998</v>
      </c>
      <c r="R14" s="27"/>
      <c r="S14" s="27">
        <v>0.72647340343649103</v>
      </c>
      <c r="T14" s="27">
        <v>0.54900122505694005</v>
      </c>
      <c r="U14" s="27">
        <v>0.55645729198058502</v>
      </c>
      <c r="V14" s="27">
        <v>0.717639026452359</v>
      </c>
      <c r="W14" s="27">
        <v>0.72054734366728801</v>
      </c>
      <c r="X14" s="27">
        <v>0.75844101479075798</v>
      </c>
      <c r="Y14" s="27">
        <v>0.574154258077468</v>
      </c>
      <c r="Z14" s="27">
        <v>0.71133092528044295</v>
      </c>
      <c r="AA14" s="27">
        <v>0.76485218493306295</v>
      </c>
      <c r="AB14" s="27"/>
      <c r="AC14" s="27">
        <v>0.68644777088628495</v>
      </c>
      <c r="AD14" s="27">
        <v>0.592274102836859</v>
      </c>
      <c r="AE14" s="27">
        <v>0.70204756276246805</v>
      </c>
      <c r="AF14" s="27">
        <v>0.76956792381672201</v>
      </c>
      <c r="AG14" s="27">
        <v>0.85629765620551501</v>
      </c>
      <c r="AH14" s="27"/>
      <c r="AI14" s="27">
        <v>0.72896293030673198</v>
      </c>
      <c r="AJ14" s="27">
        <v>0.70956378277846799</v>
      </c>
      <c r="AK14" s="27">
        <v>0.65238519902391201</v>
      </c>
      <c r="AL14" s="27">
        <v>0.60145719490461602</v>
      </c>
      <c r="AM14" s="27">
        <v>0.53354262212882198</v>
      </c>
      <c r="AN14" s="27">
        <v>0.65792766713992701</v>
      </c>
      <c r="AO14" s="27"/>
      <c r="AP14" s="27">
        <v>0.70260811770082998</v>
      </c>
      <c r="AQ14" s="27">
        <v>0.637599064134312</v>
      </c>
      <c r="AR14" s="27"/>
      <c r="AS14" s="27" t="s">
        <v>88</v>
      </c>
      <c r="AT14" s="27" t="s">
        <v>88</v>
      </c>
      <c r="AU14" s="27">
        <v>0.673661090835732</v>
      </c>
      <c r="AV14" s="27"/>
      <c r="AW14" s="27">
        <v>0.66297512855174701</v>
      </c>
      <c r="AX14" s="27">
        <v>0.75477124767550396</v>
      </c>
      <c r="AY14" s="27"/>
      <c r="AZ14" s="27">
        <v>0.719925887782917</v>
      </c>
      <c r="BA14" s="27">
        <v>0.400691251882144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154</v>
      </c>
      <c r="C9" s="14">
        <v>0.49235580159812298</v>
      </c>
      <c r="D9" s="14">
        <v>0.50728249874902398</v>
      </c>
      <c r="E9" s="14">
        <v>0.47680880622434701</v>
      </c>
      <c r="F9" s="14"/>
      <c r="G9" s="14">
        <v>0.81714198225865298</v>
      </c>
      <c r="H9" s="14">
        <v>0.54261473827014495</v>
      </c>
      <c r="I9" s="14">
        <v>0.511842838956313</v>
      </c>
      <c r="J9" s="14">
        <v>0.46637797090838701</v>
      </c>
      <c r="K9" s="14">
        <v>0.45829697010072501</v>
      </c>
      <c r="L9" s="14">
        <v>0.57890015759304003</v>
      </c>
      <c r="M9" s="14"/>
      <c r="N9" s="14">
        <v>0.54109093594109303</v>
      </c>
      <c r="O9" s="14">
        <v>0.46390695187303599</v>
      </c>
      <c r="P9" s="14">
        <v>0.54185499490867095</v>
      </c>
      <c r="Q9" s="14">
        <v>0.41218287041450202</v>
      </c>
      <c r="R9" s="14"/>
      <c r="S9" s="14">
        <v>0.57192361971196204</v>
      </c>
      <c r="T9" s="14">
        <v>0.489071882833854</v>
      </c>
      <c r="U9" s="14">
        <v>0.34423073172180702</v>
      </c>
      <c r="V9" s="14">
        <v>0.43265392716479201</v>
      </c>
      <c r="W9" s="14">
        <v>0.50175521200442097</v>
      </c>
      <c r="X9" s="14">
        <v>0.55025373317849802</v>
      </c>
      <c r="Y9" s="14">
        <v>0.51719272981022402</v>
      </c>
      <c r="Z9" s="14">
        <v>0.57399985512778695</v>
      </c>
      <c r="AA9" s="14">
        <v>0.460143714872913</v>
      </c>
      <c r="AB9" s="14"/>
      <c r="AC9" s="14">
        <v>0.36373210175007797</v>
      </c>
      <c r="AD9" s="14">
        <v>0.53366974091858899</v>
      </c>
      <c r="AE9" s="14">
        <v>0.51892520124833796</v>
      </c>
      <c r="AF9" s="14">
        <v>0.63373717439264399</v>
      </c>
      <c r="AG9" s="14">
        <v>0.61567738374056702</v>
      </c>
      <c r="AH9" s="14"/>
      <c r="AI9" s="14">
        <v>0.51064714740981898</v>
      </c>
      <c r="AJ9" s="14">
        <v>0.514646681193351</v>
      </c>
      <c r="AK9" s="14">
        <v>0.45620712742984798</v>
      </c>
      <c r="AL9" s="14">
        <v>0.48603742647305997</v>
      </c>
      <c r="AM9" s="14">
        <v>0.62997073622797894</v>
      </c>
      <c r="AN9" s="14">
        <v>0.388572252107592</v>
      </c>
      <c r="AO9" s="14"/>
      <c r="AP9" s="14">
        <v>0.51785388642221497</v>
      </c>
      <c r="AQ9" s="14">
        <v>0.46463650355947</v>
      </c>
      <c r="AR9" s="14"/>
      <c r="AS9" s="14" t="s">
        <v>88</v>
      </c>
      <c r="AT9" s="14" t="s">
        <v>88</v>
      </c>
      <c r="AU9" s="14">
        <v>0.49235580159812298</v>
      </c>
      <c r="AV9" s="14"/>
      <c r="AW9" s="14">
        <v>0.48307645832333101</v>
      </c>
      <c r="AX9" s="14">
        <v>0.62874719239707899</v>
      </c>
      <c r="AY9" s="14"/>
      <c r="AZ9" s="14">
        <v>0.51808762791130902</v>
      </c>
      <c r="BA9" s="14">
        <v>0.40051766128633298</v>
      </c>
    </row>
    <row r="10" spans="2:53" x14ac:dyDescent="0.35">
      <c r="B10" s="15" t="s">
        <v>155</v>
      </c>
      <c r="C10" s="14">
        <v>0.228067517546715</v>
      </c>
      <c r="D10" s="14">
        <v>0.25328783561353502</v>
      </c>
      <c r="E10" s="14">
        <v>0.20343815193176101</v>
      </c>
      <c r="F10" s="14"/>
      <c r="G10" s="14">
        <v>0.182858017741347</v>
      </c>
      <c r="H10" s="14">
        <v>0.31453403659290502</v>
      </c>
      <c r="I10" s="14">
        <v>0.234542569085502</v>
      </c>
      <c r="J10" s="14">
        <v>0.191110797773518</v>
      </c>
      <c r="K10" s="14">
        <v>0.261374863810034</v>
      </c>
      <c r="L10" s="14">
        <v>0.25669282383526099</v>
      </c>
      <c r="M10" s="14"/>
      <c r="N10" s="14">
        <v>0.24555956359825201</v>
      </c>
      <c r="O10" s="14">
        <v>0.20265752368319501</v>
      </c>
      <c r="P10" s="14">
        <v>0.21128300801504399</v>
      </c>
      <c r="Q10" s="14">
        <v>0.25361429176129702</v>
      </c>
      <c r="R10" s="14"/>
      <c r="S10" s="14">
        <v>0.21224950162141601</v>
      </c>
      <c r="T10" s="14">
        <v>0.22132440767958</v>
      </c>
      <c r="U10" s="14">
        <v>0.31833020553296298</v>
      </c>
      <c r="V10" s="14">
        <v>0.25041939639690203</v>
      </c>
      <c r="W10" s="14">
        <v>0.20961376633748399</v>
      </c>
      <c r="X10" s="14">
        <v>0.15232576483514099</v>
      </c>
      <c r="Y10" s="14">
        <v>0.223356429487717</v>
      </c>
      <c r="Z10" s="14">
        <v>0.21251265279324499</v>
      </c>
      <c r="AA10" s="14">
        <v>0.25106122016990501</v>
      </c>
      <c r="AB10" s="14"/>
      <c r="AC10" s="14">
        <v>0.28048512648762702</v>
      </c>
      <c r="AD10" s="14">
        <v>0.193135961453131</v>
      </c>
      <c r="AE10" s="14">
        <v>0.22651813443041899</v>
      </c>
      <c r="AF10" s="14">
        <v>0.22231874706850099</v>
      </c>
      <c r="AG10" s="14">
        <v>0.27326499150706102</v>
      </c>
      <c r="AH10" s="14"/>
      <c r="AI10" s="14">
        <v>0.23716572640865899</v>
      </c>
      <c r="AJ10" s="14">
        <v>0.27497468368711098</v>
      </c>
      <c r="AK10" s="14">
        <v>0.16946335409303601</v>
      </c>
      <c r="AL10" s="14">
        <v>0.19675468091491499</v>
      </c>
      <c r="AM10" s="14">
        <v>0.226947605485602</v>
      </c>
      <c r="AN10" s="14">
        <v>0.25217392697367802</v>
      </c>
      <c r="AO10" s="14"/>
      <c r="AP10" s="14">
        <v>0.22690296794286</v>
      </c>
      <c r="AQ10" s="14">
        <v>0.230561336444325</v>
      </c>
      <c r="AR10" s="14"/>
      <c r="AS10" s="14" t="s">
        <v>88</v>
      </c>
      <c r="AT10" s="14" t="s">
        <v>88</v>
      </c>
      <c r="AU10" s="14">
        <v>0.228067517546715</v>
      </c>
      <c r="AV10" s="14"/>
      <c r="AW10" s="14">
        <v>0.21990519163859801</v>
      </c>
      <c r="AX10" s="14">
        <v>0.236989984260772</v>
      </c>
      <c r="AY10" s="14"/>
      <c r="AZ10" s="14">
        <v>0.24317002729620901</v>
      </c>
      <c r="BA10" s="14">
        <v>0.17568078884424901</v>
      </c>
    </row>
    <row r="11" spans="2:53" x14ac:dyDescent="0.35">
      <c r="B11" s="15" t="s">
        <v>116</v>
      </c>
      <c r="C11" s="23">
        <v>0.27957668085516202</v>
      </c>
      <c r="D11" s="23">
        <v>0.239429665637441</v>
      </c>
      <c r="E11" s="23">
        <v>0.31975304184389097</v>
      </c>
      <c r="F11" s="23"/>
      <c r="G11" s="23">
        <v>0</v>
      </c>
      <c r="H11" s="23">
        <v>0.142851225136951</v>
      </c>
      <c r="I11" s="23">
        <v>0.25361459195818498</v>
      </c>
      <c r="J11" s="23">
        <v>0.34251123131809502</v>
      </c>
      <c r="K11" s="23">
        <v>0.28032816608924099</v>
      </c>
      <c r="L11" s="23">
        <v>0.16440701857169901</v>
      </c>
      <c r="M11" s="23"/>
      <c r="N11" s="23">
        <v>0.21334950046065501</v>
      </c>
      <c r="O11" s="23">
        <v>0.333435524443769</v>
      </c>
      <c r="P11" s="23">
        <v>0.24686199707628501</v>
      </c>
      <c r="Q11" s="23">
        <v>0.33420283782420102</v>
      </c>
      <c r="R11" s="23"/>
      <c r="S11" s="23">
        <v>0.21582687866662101</v>
      </c>
      <c r="T11" s="23">
        <v>0.289603709486566</v>
      </c>
      <c r="U11" s="23">
        <v>0.33743906274523</v>
      </c>
      <c r="V11" s="23">
        <v>0.31692667643830702</v>
      </c>
      <c r="W11" s="23">
        <v>0.28863102165809401</v>
      </c>
      <c r="X11" s="23">
        <v>0.297420501986361</v>
      </c>
      <c r="Y11" s="23">
        <v>0.25945084070205898</v>
      </c>
      <c r="Z11" s="23">
        <v>0.213487492078968</v>
      </c>
      <c r="AA11" s="23">
        <v>0.28879506495718199</v>
      </c>
      <c r="AB11" s="23"/>
      <c r="AC11" s="23">
        <v>0.355782771762295</v>
      </c>
      <c r="AD11" s="23">
        <v>0.27319429762828001</v>
      </c>
      <c r="AE11" s="23">
        <v>0.25455666432124402</v>
      </c>
      <c r="AF11" s="23">
        <v>0.14394407853885499</v>
      </c>
      <c r="AG11" s="23">
        <v>0.111057624752373</v>
      </c>
      <c r="AH11" s="23"/>
      <c r="AI11" s="23">
        <v>0.252187126181522</v>
      </c>
      <c r="AJ11" s="23">
        <v>0.210378635119538</v>
      </c>
      <c r="AK11" s="23">
        <v>0.37432951847711599</v>
      </c>
      <c r="AL11" s="23">
        <v>0.31720789261202498</v>
      </c>
      <c r="AM11" s="23">
        <v>0.143081658286419</v>
      </c>
      <c r="AN11" s="23">
        <v>0.35925382091872998</v>
      </c>
      <c r="AO11" s="23"/>
      <c r="AP11" s="23">
        <v>0.25524314563492501</v>
      </c>
      <c r="AQ11" s="23">
        <v>0.30480215999620502</v>
      </c>
      <c r="AR11" s="23"/>
      <c r="AS11" s="23" t="s">
        <v>88</v>
      </c>
      <c r="AT11" s="23" t="s">
        <v>88</v>
      </c>
      <c r="AU11" s="23">
        <v>0.27957668085516202</v>
      </c>
      <c r="AV11" s="23"/>
      <c r="AW11" s="23">
        <v>0.29701835003807098</v>
      </c>
      <c r="AX11" s="23">
        <v>0.13426282334214901</v>
      </c>
      <c r="AY11" s="23"/>
      <c r="AZ11" s="23">
        <v>0.23874234479248299</v>
      </c>
      <c r="BA11" s="23">
        <v>0.42380154986941898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679</v>
      </c>
      <c r="D7" s="10">
        <v>282</v>
      </c>
      <c r="E7" s="10">
        <v>396</v>
      </c>
      <c r="F7" s="10"/>
      <c r="G7" s="10">
        <v>2</v>
      </c>
      <c r="H7" s="10">
        <v>68</v>
      </c>
      <c r="I7" s="10">
        <v>288</v>
      </c>
      <c r="J7" s="10">
        <v>237</v>
      </c>
      <c r="K7" s="10">
        <v>71</v>
      </c>
      <c r="L7" s="10">
        <v>13</v>
      </c>
      <c r="M7" s="10"/>
      <c r="N7" s="10">
        <v>329</v>
      </c>
      <c r="O7" s="10">
        <v>143</v>
      </c>
      <c r="P7" s="10">
        <v>107</v>
      </c>
      <c r="Q7" s="10">
        <v>96</v>
      </c>
      <c r="R7" s="10"/>
      <c r="S7" s="10">
        <v>145</v>
      </c>
      <c r="T7" s="10">
        <v>96</v>
      </c>
      <c r="U7" s="10">
        <v>39</v>
      </c>
      <c r="V7" s="10">
        <v>53</v>
      </c>
      <c r="W7" s="10">
        <v>56</v>
      </c>
      <c r="X7" s="10">
        <v>87</v>
      </c>
      <c r="Y7" s="10">
        <v>78</v>
      </c>
      <c r="Z7" s="10">
        <v>39</v>
      </c>
      <c r="AA7" s="10">
        <v>86</v>
      </c>
      <c r="AB7" s="10"/>
      <c r="AC7" s="10">
        <v>96</v>
      </c>
      <c r="AD7" s="10">
        <v>132</v>
      </c>
      <c r="AE7" s="10">
        <v>206</v>
      </c>
      <c r="AF7" s="10">
        <v>149</v>
      </c>
      <c r="AG7" s="10">
        <v>34</v>
      </c>
      <c r="AH7" s="10"/>
      <c r="AI7" s="10">
        <v>252</v>
      </c>
      <c r="AJ7" s="10">
        <v>127</v>
      </c>
      <c r="AK7" s="10">
        <v>65</v>
      </c>
      <c r="AL7" s="10">
        <v>100</v>
      </c>
      <c r="AM7" s="10">
        <v>44</v>
      </c>
      <c r="AN7" s="10">
        <v>37</v>
      </c>
      <c r="AO7" s="10"/>
      <c r="AP7" s="10">
        <v>375</v>
      </c>
      <c r="AQ7" s="10">
        <v>303</v>
      </c>
      <c r="AR7" s="10"/>
      <c r="AS7" s="10" t="s">
        <v>87</v>
      </c>
      <c r="AT7" s="10" t="s">
        <v>87</v>
      </c>
      <c r="AU7" s="10">
        <v>679</v>
      </c>
      <c r="AV7" s="10"/>
      <c r="AW7" s="10">
        <v>471</v>
      </c>
      <c r="AX7" s="10">
        <v>165</v>
      </c>
      <c r="AY7" s="10"/>
      <c r="AZ7" s="10">
        <v>566</v>
      </c>
      <c r="BA7" s="10">
        <v>112</v>
      </c>
    </row>
    <row r="8" spans="2:53" ht="30" customHeight="1" x14ac:dyDescent="0.35">
      <c r="B8" s="11" t="s">
        <v>19</v>
      </c>
      <c r="C8" s="11">
        <v>650</v>
      </c>
      <c r="D8" s="11">
        <v>333</v>
      </c>
      <c r="E8" s="11">
        <v>316</v>
      </c>
      <c r="F8" s="11"/>
      <c r="G8" s="11">
        <v>2</v>
      </c>
      <c r="H8" s="11">
        <v>58</v>
      </c>
      <c r="I8" s="11">
        <v>262</v>
      </c>
      <c r="J8" s="11">
        <v>236</v>
      </c>
      <c r="K8" s="11">
        <v>75</v>
      </c>
      <c r="L8" s="11">
        <v>16</v>
      </c>
      <c r="M8" s="11"/>
      <c r="N8" s="11">
        <v>198</v>
      </c>
      <c r="O8" s="11">
        <v>150</v>
      </c>
      <c r="P8" s="11">
        <v>166</v>
      </c>
      <c r="Q8" s="11">
        <v>131</v>
      </c>
      <c r="R8" s="11"/>
      <c r="S8" s="11">
        <v>115</v>
      </c>
      <c r="T8" s="11">
        <v>99</v>
      </c>
      <c r="U8" s="11">
        <v>44</v>
      </c>
      <c r="V8" s="11">
        <v>64</v>
      </c>
      <c r="W8" s="11">
        <v>64</v>
      </c>
      <c r="X8" s="11">
        <v>74</v>
      </c>
      <c r="Y8" s="11">
        <v>71</v>
      </c>
      <c r="Z8" s="11">
        <v>39</v>
      </c>
      <c r="AA8" s="11">
        <v>79</v>
      </c>
      <c r="AB8" s="11"/>
      <c r="AC8" s="11">
        <v>112</v>
      </c>
      <c r="AD8" s="11">
        <v>147</v>
      </c>
      <c r="AE8" s="11">
        <v>188</v>
      </c>
      <c r="AF8" s="11">
        <v>113</v>
      </c>
      <c r="AG8" s="11">
        <v>17</v>
      </c>
      <c r="AH8" s="11"/>
      <c r="AI8" s="11">
        <v>231</v>
      </c>
      <c r="AJ8" s="11">
        <v>121</v>
      </c>
      <c r="AK8" s="11">
        <v>56</v>
      </c>
      <c r="AL8" s="11">
        <v>106</v>
      </c>
      <c r="AM8" s="11">
        <v>41</v>
      </c>
      <c r="AN8" s="11">
        <v>38</v>
      </c>
      <c r="AO8" s="11"/>
      <c r="AP8" s="11">
        <v>364</v>
      </c>
      <c r="AQ8" s="11">
        <v>285</v>
      </c>
      <c r="AR8" s="11"/>
      <c r="AS8" s="11" t="s">
        <v>87</v>
      </c>
      <c r="AT8" s="11" t="s">
        <v>87</v>
      </c>
      <c r="AU8" s="11">
        <v>650</v>
      </c>
      <c r="AV8" s="11"/>
      <c r="AW8" s="11">
        <v>470</v>
      </c>
      <c r="AX8" s="11">
        <v>131</v>
      </c>
      <c r="AY8" s="11"/>
      <c r="AZ8" s="11">
        <v>535</v>
      </c>
      <c r="BA8" s="11">
        <v>114</v>
      </c>
    </row>
    <row r="9" spans="2:53" x14ac:dyDescent="0.35">
      <c r="B9" s="15" t="s">
        <v>214</v>
      </c>
      <c r="C9" s="14">
        <v>0.18345086902800301</v>
      </c>
      <c r="D9" s="14">
        <v>0.19628372968660401</v>
      </c>
      <c r="E9" s="14">
        <v>0.17051216041980999</v>
      </c>
      <c r="F9" s="14"/>
      <c r="G9" s="14">
        <v>0</v>
      </c>
      <c r="H9" s="14">
        <v>0.18447183204319501</v>
      </c>
      <c r="I9" s="14">
        <v>0.23055837465687901</v>
      </c>
      <c r="J9" s="14">
        <v>0.172824375890753</v>
      </c>
      <c r="K9" s="14">
        <v>8.6644142509204006E-2</v>
      </c>
      <c r="L9" s="14">
        <v>4.5541395434548299E-2</v>
      </c>
      <c r="M9" s="14"/>
      <c r="N9" s="14">
        <v>0.20279035355951899</v>
      </c>
      <c r="O9" s="14">
        <v>0.128733061470543</v>
      </c>
      <c r="P9" s="14">
        <v>0.18056158129285901</v>
      </c>
      <c r="Q9" s="14">
        <v>0.22666152591052599</v>
      </c>
      <c r="R9" s="14"/>
      <c r="S9" s="14">
        <v>0.26311917220901798</v>
      </c>
      <c r="T9" s="14">
        <v>0.15191431915911599</v>
      </c>
      <c r="U9" s="14">
        <v>0.211454011931691</v>
      </c>
      <c r="V9" s="14">
        <v>6.8980124539206197E-2</v>
      </c>
      <c r="W9" s="14">
        <v>0.20886705731062499</v>
      </c>
      <c r="X9" s="14">
        <v>0.18654763052197901</v>
      </c>
      <c r="Y9" s="14">
        <v>0.14769220911693001</v>
      </c>
      <c r="Z9" s="14">
        <v>0.28929170784744201</v>
      </c>
      <c r="AA9" s="14">
        <v>0.13911089709395999</v>
      </c>
      <c r="AB9" s="14"/>
      <c r="AC9" s="14">
        <v>0.140715643050907</v>
      </c>
      <c r="AD9" s="14">
        <v>0.139220512201432</v>
      </c>
      <c r="AE9" s="14">
        <v>0.153487431672504</v>
      </c>
      <c r="AF9" s="14">
        <v>0.29793483489403899</v>
      </c>
      <c r="AG9" s="14">
        <v>0.52601651378475001</v>
      </c>
      <c r="AH9" s="14"/>
      <c r="AI9" s="14">
        <v>0.24286821063481501</v>
      </c>
      <c r="AJ9" s="14">
        <v>0.15136850320294601</v>
      </c>
      <c r="AK9" s="14">
        <v>0.24016713920965199</v>
      </c>
      <c r="AL9" s="14">
        <v>9.72142143423603E-2</v>
      </c>
      <c r="AM9" s="14">
        <v>0.353822064959116</v>
      </c>
      <c r="AN9" s="14">
        <v>0.129416419862802</v>
      </c>
      <c r="AO9" s="14"/>
      <c r="AP9" s="14">
        <v>0.21072009766118999</v>
      </c>
      <c r="AQ9" s="14">
        <v>0.14909409225370601</v>
      </c>
      <c r="AR9" s="14"/>
      <c r="AS9" s="14" t="s">
        <v>88</v>
      </c>
      <c r="AT9" s="14" t="s">
        <v>88</v>
      </c>
      <c r="AU9" s="14">
        <v>0.18345086902800301</v>
      </c>
      <c r="AV9" s="14"/>
      <c r="AW9" s="14">
        <v>0.175627183097713</v>
      </c>
      <c r="AX9" s="14">
        <v>0.25269105802245001</v>
      </c>
      <c r="AY9" s="14"/>
      <c r="AZ9" s="14">
        <v>0.18956449192997599</v>
      </c>
      <c r="BA9" s="14">
        <v>0.15640825502841599</v>
      </c>
    </row>
    <row r="10" spans="2:53" x14ac:dyDescent="0.35">
      <c r="B10" s="15" t="s">
        <v>215</v>
      </c>
      <c r="C10" s="14">
        <v>0.534645804456227</v>
      </c>
      <c r="D10" s="14">
        <v>0.54829337600458194</v>
      </c>
      <c r="E10" s="14">
        <v>0.52196063157321404</v>
      </c>
      <c r="F10" s="14"/>
      <c r="G10" s="14">
        <v>0.53755186374684905</v>
      </c>
      <c r="H10" s="14">
        <v>0.59412466086537796</v>
      </c>
      <c r="I10" s="14">
        <v>0.49610248298587001</v>
      </c>
      <c r="J10" s="14">
        <v>0.54785112102653299</v>
      </c>
      <c r="K10" s="14">
        <v>0.52569573654867696</v>
      </c>
      <c r="L10" s="14">
        <v>0.79477377274709105</v>
      </c>
      <c r="M10" s="14"/>
      <c r="N10" s="14">
        <v>0.50025498744991703</v>
      </c>
      <c r="O10" s="14">
        <v>0.55203783951308705</v>
      </c>
      <c r="P10" s="14">
        <v>0.57766455936021799</v>
      </c>
      <c r="Q10" s="14">
        <v>0.49691228696154799</v>
      </c>
      <c r="R10" s="14"/>
      <c r="S10" s="14">
        <v>0.56864847967477905</v>
      </c>
      <c r="T10" s="14">
        <v>0.53973169183527603</v>
      </c>
      <c r="U10" s="14">
        <v>0.35367597808379903</v>
      </c>
      <c r="V10" s="14">
        <v>0.58291775632755904</v>
      </c>
      <c r="W10" s="14">
        <v>0.44374109806594902</v>
      </c>
      <c r="X10" s="14">
        <v>0.56939270954114496</v>
      </c>
      <c r="Y10" s="14">
        <v>0.53158083371987597</v>
      </c>
      <c r="Z10" s="14">
        <v>0.54084014036100403</v>
      </c>
      <c r="AA10" s="14">
        <v>0.58270552310312895</v>
      </c>
      <c r="AB10" s="14"/>
      <c r="AC10" s="14">
        <v>0.51172210966002696</v>
      </c>
      <c r="AD10" s="14">
        <v>0.58882150500619601</v>
      </c>
      <c r="AE10" s="14">
        <v>0.56494068629602101</v>
      </c>
      <c r="AF10" s="14">
        <v>0.47379292045814703</v>
      </c>
      <c r="AG10" s="14">
        <v>0.33873665906364703</v>
      </c>
      <c r="AH10" s="14"/>
      <c r="AI10" s="14">
        <v>0.465653784738566</v>
      </c>
      <c r="AJ10" s="14">
        <v>0.637562479102457</v>
      </c>
      <c r="AK10" s="14">
        <v>0.51862826683474506</v>
      </c>
      <c r="AL10" s="14">
        <v>0.57633264467619705</v>
      </c>
      <c r="AM10" s="14">
        <v>0.417680683987049</v>
      </c>
      <c r="AN10" s="14">
        <v>0.47783733825257102</v>
      </c>
      <c r="AO10" s="14"/>
      <c r="AP10" s="14">
        <v>0.54359903051237901</v>
      </c>
      <c r="AQ10" s="14">
        <v>0.52217366489683703</v>
      </c>
      <c r="AR10" s="14"/>
      <c r="AS10" s="14" t="s">
        <v>88</v>
      </c>
      <c r="AT10" s="14" t="s">
        <v>88</v>
      </c>
      <c r="AU10" s="14">
        <v>0.534645804456227</v>
      </c>
      <c r="AV10" s="14"/>
      <c r="AW10" s="14">
        <v>0.53848626435451397</v>
      </c>
      <c r="AX10" s="14">
        <v>0.52741275868715698</v>
      </c>
      <c r="AY10" s="14"/>
      <c r="AZ10" s="14">
        <v>0.54230315459420297</v>
      </c>
      <c r="BA10" s="14">
        <v>0.49430824886748498</v>
      </c>
    </row>
    <row r="11" spans="2:53" x14ac:dyDescent="0.35">
      <c r="B11" s="15" t="s">
        <v>216</v>
      </c>
      <c r="C11" s="14">
        <v>0.146564278258215</v>
      </c>
      <c r="D11" s="14">
        <v>0.13403521695321499</v>
      </c>
      <c r="E11" s="14">
        <v>0.157061846264345</v>
      </c>
      <c r="F11" s="14"/>
      <c r="G11" s="14">
        <v>0</v>
      </c>
      <c r="H11" s="14">
        <v>0.11650208600421399</v>
      </c>
      <c r="I11" s="14">
        <v>0.158718157999853</v>
      </c>
      <c r="J11" s="14">
        <v>0.12012252121781999</v>
      </c>
      <c r="K11" s="14">
        <v>0.238131214557113</v>
      </c>
      <c r="L11" s="14">
        <v>4.0102572464986302E-2</v>
      </c>
      <c r="M11" s="14"/>
      <c r="N11" s="14">
        <v>0.14050869596473001</v>
      </c>
      <c r="O11" s="14">
        <v>0.138269232377325</v>
      </c>
      <c r="P11" s="14">
        <v>0.14633609361626199</v>
      </c>
      <c r="Q11" s="14">
        <v>0.17024313649430101</v>
      </c>
      <c r="R11" s="14"/>
      <c r="S11" s="14">
        <v>8.4228969617313298E-2</v>
      </c>
      <c r="T11" s="14">
        <v>0.16650968122071599</v>
      </c>
      <c r="U11" s="14">
        <v>0.145209398216367</v>
      </c>
      <c r="V11" s="14">
        <v>0.231052967984887</v>
      </c>
      <c r="W11" s="14">
        <v>0.16980692163442301</v>
      </c>
      <c r="X11" s="14">
        <v>0.121368310655227</v>
      </c>
      <c r="Y11" s="14">
        <v>0.21496223263660699</v>
      </c>
      <c r="Z11" s="14">
        <v>4.8228838378472798E-2</v>
      </c>
      <c r="AA11" s="14">
        <v>0.13724041690504599</v>
      </c>
      <c r="AB11" s="14"/>
      <c r="AC11" s="14">
        <v>0.21654775314084801</v>
      </c>
      <c r="AD11" s="14">
        <v>0.15444135291715699</v>
      </c>
      <c r="AE11" s="14">
        <v>0.13522841157365301</v>
      </c>
      <c r="AF11" s="14">
        <v>0.114144190723154</v>
      </c>
      <c r="AG11" s="14">
        <v>5.6247486145082098E-2</v>
      </c>
      <c r="AH11" s="14"/>
      <c r="AI11" s="14">
        <v>0.18314578676585999</v>
      </c>
      <c r="AJ11" s="14">
        <v>0.120027933164669</v>
      </c>
      <c r="AK11" s="14">
        <v>9.64719837094688E-2</v>
      </c>
      <c r="AL11" s="14">
        <v>0.15296624971135001</v>
      </c>
      <c r="AM11" s="14">
        <v>8.2933304179517095E-2</v>
      </c>
      <c r="AN11" s="14">
        <v>0.11275067425850301</v>
      </c>
      <c r="AO11" s="14"/>
      <c r="AP11" s="14">
        <v>0.13610628649450601</v>
      </c>
      <c r="AQ11" s="14">
        <v>0.16023231902335899</v>
      </c>
      <c r="AR11" s="14"/>
      <c r="AS11" s="14" t="s">
        <v>88</v>
      </c>
      <c r="AT11" s="14" t="s">
        <v>88</v>
      </c>
      <c r="AU11" s="14">
        <v>0.146564278258215</v>
      </c>
      <c r="AV11" s="14"/>
      <c r="AW11" s="14">
        <v>0.13509581876297899</v>
      </c>
      <c r="AX11" s="14">
        <v>0.12879954302861801</v>
      </c>
      <c r="AY11" s="14"/>
      <c r="AZ11" s="14">
        <v>0.14735929978110601</v>
      </c>
      <c r="BA11" s="14">
        <v>0.144189138972138</v>
      </c>
    </row>
    <row r="12" spans="2:53" x14ac:dyDescent="0.35">
      <c r="B12" s="15" t="s">
        <v>217</v>
      </c>
      <c r="C12" s="14">
        <v>2.6484699617707601E-2</v>
      </c>
      <c r="D12" s="14">
        <v>1.7740400309544099E-2</v>
      </c>
      <c r="E12" s="14">
        <v>3.57807150817544E-2</v>
      </c>
      <c r="F12" s="14"/>
      <c r="G12" s="14">
        <v>0</v>
      </c>
      <c r="H12" s="14">
        <v>3.6658601341958703E-2</v>
      </c>
      <c r="I12" s="14">
        <v>2.9972067568968402E-2</v>
      </c>
      <c r="J12" s="14">
        <v>3.0583103105998401E-2</v>
      </c>
      <c r="K12" s="14">
        <v>0</v>
      </c>
      <c r="L12" s="14">
        <v>0</v>
      </c>
      <c r="M12" s="14"/>
      <c r="N12" s="14">
        <v>2.49096038896084E-2</v>
      </c>
      <c r="O12" s="14">
        <v>1.5712583277942799E-2</v>
      </c>
      <c r="P12" s="14">
        <v>3.6597752931304697E-2</v>
      </c>
      <c r="Q12" s="14">
        <v>2.92728158982902E-2</v>
      </c>
      <c r="R12" s="14"/>
      <c r="S12" s="14">
        <v>1.23041971381052E-2</v>
      </c>
      <c r="T12" s="14">
        <v>2.0564018827315102E-2</v>
      </c>
      <c r="U12" s="14">
        <v>8.6857281945303205E-2</v>
      </c>
      <c r="V12" s="14">
        <v>1.48944986256204E-2</v>
      </c>
      <c r="W12" s="14">
        <v>3.97320847519083E-2</v>
      </c>
      <c r="X12" s="14">
        <v>4.6369470952012902E-2</v>
      </c>
      <c r="Y12" s="14">
        <v>2.4556391071366101E-2</v>
      </c>
      <c r="Z12" s="14">
        <v>0</v>
      </c>
      <c r="AA12" s="14">
        <v>1.55389711588749E-2</v>
      </c>
      <c r="AB12" s="14"/>
      <c r="AC12" s="14">
        <v>1.9793681555979301E-2</v>
      </c>
      <c r="AD12" s="14">
        <v>5.0159470717912297E-2</v>
      </c>
      <c r="AE12" s="14">
        <v>1.63835690383708E-2</v>
      </c>
      <c r="AF12" s="14">
        <v>1.22706660446982E-2</v>
      </c>
      <c r="AG12" s="14">
        <v>0</v>
      </c>
      <c r="AH12" s="14"/>
      <c r="AI12" s="14">
        <v>1.5884310664190202E-2</v>
      </c>
      <c r="AJ12" s="14">
        <v>3.6820883961591201E-2</v>
      </c>
      <c r="AK12" s="14">
        <v>0</v>
      </c>
      <c r="AL12" s="14">
        <v>2.7336618855912199E-2</v>
      </c>
      <c r="AM12" s="14">
        <v>2.4665716181075301E-2</v>
      </c>
      <c r="AN12" s="14">
        <v>7.7801059563057204E-2</v>
      </c>
      <c r="AO12" s="14"/>
      <c r="AP12" s="14">
        <v>2.1759537303093299E-2</v>
      </c>
      <c r="AQ12" s="14">
        <v>3.2570125338692503E-2</v>
      </c>
      <c r="AR12" s="14"/>
      <c r="AS12" s="14" t="s">
        <v>88</v>
      </c>
      <c r="AT12" s="14" t="s">
        <v>88</v>
      </c>
      <c r="AU12" s="14">
        <v>2.6484699617707601E-2</v>
      </c>
      <c r="AV12" s="14"/>
      <c r="AW12" s="14">
        <v>2.83536774508849E-2</v>
      </c>
      <c r="AX12" s="14">
        <v>2.4490927331119499E-2</v>
      </c>
      <c r="AY12" s="14"/>
      <c r="AZ12" s="14">
        <v>2.2592856411885302E-2</v>
      </c>
      <c r="BA12" s="14">
        <v>4.5032392241280202E-2</v>
      </c>
    </row>
    <row r="13" spans="2:53" x14ac:dyDescent="0.35">
      <c r="B13" s="15" t="s">
        <v>116</v>
      </c>
      <c r="C13" s="23">
        <v>3.5779429647116702E-2</v>
      </c>
      <c r="D13" s="23">
        <v>1.2542072750861199E-2</v>
      </c>
      <c r="E13" s="23">
        <v>6.03733883768321E-2</v>
      </c>
      <c r="F13" s="23"/>
      <c r="G13" s="23">
        <v>0</v>
      </c>
      <c r="H13" s="23">
        <v>3.0022239600714502E-2</v>
      </c>
      <c r="I13" s="23">
        <v>2.12952744148448E-2</v>
      </c>
      <c r="J13" s="23">
        <v>6.2902385855338597E-2</v>
      </c>
      <c r="K13" s="23">
        <v>0</v>
      </c>
      <c r="L13" s="23">
        <v>6.6606585190569695E-2</v>
      </c>
      <c r="M13" s="23"/>
      <c r="N13" s="23">
        <v>3.23630627646629E-2</v>
      </c>
      <c r="O13" s="23">
        <v>6.7270673000162304E-2</v>
      </c>
      <c r="P13" s="23">
        <v>2.7845459530180399E-2</v>
      </c>
      <c r="Q13" s="23">
        <v>1.6046210715276302E-2</v>
      </c>
      <c r="R13" s="23"/>
      <c r="S13" s="23">
        <v>2.23914131983537E-2</v>
      </c>
      <c r="T13" s="23">
        <v>1.7500534178955401E-2</v>
      </c>
      <c r="U13" s="23">
        <v>8.2889760179789801E-2</v>
      </c>
      <c r="V13" s="23">
        <v>6.93925829092783E-2</v>
      </c>
      <c r="W13" s="23">
        <v>1.3764900952232199E-2</v>
      </c>
      <c r="X13" s="23">
        <v>2.1717071943611801E-2</v>
      </c>
      <c r="Y13" s="23">
        <v>3.2554323422171003E-2</v>
      </c>
      <c r="Z13" s="23">
        <v>8.31197459037471E-2</v>
      </c>
      <c r="AA13" s="23">
        <v>3.5156224401441498E-2</v>
      </c>
      <c r="AB13" s="23"/>
      <c r="AC13" s="23">
        <v>5.99497865176844E-2</v>
      </c>
      <c r="AD13" s="23">
        <v>1.28450488113403E-2</v>
      </c>
      <c r="AE13" s="23">
        <v>5.13279683575006E-2</v>
      </c>
      <c r="AF13" s="23">
        <v>9.3915287676599492E-3</v>
      </c>
      <c r="AG13" s="23">
        <v>0</v>
      </c>
      <c r="AH13" s="23"/>
      <c r="AI13" s="23">
        <v>2.8979470123095801E-2</v>
      </c>
      <c r="AJ13" s="23">
        <v>1.29955061696159E-2</v>
      </c>
      <c r="AK13" s="23">
        <v>1.27796242541154E-2</v>
      </c>
      <c r="AL13" s="23">
        <v>4.1266637494436001E-2</v>
      </c>
      <c r="AM13" s="23">
        <v>3.6496726607732601E-2</v>
      </c>
      <c r="AN13" s="23">
        <v>0.13722871043967499</v>
      </c>
      <c r="AO13" s="23"/>
      <c r="AP13" s="23">
        <v>3.12218524505396E-2</v>
      </c>
      <c r="AQ13" s="23">
        <v>4.1672234337099198E-2</v>
      </c>
      <c r="AR13" s="23"/>
      <c r="AS13" s="23" t="s">
        <v>88</v>
      </c>
      <c r="AT13" s="23" t="s">
        <v>88</v>
      </c>
      <c r="AU13" s="23">
        <v>3.5779429647116702E-2</v>
      </c>
      <c r="AV13" s="23"/>
      <c r="AW13" s="23">
        <v>4.3882657803136098E-2</v>
      </c>
      <c r="AX13" s="23">
        <v>5.5007462804084603E-3</v>
      </c>
      <c r="AY13" s="23"/>
      <c r="AZ13" s="23">
        <v>2.1123432095378598E-2</v>
      </c>
      <c r="BA13" s="23">
        <v>0.105031809254643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B2:BA19"/>
  <sheetViews>
    <sheetView showGridLines="0" workbookViewId="0">
      <pane xSplit="2" topLeftCell="C1" activePane="topRight" state="frozen"/>
      <selection pane="topRight" activeCell="AS12" sqref="AS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679</v>
      </c>
      <c r="D7" s="10">
        <v>282</v>
      </c>
      <c r="E7" s="10">
        <v>396</v>
      </c>
      <c r="F7" s="10"/>
      <c r="G7" s="10">
        <v>2</v>
      </c>
      <c r="H7" s="10">
        <v>68</v>
      </c>
      <c r="I7" s="10">
        <v>288</v>
      </c>
      <c r="J7" s="10">
        <v>237</v>
      </c>
      <c r="K7" s="10">
        <v>71</v>
      </c>
      <c r="L7" s="10">
        <v>13</v>
      </c>
      <c r="M7" s="10"/>
      <c r="N7" s="10">
        <v>329</v>
      </c>
      <c r="O7" s="10">
        <v>143</v>
      </c>
      <c r="P7" s="10">
        <v>107</v>
      </c>
      <c r="Q7" s="10">
        <v>96</v>
      </c>
      <c r="R7" s="10"/>
      <c r="S7" s="10">
        <v>145</v>
      </c>
      <c r="T7" s="10">
        <v>96</v>
      </c>
      <c r="U7" s="10">
        <v>39</v>
      </c>
      <c r="V7" s="10">
        <v>53</v>
      </c>
      <c r="W7" s="10">
        <v>56</v>
      </c>
      <c r="X7" s="10">
        <v>87</v>
      </c>
      <c r="Y7" s="10">
        <v>78</v>
      </c>
      <c r="Z7" s="10">
        <v>39</v>
      </c>
      <c r="AA7" s="10">
        <v>86</v>
      </c>
      <c r="AB7" s="10"/>
      <c r="AC7" s="10">
        <v>96</v>
      </c>
      <c r="AD7" s="10">
        <v>132</v>
      </c>
      <c r="AE7" s="10">
        <v>206</v>
      </c>
      <c r="AF7" s="10">
        <v>149</v>
      </c>
      <c r="AG7" s="10">
        <v>34</v>
      </c>
      <c r="AH7" s="10"/>
      <c r="AI7" s="10">
        <v>252</v>
      </c>
      <c r="AJ7" s="10">
        <v>127</v>
      </c>
      <c r="AK7" s="10">
        <v>65</v>
      </c>
      <c r="AL7" s="10">
        <v>100</v>
      </c>
      <c r="AM7" s="10">
        <v>44</v>
      </c>
      <c r="AN7" s="10">
        <v>37</v>
      </c>
      <c r="AO7" s="10"/>
      <c r="AP7" s="10">
        <v>375</v>
      </c>
      <c r="AQ7" s="10">
        <v>303</v>
      </c>
      <c r="AR7" s="10"/>
      <c r="AS7" s="10" t="s">
        <v>87</v>
      </c>
      <c r="AT7" s="10" t="s">
        <v>87</v>
      </c>
      <c r="AU7" s="10">
        <v>679</v>
      </c>
      <c r="AV7" s="10"/>
      <c r="AW7" s="10">
        <v>471</v>
      </c>
      <c r="AX7" s="10">
        <v>165</v>
      </c>
      <c r="AY7" s="10"/>
      <c r="AZ7" s="10">
        <v>566</v>
      </c>
      <c r="BA7" s="10">
        <v>112</v>
      </c>
    </row>
    <row r="8" spans="2:53" ht="30" customHeight="1" x14ac:dyDescent="0.35">
      <c r="B8" s="11" t="s">
        <v>19</v>
      </c>
      <c r="C8" s="11">
        <v>650</v>
      </c>
      <c r="D8" s="11">
        <v>333</v>
      </c>
      <c r="E8" s="11">
        <v>316</v>
      </c>
      <c r="F8" s="11"/>
      <c r="G8" s="11">
        <v>2</v>
      </c>
      <c r="H8" s="11">
        <v>58</v>
      </c>
      <c r="I8" s="11">
        <v>262</v>
      </c>
      <c r="J8" s="11">
        <v>236</v>
      </c>
      <c r="K8" s="11">
        <v>75</v>
      </c>
      <c r="L8" s="11">
        <v>16</v>
      </c>
      <c r="M8" s="11"/>
      <c r="N8" s="11">
        <v>198</v>
      </c>
      <c r="O8" s="11">
        <v>150</v>
      </c>
      <c r="P8" s="11">
        <v>166</v>
      </c>
      <c r="Q8" s="11">
        <v>131</v>
      </c>
      <c r="R8" s="11"/>
      <c r="S8" s="11">
        <v>115</v>
      </c>
      <c r="T8" s="11">
        <v>99</v>
      </c>
      <c r="U8" s="11">
        <v>44</v>
      </c>
      <c r="V8" s="11">
        <v>64</v>
      </c>
      <c r="W8" s="11">
        <v>64</v>
      </c>
      <c r="X8" s="11">
        <v>74</v>
      </c>
      <c r="Y8" s="11">
        <v>71</v>
      </c>
      <c r="Z8" s="11">
        <v>39</v>
      </c>
      <c r="AA8" s="11">
        <v>79</v>
      </c>
      <c r="AB8" s="11"/>
      <c r="AC8" s="11">
        <v>112</v>
      </c>
      <c r="AD8" s="11">
        <v>147</v>
      </c>
      <c r="AE8" s="11">
        <v>188</v>
      </c>
      <c r="AF8" s="11">
        <v>113</v>
      </c>
      <c r="AG8" s="11">
        <v>17</v>
      </c>
      <c r="AH8" s="11"/>
      <c r="AI8" s="11">
        <v>231</v>
      </c>
      <c r="AJ8" s="11">
        <v>121</v>
      </c>
      <c r="AK8" s="11">
        <v>56</v>
      </c>
      <c r="AL8" s="11">
        <v>106</v>
      </c>
      <c r="AM8" s="11">
        <v>41</v>
      </c>
      <c r="AN8" s="11">
        <v>38</v>
      </c>
      <c r="AO8" s="11"/>
      <c r="AP8" s="11">
        <v>364</v>
      </c>
      <c r="AQ8" s="11">
        <v>285</v>
      </c>
      <c r="AR8" s="11"/>
      <c r="AS8" s="11" t="s">
        <v>87</v>
      </c>
      <c r="AT8" s="11" t="s">
        <v>87</v>
      </c>
      <c r="AU8" s="11">
        <v>650</v>
      </c>
      <c r="AV8" s="11"/>
      <c r="AW8" s="11">
        <v>470</v>
      </c>
      <c r="AX8" s="11">
        <v>131</v>
      </c>
      <c r="AY8" s="11"/>
      <c r="AZ8" s="11">
        <v>535</v>
      </c>
      <c r="BA8" s="11">
        <v>114</v>
      </c>
    </row>
    <row r="9" spans="2:53" x14ac:dyDescent="0.35">
      <c r="B9" s="15" t="s">
        <v>220</v>
      </c>
      <c r="C9" s="14">
        <v>0.192412088629657</v>
      </c>
      <c r="D9" s="14">
        <v>0.21426555767902999</v>
      </c>
      <c r="E9" s="14">
        <v>0.166832616640401</v>
      </c>
      <c r="F9" s="14"/>
      <c r="G9" s="14">
        <v>0</v>
      </c>
      <c r="H9" s="14">
        <v>0.242594418291878</v>
      </c>
      <c r="I9" s="14">
        <v>0.19243914213242899</v>
      </c>
      <c r="J9" s="14">
        <v>0.17340995785622201</v>
      </c>
      <c r="K9" s="14">
        <v>0.192201355273275</v>
      </c>
      <c r="L9" s="14">
        <v>0.31782868721058699</v>
      </c>
      <c r="M9" s="14"/>
      <c r="N9" s="14">
        <v>0.23028839889223501</v>
      </c>
      <c r="O9" s="14">
        <v>0.163610269974584</v>
      </c>
      <c r="P9" s="14">
        <v>0.160537865492417</v>
      </c>
      <c r="Q9" s="14">
        <v>0.214982326778102</v>
      </c>
      <c r="R9" s="14"/>
      <c r="S9" s="14">
        <v>0.23581858113880999</v>
      </c>
      <c r="T9" s="14">
        <v>0.18757792232623899</v>
      </c>
      <c r="U9" s="14">
        <v>0.211454007884641</v>
      </c>
      <c r="V9" s="14">
        <v>0.175493790106345</v>
      </c>
      <c r="W9" s="14">
        <v>0.12739588416994099</v>
      </c>
      <c r="X9" s="14">
        <v>0.21077825719673701</v>
      </c>
      <c r="Y9" s="14">
        <v>7.6725029923102497E-2</v>
      </c>
      <c r="Z9" s="14">
        <v>0.228531044081655</v>
      </c>
      <c r="AA9" s="14">
        <v>0.260115159459124</v>
      </c>
      <c r="AB9" s="14"/>
      <c r="AC9" s="14">
        <v>0.137211336953729</v>
      </c>
      <c r="AD9" s="14">
        <v>0.13503234986086801</v>
      </c>
      <c r="AE9" s="14">
        <v>0.17807448901871001</v>
      </c>
      <c r="AF9" s="14">
        <v>0.28960568450819002</v>
      </c>
      <c r="AG9" s="14">
        <v>0.56588247984155204</v>
      </c>
      <c r="AH9" s="14"/>
      <c r="AI9" s="14">
        <v>0.22715968643776699</v>
      </c>
      <c r="AJ9" s="14">
        <v>9.7624129824537595E-2</v>
      </c>
      <c r="AK9" s="14">
        <v>0.27478980765872302</v>
      </c>
      <c r="AL9" s="14">
        <v>0.18385512878870799</v>
      </c>
      <c r="AM9" s="14">
        <v>0.25309246519601802</v>
      </c>
      <c r="AN9" s="14">
        <v>0.182089015329576</v>
      </c>
      <c r="AO9" s="14"/>
      <c r="AP9" s="14">
        <v>0.21072264679027999</v>
      </c>
      <c r="AQ9" s="14">
        <v>0.16949942465214199</v>
      </c>
      <c r="AR9" s="14"/>
      <c r="AS9" s="14" t="s">
        <v>88</v>
      </c>
      <c r="AT9" s="14" t="s">
        <v>88</v>
      </c>
      <c r="AU9" s="14">
        <v>0.192412088629657</v>
      </c>
      <c r="AV9" s="14"/>
      <c r="AW9" s="14">
        <v>0.181275790771245</v>
      </c>
      <c r="AX9" s="14">
        <v>0.282655017038203</v>
      </c>
      <c r="AY9" s="14"/>
      <c r="AZ9" s="14">
        <v>0.202637197054572</v>
      </c>
      <c r="BA9" s="14">
        <v>0.146118658738082</v>
      </c>
    </row>
    <row r="10" spans="2:53" x14ac:dyDescent="0.35">
      <c r="B10" s="15" t="s">
        <v>221</v>
      </c>
      <c r="C10" s="14">
        <v>0.53009358831380204</v>
      </c>
      <c r="D10" s="14">
        <v>0.52289762315067101</v>
      </c>
      <c r="E10" s="14">
        <v>0.53935278636092998</v>
      </c>
      <c r="F10" s="14"/>
      <c r="G10" s="14">
        <v>0</v>
      </c>
      <c r="H10" s="14">
        <v>0.44631872101211301</v>
      </c>
      <c r="I10" s="14">
        <v>0.55371789409862004</v>
      </c>
      <c r="J10" s="14">
        <v>0.55575454856728301</v>
      </c>
      <c r="K10" s="14">
        <v>0.473051425614198</v>
      </c>
      <c r="L10" s="14">
        <v>0.41435528244907999</v>
      </c>
      <c r="M10" s="14"/>
      <c r="N10" s="14">
        <v>0.50874500580667004</v>
      </c>
      <c r="O10" s="14">
        <v>0.50853294277008099</v>
      </c>
      <c r="P10" s="14">
        <v>0.55944139974149099</v>
      </c>
      <c r="Q10" s="14">
        <v>0.53448494986377504</v>
      </c>
      <c r="R10" s="14"/>
      <c r="S10" s="14">
        <v>0.59990627349902104</v>
      </c>
      <c r="T10" s="14">
        <v>0.51454438464135299</v>
      </c>
      <c r="U10" s="14">
        <v>0.41480032575472903</v>
      </c>
      <c r="V10" s="14">
        <v>0.51231997599230605</v>
      </c>
      <c r="W10" s="14">
        <v>0.54288792833770105</v>
      </c>
      <c r="X10" s="14">
        <v>0.5330479596287</v>
      </c>
      <c r="Y10" s="14">
        <v>0.58369200686510203</v>
      </c>
      <c r="Z10" s="14">
        <v>0.50701785120780496</v>
      </c>
      <c r="AA10" s="14">
        <v>0.47694861434374197</v>
      </c>
      <c r="AB10" s="14"/>
      <c r="AC10" s="14">
        <v>0.53848513972179901</v>
      </c>
      <c r="AD10" s="14">
        <v>0.58515046705045404</v>
      </c>
      <c r="AE10" s="14">
        <v>0.54707700475852095</v>
      </c>
      <c r="AF10" s="14">
        <v>0.479375523448416</v>
      </c>
      <c r="AG10" s="14">
        <v>0.39530416007388303</v>
      </c>
      <c r="AH10" s="14"/>
      <c r="AI10" s="14">
        <v>0.52353319079111904</v>
      </c>
      <c r="AJ10" s="14">
        <v>0.65505467778835103</v>
      </c>
      <c r="AK10" s="14">
        <v>0.52191257273677705</v>
      </c>
      <c r="AL10" s="14">
        <v>0.48195144625717701</v>
      </c>
      <c r="AM10" s="14">
        <v>0.32682064922055698</v>
      </c>
      <c r="AN10" s="14">
        <v>0.45536886796619402</v>
      </c>
      <c r="AO10" s="14"/>
      <c r="AP10" s="14">
        <v>0.556116195584204</v>
      </c>
      <c r="AQ10" s="14">
        <v>0.498112547590012</v>
      </c>
      <c r="AR10" s="14"/>
      <c r="AS10" s="14" t="s">
        <v>88</v>
      </c>
      <c r="AT10" s="14" t="s">
        <v>88</v>
      </c>
      <c r="AU10" s="14">
        <v>0.53009358831380204</v>
      </c>
      <c r="AV10" s="14"/>
      <c r="AW10" s="14">
        <v>0.53569102298244198</v>
      </c>
      <c r="AX10" s="14">
        <v>0.53003708180172804</v>
      </c>
      <c r="AY10" s="14"/>
      <c r="AZ10" s="14">
        <v>0.55108716182704998</v>
      </c>
      <c r="BA10" s="14">
        <v>0.42700036019642301</v>
      </c>
    </row>
    <row r="11" spans="2:53" x14ac:dyDescent="0.35">
      <c r="B11" s="15" t="s">
        <v>222</v>
      </c>
      <c r="C11" s="14">
        <v>0.166721267403134</v>
      </c>
      <c r="D11" s="14">
        <v>0.16259545456784799</v>
      </c>
      <c r="E11" s="14">
        <v>0.17159565252376999</v>
      </c>
      <c r="F11" s="14"/>
      <c r="G11" s="14">
        <v>0</v>
      </c>
      <c r="H11" s="14">
        <v>0.22893946994342701</v>
      </c>
      <c r="I11" s="14">
        <v>0.17042883773005099</v>
      </c>
      <c r="J11" s="14">
        <v>0.139464952102169</v>
      </c>
      <c r="K11" s="14">
        <v>0.17471828153409799</v>
      </c>
      <c r="L11" s="14">
        <v>0.26781603034033202</v>
      </c>
      <c r="M11" s="14"/>
      <c r="N11" s="14">
        <v>0.14423644437555999</v>
      </c>
      <c r="O11" s="14">
        <v>0.182654240223144</v>
      </c>
      <c r="P11" s="14">
        <v>0.17708785963804</v>
      </c>
      <c r="Q11" s="14">
        <v>0.174632655388057</v>
      </c>
      <c r="R11" s="14"/>
      <c r="S11" s="14">
        <v>0.105554552525394</v>
      </c>
      <c r="T11" s="14">
        <v>0.13916905132476101</v>
      </c>
      <c r="U11" s="14">
        <v>0.15544100748388801</v>
      </c>
      <c r="V11" s="14">
        <v>0.24494584172747499</v>
      </c>
      <c r="W11" s="14">
        <v>0.13096290143495701</v>
      </c>
      <c r="X11" s="14">
        <v>0.19634362891894</v>
      </c>
      <c r="Y11" s="14">
        <v>0.25687242381988901</v>
      </c>
      <c r="Z11" s="14">
        <v>0.119143988400096</v>
      </c>
      <c r="AA11" s="14">
        <v>0.17806572615313401</v>
      </c>
      <c r="AB11" s="14"/>
      <c r="AC11" s="14">
        <v>0.22564485935338</v>
      </c>
      <c r="AD11" s="14">
        <v>0.174181215442547</v>
      </c>
      <c r="AE11" s="14">
        <v>0.137639857535409</v>
      </c>
      <c r="AF11" s="14">
        <v>0.13396212323029699</v>
      </c>
      <c r="AG11" s="14">
        <v>1.8514054290770101E-2</v>
      </c>
      <c r="AH11" s="14"/>
      <c r="AI11" s="14">
        <v>0.171409779992341</v>
      </c>
      <c r="AJ11" s="14">
        <v>0.17485128897317101</v>
      </c>
      <c r="AK11" s="14">
        <v>8.4837981869902601E-2</v>
      </c>
      <c r="AL11" s="14">
        <v>0.17761182126424199</v>
      </c>
      <c r="AM11" s="14">
        <v>0.22393324602152001</v>
      </c>
      <c r="AN11" s="14">
        <v>0.178607492961778</v>
      </c>
      <c r="AO11" s="14"/>
      <c r="AP11" s="14">
        <v>0.14846874615228001</v>
      </c>
      <c r="AQ11" s="14">
        <v>0.18810662164986</v>
      </c>
      <c r="AR11" s="14"/>
      <c r="AS11" s="14" t="s">
        <v>88</v>
      </c>
      <c r="AT11" s="14" t="s">
        <v>88</v>
      </c>
      <c r="AU11" s="14">
        <v>0.166721267403134</v>
      </c>
      <c r="AV11" s="14"/>
      <c r="AW11" s="14">
        <v>0.16358415428776099</v>
      </c>
      <c r="AX11" s="14">
        <v>0.126704783267031</v>
      </c>
      <c r="AY11" s="14"/>
      <c r="AZ11" s="14">
        <v>0.15044203877383999</v>
      </c>
      <c r="BA11" s="14">
        <v>0.244824962616909</v>
      </c>
    </row>
    <row r="12" spans="2:53" x14ac:dyDescent="0.35">
      <c r="B12" s="15" t="s">
        <v>223</v>
      </c>
      <c r="C12" s="14">
        <v>3.0172096446725399E-2</v>
      </c>
      <c r="D12" s="14">
        <v>1.6668206446996001E-2</v>
      </c>
      <c r="E12" s="14">
        <v>4.4494041187680397E-2</v>
      </c>
      <c r="F12" s="14"/>
      <c r="G12" s="14">
        <v>0.53755186374684905</v>
      </c>
      <c r="H12" s="14">
        <v>2.6159916865581199E-2</v>
      </c>
      <c r="I12" s="14">
        <v>2.4845350316064701E-2</v>
      </c>
      <c r="J12" s="14">
        <v>3.8599153162166201E-2</v>
      </c>
      <c r="K12" s="14">
        <v>1.6074461587555398E-2</v>
      </c>
      <c r="L12" s="14">
        <v>0</v>
      </c>
      <c r="M12" s="14"/>
      <c r="N12" s="14">
        <v>2.4951355223791698E-2</v>
      </c>
      <c r="O12" s="14">
        <v>2.6291154507808799E-2</v>
      </c>
      <c r="P12" s="14">
        <v>4.4092862328695297E-2</v>
      </c>
      <c r="Q12" s="14">
        <v>2.5859311678861401E-2</v>
      </c>
      <c r="R12" s="14"/>
      <c r="S12" s="14">
        <v>7.5224950811576801E-3</v>
      </c>
      <c r="T12" s="14">
        <v>6.0233648233832003E-2</v>
      </c>
      <c r="U12" s="14">
        <v>3.4356242466066798E-2</v>
      </c>
      <c r="V12" s="14">
        <v>1.11369480128137E-2</v>
      </c>
      <c r="W12" s="14">
        <v>8.3277291937727593E-2</v>
      </c>
      <c r="X12" s="14">
        <v>1.15405192202661E-2</v>
      </c>
      <c r="Y12" s="14">
        <v>4.3227374999932802E-2</v>
      </c>
      <c r="Z12" s="14">
        <v>2.36678028973616E-2</v>
      </c>
      <c r="AA12" s="14">
        <v>3.8898731382452198E-3</v>
      </c>
      <c r="AB12" s="14"/>
      <c r="AC12" s="14">
        <v>3.0010259781470899E-2</v>
      </c>
      <c r="AD12" s="14">
        <v>7.1645039999146606E-2</v>
      </c>
      <c r="AE12" s="14">
        <v>2.2125729153693801E-2</v>
      </c>
      <c r="AF12" s="14">
        <v>7.6423994982208103E-3</v>
      </c>
      <c r="AG12" s="14">
        <v>0</v>
      </c>
      <c r="AH12" s="14"/>
      <c r="AI12" s="14">
        <v>1.24101272927801E-2</v>
      </c>
      <c r="AJ12" s="14">
        <v>2.4735151432968099E-2</v>
      </c>
      <c r="AK12" s="14">
        <v>3.1524067691522502E-2</v>
      </c>
      <c r="AL12" s="14">
        <v>5.0957777768596002E-2</v>
      </c>
      <c r="AM12" s="14">
        <v>4.0664429350044801E-2</v>
      </c>
      <c r="AN12" s="14">
        <v>5.2561556290291502E-2</v>
      </c>
      <c r="AO12" s="14"/>
      <c r="AP12" s="14">
        <v>2.1319042149588401E-2</v>
      </c>
      <c r="AQ12" s="14">
        <v>4.1529631323884202E-2</v>
      </c>
      <c r="AR12" s="14"/>
      <c r="AS12" s="14" t="s">
        <v>88</v>
      </c>
      <c r="AT12" s="14" t="s">
        <v>88</v>
      </c>
      <c r="AU12" s="14">
        <v>3.0172096446725399E-2</v>
      </c>
      <c r="AV12" s="14"/>
      <c r="AW12" s="14">
        <v>3.06384809556817E-2</v>
      </c>
      <c r="AX12" s="14">
        <v>9.1933749625971901E-3</v>
      </c>
      <c r="AY12" s="14"/>
      <c r="AZ12" s="14">
        <v>2.4223828966932499E-2</v>
      </c>
      <c r="BA12" s="14">
        <v>5.8424385778094702E-2</v>
      </c>
    </row>
    <row r="13" spans="2:53" x14ac:dyDescent="0.35">
      <c r="B13" s="15" t="s">
        <v>116</v>
      </c>
      <c r="C13" s="18">
        <v>2.1420156975923699E-2</v>
      </c>
      <c r="D13" s="18">
        <v>9.2977039831877908E-3</v>
      </c>
      <c r="E13" s="18">
        <v>3.4259042572947498E-2</v>
      </c>
      <c r="F13" s="18"/>
      <c r="G13" s="18">
        <v>0</v>
      </c>
      <c r="H13" s="18">
        <v>3.6244363735144398E-2</v>
      </c>
      <c r="I13" s="18">
        <v>1.43923880010763E-2</v>
      </c>
      <c r="J13" s="18">
        <v>3.4054606753119297E-2</v>
      </c>
      <c r="K13" s="18">
        <v>0</v>
      </c>
      <c r="L13" s="18">
        <v>0</v>
      </c>
      <c r="M13" s="18"/>
      <c r="N13" s="18">
        <v>6.6791442916106902E-3</v>
      </c>
      <c r="O13" s="18">
        <v>3.8993489538018497E-2</v>
      </c>
      <c r="P13" s="18">
        <v>2.7845459530180399E-2</v>
      </c>
      <c r="Q13" s="18">
        <v>1.60462072260498E-2</v>
      </c>
      <c r="R13" s="18"/>
      <c r="S13" s="18">
        <v>7.5224948280199098E-3</v>
      </c>
      <c r="T13" s="18">
        <v>8.88019826017011E-3</v>
      </c>
      <c r="U13" s="18">
        <v>5.8622999605206103E-2</v>
      </c>
      <c r="V13" s="18">
        <v>4.7118686883650999E-2</v>
      </c>
      <c r="W13" s="18">
        <v>0</v>
      </c>
      <c r="X13" s="18">
        <v>1.4661471669820699E-2</v>
      </c>
      <c r="Y13" s="18">
        <v>1.44274196521077E-2</v>
      </c>
      <c r="Z13" s="18">
        <v>6.3859962149079699E-2</v>
      </c>
      <c r="AA13" s="18">
        <v>2.4765354060245801E-2</v>
      </c>
      <c r="AB13" s="18"/>
      <c r="AC13" s="18">
        <v>1.72753927795447E-2</v>
      </c>
      <c r="AD13" s="18">
        <v>1.60531027516525E-2</v>
      </c>
      <c r="AE13" s="18">
        <v>3.6013435187022103E-2</v>
      </c>
      <c r="AF13" s="18">
        <v>0</v>
      </c>
      <c r="AG13" s="18">
        <v>0</v>
      </c>
      <c r="AH13" s="18"/>
      <c r="AI13" s="18">
        <v>1.0578946519619801E-2</v>
      </c>
      <c r="AJ13" s="18">
        <v>0</v>
      </c>
      <c r="AK13" s="18">
        <v>1.27796242541154E-2</v>
      </c>
      <c r="AL13" s="18">
        <v>2.91780307106741E-2</v>
      </c>
      <c r="AM13" s="18">
        <v>4.5548157479751203E-2</v>
      </c>
      <c r="AN13" s="18">
        <v>8.7764916580819502E-2</v>
      </c>
      <c r="AO13" s="18"/>
      <c r="AP13" s="18">
        <v>1.5934514099170301E-2</v>
      </c>
      <c r="AQ13" s="18">
        <v>2.8463836654493101E-2</v>
      </c>
      <c r="AR13" s="18"/>
      <c r="AS13" s="18" t="s">
        <v>88</v>
      </c>
      <c r="AT13" s="18" t="s">
        <v>88</v>
      </c>
      <c r="AU13" s="18">
        <v>2.1420156975923699E-2</v>
      </c>
      <c r="AV13" s="18"/>
      <c r="AW13" s="18">
        <v>2.67480688790784E-2</v>
      </c>
      <c r="AX13" s="18">
        <v>0</v>
      </c>
      <c r="AY13" s="18"/>
      <c r="AZ13" s="18">
        <v>1.1322695998642799E-2</v>
      </c>
      <c r="BA13" s="18">
        <v>6.9102530055035402E-2</v>
      </c>
    </row>
    <row r="14" spans="2:53" x14ac:dyDescent="0.35">
      <c r="B14" s="26" t="s">
        <v>224</v>
      </c>
      <c r="C14" s="27">
        <v>0.72250567694345902</v>
      </c>
      <c r="D14" s="27">
        <v>0.737163180829701</v>
      </c>
      <c r="E14" s="27">
        <v>0.70618540300133104</v>
      </c>
      <c r="F14" s="27"/>
      <c r="G14" s="27">
        <v>0</v>
      </c>
      <c r="H14" s="27">
        <v>0.68891313930399001</v>
      </c>
      <c r="I14" s="27">
        <v>0.74615703623104901</v>
      </c>
      <c r="J14" s="27">
        <v>0.72916450642350505</v>
      </c>
      <c r="K14" s="27">
        <v>0.66525278088747297</v>
      </c>
      <c r="L14" s="27">
        <v>0.73218396965966803</v>
      </c>
      <c r="M14" s="27"/>
      <c r="N14" s="27">
        <v>0.73903340469890599</v>
      </c>
      <c r="O14" s="27">
        <v>0.67214321274466404</v>
      </c>
      <c r="P14" s="27">
        <v>0.71997926523390898</v>
      </c>
      <c r="Q14" s="27">
        <v>0.74946727664187696</v>
      </c>
      <c r="R14" s="27"/>
      <c r="S14" s="27">
        <v>0.83572485463783097</v>
      </c>
      <c r="T14" s="27">
        <v>0.70212230696759204</v>
      </c>
      <c r="U14" s="27">
        <v>0.62625433363937</v>
      </c>
      <c r="V14" s="27">
        <v>0.68781376609865097</v>
      </c>
      <c r="W14" s="27">
        <v>0.67028381250764202</v>
      </c>
      <c r="X14" s="27">
        <v>0.74382621682543704</v>
      </c>
      <c r="Y14" s="27">
        <v>0.66041703678820496</v>
      </c>
      <c r="Z14" s="27">
        <v>0.73554889528946099</v>
      </c>
      <c r="AA14" s="27">
        <v>0.73706377380286603</v>
      </c>
      <c r="AB14" s="27"/>
      <c r="AC14" s="27">
        <v>0.67569647667552801</v>
      </c>
      <c r="AD14" s="27">
        <v>0.72018281691132202</v>
      </c>
      <c r="AE14" s="27">
        <v>0.72515149377723098</v>
      </c>
      <c r="AF14" s="27">
        <v>0.76898120795660596</v>
      </c>
      <c r="AG14" s="27">
        <v>0.96118663991543496</v>
      </c>
      <c r="AH14" s="27"/>
      <c r="AI14" s="27">
        <v>0.750692877228887</v>
      </c>
      <c r="AJ14" s="27">
        <v>0.75267880761288797</v>
      </c>
      <c r="AK14" s="27">
        <v>0.79670238039550001</v>
      </c>
      <c r="AL14" s="27">
        <v>0.66580657504588503</v>
      </c>
      <c r="AM14" s="27">
        <v>0.579913114416575</v>
      </c>
      <c r="AN14" s="27">
        <v>0.63745788329577002</v>
      </c>
      <c r="AO14" s="27"/>
      <c r="AP14" s="27">
        <v>0.76683884237448396</v>
      </c>
      <c r="AQ14" s="27">
        <v>0.66761197224215296</v>
      </c>
      <c r="AR14" s="27"/>
      <c r="AS14" s="27" t="s">
        <v>88</v>
      </c>
      <c r="AT14" s="27" t="s">
        <v>88</v>
      </c>
      <c r="AU14" s="27">
        <v>0.72250567694345902</v>
      </c>
      <c r="AV14" s="27"/>
      <c r="AW14" s="27">
        <v>0.71696681375368798</v>
      </c>
      <c r="AX14" s="27">
        <v>0.81269209883993099</v>
      </c>
      <c r="AY14" s="27"/>
      <c r="AZ14" s="27">
        <v>0.75372435888162204</v>
      </c>
      <c r="BA14" s="27">
        <v>0.57311901893450501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379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679</v>
      </c>
      <c r="D7" s="10">
        <v>282</v>
      </c>
      <c r="E7" s="10">
        <v>396</v>
      </c>
      <c r="F7" s="10"/>
      <c r="G7" s="10">
        <v>2</v>
      </c>
      <c r="H7" s="10">
        <v>68</v>
      </c>
      <c r="I7" s="10">
        <v>288</v>
      </c>
      <c r="J7" s="10">
        <v>237</v>
      </c>
      <c r="K7" s="10">
        <v>71</v>
      </c>
      <c r="L7" s="10">
        <v>13</v>
      </c>
      <c r="M7" s="10"/>
      <c r="N7" s="10">
        <v>329</v>
      </c>
      <c r="O7" s="10">
        <v>143</v>
      </c>
      <c r="P7" s="10">
        <v>107</v>
      </c>
      <c r="Q7" s="10">
        <v>96</v>
      </c>
      <c r="R7" s="10"/>
      <c r="S7" s="10">
        <v>145</v>
      </c>
      <c r="T7" s="10">
        <v>96</v>
      </c>
      <c r="U7" s="10">
        <v>39</v>
      </c>
      <c r="V7" s="10">
        <v>53</v>
      </c>
      <c r="W7" s="10">
        <v>56</v>
      </c>
      <c r="X7" s="10">
        <v>87</v>
      </c>
      <c r="Y7" s="10">
        <v>78</v>
      </c>
      <c r="Z7" s="10">
        <v>39</v>
      </c>
      <c r="AA7" s="10">
        <v>86</v>
      </c>
      <c r="AB7" s="10"/>
      <c r="AC7" s="10">
        <v>96</v>
      </c>
      <c r="AD7" s="10">
        <v>132</v>
      </c>
      <c r="AE7" s="10">
        <v>206</v>
      </c>
      <c r="AF7" s="10">
        <v>149</v>
      </c>
      <c r="AG7" s="10">
        <v>34</v>
      </c>
      <c r="AH7" s="10"/>
      <c r="AI7" s="10">
        <v>252</v>
      </c>
      <c r="AJ7" s="10">
        <v>127</v>
      </c>
      <c r="AK7" s="10">
        <v>65</v>
      </c>
      <c r="AL7" s="10">
        <v>100</v>
      </c>
      <c r="AM7" s="10">
        <v>44</v>
      </c>
      <c r="AN7" s="10">
        <v>37</v>
      </c>
      <c r="AO7" s="10"/>
      <c r="AP7" s="10">
        <v>375</v>
      </c>
      <c r="AQ7" s="10">
        <v>303</v>
      </c>
      <c r="AR7" s="10"/>
      <c r="AS7" s="10" t="s">
        <v>87</v>
      </c>
      <c r="AT7" s="10" t="s">
        <v>87</v>
      </c>
      <c r="AU7" s="10">
        <v>679</v>
      </c>
      <c r="AV7" s="10"/>
      <c r="AW7" s="10">
        <v>471</v>
      </c>
      <c r="AX7" s="10">
        <v>165</v>
      </c>
      <c r="AY7" s="10"/>
      <c r="AZ7" s="10">
        <v>566</v>
      </c>
      <c r="BA7" s="10">
        <v>112</v>
      </c>
    </row>
    <row r="8" spans="2:53" ht="30" customHeight="1" x14ac:dyDescent="0.35">
      <c r="B8" s="11" t="s">
        <v>19</v>
      </c>
      <c r="C8" s="11">
        <v>650</v>
      </c>
      <c r="D8" s="11">
        <v>333</v>
      </c>
      <c r="E8" s="11">
        <v>316</v>
      </c>
      <c r="F8" s="11"/>
      <c r="G8" s="11">
        <v>2</v>
      </c>
      <c r="H8" s="11">
        <v>58</v>
      </c>
      <c r="I8" s="11">
        <v>262</v>
      </c>
      <c r="J8" s="11">
        <v>236</v>
      </c>
      <c r="K8" s="11">
        <v>75</v>
      </c>
      <c r="L8" s="11">
        <v>16</v>
      </c>
      <c r="M8" s="11"/>
      <c r="N8" s="11">
        <v>198</v>
      </c>
      <c r="O8" s="11">
        <v>150</v>
      </c>
      <c r="P8" s="11">
        <v>166</v>
      </c>
      <c r="Q8" s="11">
        <v>131</v>
      </c>
      <c r="R8" s="11"/>
      <c r="S8" s="11">
        <v>115</v>
      </c>
      <c r="T8" s="11">
        <v>99</v>
      </c>
      <c r="U8" s="11">
        <v>44</v>
      </c>
      <c r="V8" s="11">
        <v>64</v>
      </c>
      <c r="W8" s="11">
        <v>64</v>
      </c>
      <c r="X8" s="11">
        <v>74</v>
      </c>
      <c r="Y8" s="11">
        <v>71</v>
      </c>
      <c r="Z8" s="11">
        <v>39</v>
      </c>
      <c r="AA8" s="11">
        <v>79</v>
      </c>
      <c r="AB8" s="11"/>
      <c r="AC8" s="11">
        <v>112</v>
      </c>
      <c r="AD8" s="11">
        <v>147</v>
      </c>
      <c r="AE8" s="11">
        <v>188</v>
      </c>
      <c r="AF8" s="11">
        <v>113</v>
      </c>
      <c r="AG8" s="11">
        <v>17</v>
      </c>
      <c r="AH8" s="11"/>
      <c r="AI8" s="11">
        <v>231</v>
      </c>
      <c r="AJ8" s="11">
        <v>121</v>
      </c>
      <c r="AK8" s="11">
        <v>56</v>
      </c>
      <c r="AL8" s="11">
        <v>106</v>
      </c>
      <c r="AM8" s="11">
        <v>41</v>
      </c>
      <c r="AN8" s="11">
        <v>38</v>
      </c>
      <c r="AO8" s="11"/>
      <c r="AP8" s="11">
        <v>364</v>
      </c>
      <c r="AQ8" s="11">
        <v>285</v>
      </c>
      <c r="AR8" s="11"/>
      <c r="AS8" s="11" t="s">
        <v>87</v>
      </c>
      <c r="AT8" s="11" t="s">
        <v>87</v>
      </c>
      <c r="AU8" s="11">
        <v>650</v>
      </c>
      <c r="AV8" s="11"/>
      <c r="AW8" s="11">
        <v>470</v>
      </c>
      <c r="AX8" s="11">
        <v>131</v>
      </c>
      <c r="AY8" s="11"/>
      <c r="AZ8" s="11">
        <v>535</v>
      </c>
      <c r="BA8" s="11">
        <v>114</v>
      </c>
    </row>
    <row r="9" spans="2:53" x14ac:dyDescent="0.35">
      <c r="B9" s="15" t="s">
        <v>226</v>
      </c>
      <c r="C9" s="14">
        <v>0.19587075840624499</v>
      </c>
      <c r="D9" s="14">
        <v>0.20927676671735099</v>
      </c>
      <c r="E9" s="14">
        <v>0.182367555316064</v>
      </c>
      <c r="F9" s="14"/>
      <c r="G9" s="14">
        <v>0.53755186374684905</v>
      </c>
      <c r="H9" s="14">
        <v>0.19344165806115399</v>
      </c>
      <c r="I9" s="14">
        <v>0.188099056464337</v>
      </c>
      <c r="J9" s="14">
        <v>0.21520313137223901</v>
      </c>
      <c r="K9" s="14">
        <v>0.12811370052573001</v>
      </c>
      <c r="L9" s="14">
        <v>0.31339671064854302</v>
      </c>
      <c r="M9" s="14"/>
      <c r="N9" s="14">
        <v>0.252212794329989</v>
      </c>
      <c r="O9" s="14">
        <v>0.15173757713528299</v>
      </c>
      <c r="P9" s="14">
        <v>0.199649675095464</v>
      </c>
      <c r="Q9" s="14">
        <v>0.163267638997938</v>
      </c>
      <c r="R9" s="14"/>
      <c r="S9" s="14">
        <v>0.32374835257619999</v>
      </c>
      <c r="T9" s="14">
        <v>0.17955951727453501</v>
      </c>
      <c r="U9" s="14">
        <v>0.259277418947847</v>
      </c>
      <c r="V9" s="14">
        <v>0.161454774646965</v>
      </c>
      <c r="W9" s="14">
        <v>0.16217593125337801</v>
      </c>
      <c r="X9" s="14">
        <v>0.16025432045372001</v>
      </c>
      <c r="Y9" s="14">
        <v>9.6446267644232406E-2</v>
      </c>
      <c r="Z9" s="14">
        <v>0.22219889990824099</v>
      </c>
      <c r="AA9" s="14">
        <v>0.159092939056728</v>
      </c>
      <c r="AB9" s="14"/>
      <c r="AC9" s="14">
        <v>0.144619153468449</v>
      </c>
      <c r="AD9" s="14">
        <v>0.16749291653588899</v>
      </c>
      <c r="AE9" s="14">
        <v>0.16752498287745801</v>
      </c>
      <c r="AF9" s="14">
        <v>0.24008748585641199</v>
      </c>
      <c r="AG9" s="14">
        <v>0.55396530642589303</v>
      </c>
      <c r="AH9" s="14"/>
      <c r="AI9" s="14">
        <v>0.25820347158204798</v>
      </c>
      <c r="AJ9" s="14">
        <v>0.16738224230395199</v>
      </c>
      <c r="AK9" s="14">
        <v>0.274943202154452</v>
      </c>
      <c r="AL9" s="14">
        <v>0.12098807805965001</v>
      </c>
      <c r="AM9" s="14">
        <v>0.164371829670419</v>
      </c>
      <c r="AN9" s="14">
        <v>0.154410182750158</v>
      </c>
      <c r="AO9" s="14"/>
      <c r="AP9" s="14">
        <v>0.22936212365615999</v>
      </c>
      <c r="AQ9" s="14">
        <v>0.15360788982169199</v>
      </c>
      <c r="AR9" s="14"/>
      <c r="AS9" s="14" t="s">
        <v>88</v>
      </c>
      <c r="AT9" s="14" t="s">
        <v>88</v>
      </c>
      <c r="AU9" s="14">
        <v>0.19587075840624499</v>
      </c>
      <c r="AV9" s="14"/>
      <c r="AW9" s="14">
        <v>0.19095409266264199</v>
      </c>
      <c r="AX9" s="14">
        <v>0.27053608795476602</v>
      </c>
      <c r="AY9" s="14"/>
      <c r="AZ9" s="14">
        <v>0.21306278968883499</v>
      </c>
      <c r="BA9" s="14">
        <v>0.11684768720175701</v>
      </c>
    </row>
    <row r="10" spans="2:53" x14ac:dyDescent="0.35">
      <c r="B10" s="15" t="s">
        <v>227</v>
      </c>
      <c r="C10" s="14">
        <v>0.41663031436995801</v>
      </c>
      <c r="D10" s="14">
        <v>0.436645028464544</v>
      </c>
      <c r="E10" s="14">
        <v>0.39369782722526298</v>
      </c>
      <c r="F10" s="14"/>
      <c r="G10" s="14">
        <v>0</v>
      </c>
      <c r="H10" s="14">
        <v>0.54416135937674004</v>
      </c>
      <c r="I10" s="14">
        <v>0.47800746329718702</v>
      </c>
      <c r="J10" s="14">
        <v>0.349645295384444</v>
      </c>
      <c r="K10" s="14">
        <v>0.36387773587467498</v>
      </c>
      <c r="L10" s="14">
        <v>0.24419642866895899</v>
      </c>
      <c r="M10" s="14"/>
      <c r="N10" s="14">
        <v>0.38152876922440798</v>
      </c>
      <c r="O10" s="14">
        <v>0.42206908961489598</v>
      </c>
      <c r="P10" s="14">
        <v>0.44487364362689602</v>
      </c>
      <c r="Q10" s="14">
        <v>0.42113940261170302</v>
      </c>
      <c r="R10" s="14"/>
      <c r="S10" s="14">
        <v>0.43352374376138098</v>
      </c>
      <c r="T10" s="14">
        <v>0.456582591144362</v>
      </c>
      <c r="U10" s="14">
        <v>0.203916926064939</v>
      </c>
      <c r="V10" s="14">
        <v>0.37309146005802601</v>
      </c>
      <c r="W10" s="14">
        <v>0.38114491356758201</v>
      </c>
      <c r="X10" s="14">
        <v>0.43201351087763901</v>
      </c>
      <c r="Y10" s="14">
        <v>0.46643115649052003</v>
      </c>
      <c r="Z10" s="14">
        <v>0.396009942459563</v>
      </c>
      <c r="AA10" s="14">
        <v>0.47655025597141099</v>
      </c>
      <c r="AB10" s="14"/>
      <c r="AC10" s="14">
        <v>0.36291271727458901</v>
      </c>
      <c r="AD10" s="14">
        <v>0.40719251541171497</v>
      </c>
      <c r="AE10" s="14">
        <v>0.45714929712587798</v>
      </c>
      <c r="AF10" s="14">
        <v>0.503164982767078</v>
      </c>
      <c r="AG10" s="14">
        <v>0.33705889095053199</v>
      </c>
      <c r="AH10" s="14"/>
      <c r="AI10" s="14">
        <v>0.38765985148579601</v>
      </c>
      <c r="AJ10" s="14">
        <v>0.50435241932424202</v>
      </c>
      <c r="AK10" s="14">
        <v>0.40059901484105198</v>
      </c>
      <c r="AL10" s="14">
        <v>0.39365130956475503</v>
      </c>
      <c r="AM10" s="14">
        <v>0.35326462545235898</v>
      </c>
      <c r="AN10" s="14">
        <v>0.44119445066442398</v>
      </c>
      <c r="AO10" s="14"/>
      <c r="AP10" s="14">
        <v>0.42513074217812402</v>
      </c>
      <c r="AQ10" s="14">
        <v>0.40673565740151701</v>
      </c>
      <c r="AR10" s="14"/>
      <c r="AS10" s="14" t="s">
        <v>88</v>
      </c>
      <c r="AT10" s="14" t="s">
        <v>88</v>
      </c>
      <c r="AU10" s="14">
        <v>0.41663031436995801</v>
      </c>
      <c r="AV10" s="14"/>
      <c r="AW10" s="14">
        <v>0.41407410178513498</v>
      </c>
      <c r="AX10" s="14">
        <v>0.47191067243794499</v>
      </c>
      <c r="AY10" s="14"/>
      <c r="AZ10" s="14">
        <v>0.43521458994248402</v>
      </c>
      <c r="BA10" s="14">
        <v>0.32381125473187899</v>
      </c>
    </row>
    <row r="11" spans="2:53" x14ac:dyDescent="0.35">
      <c r="B11" s="15" t="s">
        <v>228</v>
      </c>
      <c r="C11" s="14">
        <v>0.22181775470742701</v>
      </c>
      <c r="D11" s="14">
        <v>0.22518628031323601</v>
      </c>
      <c r="E11" s="14">
        <v>0.21897124073302199</v>
      </c>
      <c r="F11" s="14"/>
      <c r="G11" s="14">
        <v>0</v>
      </c>
      <c r="H11" s="14">
        <v>0.156389392758886</v>
      </c>
      <c r="I11" s="14">
        <v>0.189963288341085</v>
      </c>
      <c r="J11" s="14">
        <v>0.26335852855660702</v>
      </c>
      <c r="K11" s="14">
        <v>0.212686984155184</v>
      </c>
      <c r="L11" s="14">
        <v>0.44240686068249802</v>
      </c>
      <c r="M11" s="14"/>
      <c r="N11" s="14">
        <v>0.205773955855756</v>
      </c>
      <c r="O11" s="14">
        <v>0.252789313013562</v>
      </c>
      <c r="P11" s="14">
        <v>0.17868696457911401</v>
      </c>
      <c r="Q11" s="14">
        <v>0.26613216615865098</v>
      </c>
      <c r="R11" s="14"/>
      <c r="S11" s="14">
        <v>0.180404916327737</v>
      </c>
      <c r="T11" s="14">
        <v>0.1849417946843</v>
      </c>
      <c r="U11" s="14">
        <v>0.32729053114800499</v>
      </c>
      <c r="V11" s="14">
        <v>0.234865857178468</v>
      </c>
      <c r="W11" s="14">
        <v>0.248620061757996</v>
      </c>
      <c r="X11" s="14">
        <v>0.24890136336721799</v>
      </c>
      <c r="Y11" s="14">
        <v>0.321857714998879</v>
      </c>
      <c r="Z11" s="14">
        <v>0.14884240313417699</v>
      </c>
      <c r="AA11" s="14">
        <v>0.15803212876846501</v>
      </c>
      <c r="AB11" s="14"/>
      <c r="AC11" s="14">
        <v>0.33363273245274599</v>
      </c>
      <c r="AD11" s="14">
        <v>0.22675348983318999</v>
      </c>
      <c r="AE11" s="14">
        <v>0.235633771615606</v>
      </c>
      <c r="AF11" s="14">
        <v>0.11931671567221</v>
      </c>
      <c r="AG11" s="14">
        <v>4.9914277950762503E-2</v>
      </c>
      <c r="AH11" s="14"/>
      <c r="AI11" s="14">
        <v>0.24045813024099999</v>
      </c>
      <c r="AJ11" s="14">
        <v>0.23218432792950799</v>
      </c>
      <c r="AK11" s="14">
        <v>0.11257556925100901</v>
      </c>
      <c r="AL11" s="14">
        <v>0.25446502858916997</v>
      </c>
      <c r="AM11" s="14">
        <v>0.19372758488149</v>
      </c>
      <c r="AN11" s="14">
        <v>0.15517326054175801</v>
      </c>
      <c r="AO11" s="14"/>
      <c r="AP11" s="14">
        <v>0.195527883293838</v>
      </c>
      <c r="AQ11" s="14">
        <v>0.25357700713624998</v>
      </c>
      <c r="AR11" s="14"/>
      <c r="AS11" s="14" t="s">
        <v>88</v>
      </c>
      <c r="AT11" s="14" t="s">
        <v>88</v>
      </c>
      <c r="AU11" s="14">
        <v>0.22181775470742701</v>
      </c>
      <c r="AV11" s="14"/>
      <c r="AW11" s="14">
        <v>0.234702905013246</v>
      </c>
      <c r="AX11" s="14">
        <v>0.171416033498836</v>
      </c>
      <c r="AY11" s="14"/>
      <c r="AZ11" s="14">
        <v>0.217308802505425</v>
      </c>
      <c r="BA11" s="14">
        <v>0.24508450170111801</v>
      </c>
    </row>
    <row r="12" spans="2:53" x14ac:dyDescent="0.35">
      <c r="B12" s="15" t="s">
        <v>229</v>
      </c>
      <c r="C12" s="14">
        <v>7.9352341190410805E-2</v>
      </c>
      <c r="D12" s="14">
        <v>4.6419796681522303E-2</v>
      </c>
      <c r="E12" s="14">
        <v>0.11429818063012399</v>
      </c>
      <c r="F12" s="14"/>
      <c r="G12" s="14">
        <v>0</v>
      </c>
      <c r="H12" s="14">
        <v>4.0200804707775699E-2</v>
      </c>
      <c r="I12" s="14">
        <v>8.1014271053937506E-2</v>
      </c>
      <c r="J12" s="14">
        <v>7.9579040657362404E-2</v>
      </c>
      <c r="K12" s="14">
        <v>0.1227739209253</v>
      </c>
      <c r="L12" s="14">
        <v>0</v>
      </c>
      <c r="M12" s="14"/>
      <c r="N12" s="14">
        <v>7.8387996141893096E-2</v>
      </c>
      <c r="O12" s="14">
        <v>4.5781925985726203E-2</v>
      </c>
      <c r="P12" s="14">
        <v>0.10696254127872599</v>
      </c>
      <c r="Q12" s="14">
        <v>8.0386196037081997E-2</v>
      </c>
      <c r="R12" s="14"/>
      <c r="S12" s="14">
        <v>1.29711603726384E-2</v>
      </c>
      <c r="T12" s="14">
        <v>8.9061441026886901E-2</v>
      </c>
      <c r="U12" s="14">
        <v>6.8712477233702399E-2</v>
      </c>
      <c r="V12" s="14">
        <v>0.13302883596784901</v>
      </c>
      <c r="W12" s="14">
        <v>0.10995834775409501</v>
      </c>
      <c r="X12" s="14">
        <v>9.5657209208627803E-2</v>
      </c>
      <c r="Y12" s="14">
        <v>8.00939880616275E-2</v>
      </c>
      <c r="Z12" s="14">
        <v>6.7488621991149494E-2</v>
      </c>
      <c r="AA12" s="14">
        <v>9.1554563971717906E-2</v>
      </c>
      <c r="AB12" s="14"/>
      <c r="AC12" s="14">
        <v>9.1041750531718604E-2</v>
      </c>
      <c r="AD12" s="14">
        <v>0.14422882304064</v>
      </c>
      <c r="AE12" s="14">
        <v>3.2898126090412601E-2</v>
      </c>
      <c r="AF12" s="14">
        <v>4.04402232555017E-2</v>
      </c>
      <c r="AG12" s="14">
        <v>0</v>
      </c>
      <c r="AH12" s="14"/>
      <c r="AI12" s="14">
        <v>5.5291879632888098E-2</v>
      </c>
      <c r="AJ12" s="14">
        <v>5.1254766486969E-2</v>
      </c>
      <c r="AK12" s="14">
        <v>3.48009185496767E-2</v>
      </c>
      <c r="AL12" s="14">
        <v>0.11155141182429</v>
      </c>
      <c r="AM12" s="14">
        <v>0.16799981025248201</v>
      </c>
      <c r="AN12" s="14">
        <v>0.12693366592993699</v>
      </c>
      <c r="AO12" s="14"/>
      <c r="AP12" s="14">
        <v>6.6501475963224296E-2</v>
      </c>
      <c r="AQ12" s="14">
        <v>9.5919275121912895E-2</v>
      </c>
      <c r="AR12" s="14"/>
      <c r="AS12" s="14" t="s">
        <v>88</v>
      </c>
      <c r="AT12" s="14" t="s">
        <v>88</v>
      </c>
      <c r="AU12" s="14">
        <v>7.9352341190410805E-2</v>
      </c>
      <c r="AV12" s="14"/>
      <c r="AW12" s="14">
        <v>6.9831915860892296E-2</v>
      </c>
      <c r="AX12" s="14">
        <v>3.3004799494951602E-2</v>
      </c>
      <c r="AY12" s="14"/>
      <c r="AZ12" s="14">
        <v>6.2839738682802307E-2</v>
      </c>
      <c r="BA12" s="14">
        <v>0.15774071142033799</v>
      </c>
    </row>
    <row r="13" spans="2:53" x14ac:dyDescent="0.35">
      <c r="B13" s="15" t="s">
        <v>116</v>
      </c>
      <c r="C13" s="23">
        <v>3.5979871334161702E-2</v>
      </c>
      <c r="D13" s="23">
        <v>1.9802380725815E-2</v>
      </c>
      <c r="E13" s="23">
        <v>5.31368559621661E-2</v>
      </c>
      <c r="F13" s="23"/>
      <c r="G13" s="23">
        <v>0</v>
      </c>
      <c r="H13" s="23">
        <v>5.8094869601768198E-2</v>
      </c>
      <c r="I13" s="23">
        <v>2.7013271659066699E-2</v>
      </c>
      <c r="J13" s="23">
        <v>4.0222045317314999E-2</v>
      </c>
      <c r="K13" s="23">
        <v>4.5708577126626099E-2</v>
      </c>
      <c r="L13" s="23">
        <v>0</v>
      </c>
      <c r="M13" s="23"/>
      <c r="N13" s="23">
        <v>2.79827838820891E-2</v>
      </c>
      <c r="O13" s="23">
        <v>5.34756832693975E-2</v>
      </c>
      <c r="P13" s="23">
        <v>3.5934824055675899E-2</v>
      </c>
      <c r="Q13" s="23">
        <v>2.9202412696175101E-2</v>
      </c>
      <c r="R13" s="23"/>
      <c r="S13" s="23">
        <v>1.20602640505484E-2</v>
      </c>
      <c r="T13" s="23">
        <v>3.0045051037970599E-2</v>
      </c>
      <c r="U13" s="23">
        <v>5.8622999605206103E-2</v>
      </c>
      <c r="V13" s="23">
        <v>7.9342879641642605E-2</v>
      </c>
      <c r="W13" s="23">
        <v>1.0292323328911E-2</v>
      </c>
      <c r="X13" s="23">
        <v>2.87726716550907E-2</v>
      </c>
      <c r="Y13" s="23">
        <v>2.4799146228424301E-2</v>
      </c>
      <c r="Z13" s="23">
        <v>0.10768078124286801</v>
      </c>
      <c r="AA13" s="23">
        <v>3.2534839639683302E-2</v>
      </c>
      <c r="AB13" s="23"/>
      <c r="AC13" s="23">
        <v>3.8545167724105697E-2</v>
      </c>
      <c r="AD13" s="23">
        <v>2.3238401482973899E-2</v>
      </c>
      <c r="AE13" s="23">
        <v>5.7190909147530299E-2</v>
      </c>
      <c r="AF13" s="23">
        <v>1.34072558614339E-2</v>
      </c>
      <c r="AG13" s="23">
        <v>2.9865597151427701E-2</v>
      </c>
      <c r="AH13" s="23"/>
      <c r="AI13" s="23">
        <v>1.7963088987198901E-2</v>
      </c>
      <c r="AJ13" s="23">
        <v>5.4710121675186499E-3</v>
      </c>
      <c r="AK13" s="23">
        <v>6.2994211236828801E-2</v>
      </c>
      <c r="AL13" s="23">
        <v>5.0399743264258098E-2</v>
      </c>
      <c r="AM13" s="23">
        <v>4.5548157479751203E-2</v>
      </c>
      <c r="AN13" s="23">
        <v>0.122288440113723</v>
      </c>
      <c r="AO13" s="23"/>
      <c r="AP13" s="23">
        <v>3.1294068629698399E-2</v>
      </c>
      <c r="AQ13" s="23">
        <v>4.20366393669344E-2</v>
      </c>
      <c r="AR13" s="23"/>
      <c r="AS13" s="23" t="s">
        <v>88</v>
      </c>
      <c r="AT13" s="23" t="s">
        <v>88</v>
      </c>
      <c r="AU13" s="23">
        <v>3.5979871334161702E-2</v>
      </c>
      <c r="AV13" s="23"/>
      <c r="AW13" s="23">
        <v>3.69987374193557E-2</v>
      </c>
      <c r="AX13" s="23">
        <v>1.19624778008769E-2</v>
      </c>
      <c r="AY13" s="23"/>
      <c r="AZ13" s="23">
        <v>2.2907047881475798E-2</v>
      </c>
      <c r="BA13" s="23">
        <v>9.7789270892776697E-2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679</v>
      </c>
      <c r="D7" s="10">
        <v>282</v>
      </c>
      <c r="E7" s="10">
        <v>396</v>
      </c>
      <c r="F7" s="10"/>
      <c r="G7" s="10">
        <v>2</v>
      </c>
      <c r="H7" s="10">
        <v>68</v>
      </c>
      <c r="I7" s="10">
        <v>288</v>
      </c>
      <c r="J7" s="10">
        <v>237</v>
      </c>
      <c r="K7" s="10">
        <v>71</v>
      </c>
      <c r="L7" s="10">
        <v>13</v>
      </c>
      <c r="M7" s="10"/>
      <c r="N7" s="10">
        <v>329</v>
      </c>
      <c r="O7" s="10">
        <v>143</v>
      </c>
      <c r="P7" s="10">
        <v>107</v>
      </c>
      <c r="Q7" s="10">
        <v>96</v>
      </c>
      <c r="R7" s="10"/>
      <c r="S7" s="10">
        <v>145</v>
      </c>
      <c r="T7" s="10">
        <v>96</v>
      </c>
      <c r="U7" s="10">
        <v>39</v>
      </c>
      <c r="V7" s="10">
        <v>53</v>
      </c>
      <c r="W7" s="10">
        <v>56</v>
      </c>
      <c r="X7" s="10">
        <v>87</v>
      </c>
      <c r="Y7" s="10">
        <v>78</v>
      </c>
      <c r="Z7" s="10">
        <v>39</v>
      </c>
      <c r="AA7" s="10">
        <v>86</v>
      </c>
      <c r="AB7" s="10"/>
      <c r="AC7" s="10">
        <v>96</v>
      </c>
      <c r="AD7" s="10">
        <v>132</v>
      </c>
      <c r="AE7" s="10">
        <v>206</v>
      </c>
      <c r="AF7" s="10">
        <v>149</v>
      </c>
      <c r="AG7" s="10">
        <v>34</v>
      </c>
      <c r="AH7" s="10"/>
      <c r="AI7" s="10">
        <v>252</v>
      </c>
      <c r="AJ7" s="10">
        <v>127</v>
      </c>
      <c r="AK7" s="10">
        <v>65</v>
      </c>
      <c r="AL7" s="10">
        <v>100</v>
      </c>
      <c r="AM7" s="10">
        <v>44</v>
      </c>
      <c r="AN7" s="10">
        <v>37</v>
      </c>
      <c r="AO7" s="10"/>
      <c r="AP7" s="10">
        <v>375</v>
      </c>
      <c r="AQ7" s="10">
        <v>303</v>
      </c>
      <c r="AR7" s="10"/>
      <c r="AS7" s="10" t="s">
        <v>87</v>
      </c>
      <c r="AT7" s="10" t="s">
        <v>87</v>
      </c>
      <c r="AU7" s="10">
        <v>679</v>
      </c>
      <c r="AV7" s="10"/>
      <c r="AW7" s="10">
        <v>471</v>
      </c>
      <c r="AX7" s="10">
        <v>165</v>
      </c>
      <c r="AY7" s="10"/>
      <c r="AZ7" s="10">
        <v>566</v>
      </c>
      <c r="BA7" s="10">
        <v>112</v>
      </c>
    </row>
    <row r="8" spans="2:53" ht="30" customHeight="1" x14ac:dyDescent="0.35">
      <c r="B8" s="11" t="s">
        <v>19</v>
      </c>
      <c r="C8" s="11">
        <v>650</v>
      </c>
      <c r="D8" s="11">
        <v>333</v>
      </c>
      <c r="E8" s="11">
        <v>316</v>
      </c>
      <c r="F8" s="11"/>
      <c r="G8" s="11">
        <v>2</v>
      </c>
      <c r="H8" s="11">
        <v>58</v>
      </c>
      <c r="I8" s="11">
        <v>262</v>
      </c>
      <c r="J8" s="11">
        <v>236</v>
      </c>
      <c r="K8" s="11">
        <v>75</v>
      </c>
      <c r="L8" s="11">
        <v>16</v>
      </c>
      <c r="M8" s="11"/>
      <c r="N8" s="11">
        <v>198</v>
      </c>
      <c r="O8" s="11">
        <v>150</v>
      </c>
      <c r="P8" s="11">
        <v>166</v>
      </c>
      <c r="Q8" s="11">
        <v>131</v>
      </c>
      <c r="R8" s="11"/>
      <c r="S8" s="11">
        <v>115</v>
      </c>
      <c r="T8" s="11">
        <v>99</v>
      </c>
      <c r="U8" s="11">
        <v>44</v>
      </c>
      <c r="V8" s="11">
        <v>64</v>
      </c>
      <c r="W8" s="11">
        <v>64</v>
      </c>
      <c r="X8" s="11">
        <v>74</v>
      </c>
      <c r="Y8" s="11">
        <v>71</v>
      </c>
      <c r="Z8" s="11">
        <v>39</v>
      </c>
      <c r="AA8" s="11">
        <v>79</v>
      </c>
      <c r="AB8" s="11"/>
      <c r="AC8" s="11">
        <v>112</v>
      </c>
      <c r="AD8" s="11">
        <v>147</v>
      </c>
      <c r="AE8" s="11">
        <v>188</v>
      </c>
      <c r="AF8" s="11">
        <v>113</v>
      </c>
      <c r="AG8" s="11">
        <v>17</v>
      </c>
      <c r="AH8" s="11"/>
      <c r="AI8" s="11">
        <v>231</v>
      </c>
      <c r="AJ8" s="11">
        <v>121</v>
      </c>
      <c r="AK8" s="11">
        <v>56</v>
      </c>
      <c r="AL8" s="11">
        <v>106</v>
      </c>
      <c r="AM8" s="11">
        <v>41</v>
      </c>
      <c r="AN8" s="11">
        <v>38</v>
      </c>
      <c r="AO8" s="11"/>
      <c r="AP8" s="11">
        <v>364</v>
      </c>
      <c r="AQ8" s="11">
        <v>285</v>
      </c>
      <c r="AR8" s="11"/>
      <c r="AS8" s="11" t="s">
        <v>87</v>
      </c>
      <c r="AT8" s="11" t="s">
        <v>87</v>
      </c>
      <c r="AU8" s="11">
        <v>650</v>
      </c>
      <c r="AV8" s="11"/>
      <c r="AW8" s="11">
        <v>470</v>
      </c>
      <c r="AX8" s="11">
        <v>131</v>
      </c>
      <c r="AY8" s="11"/>
      <c r="AZ8" s="11">
        <v>535</v>
      </c>
      <c r="BA8" s="11">
        <v>114</v>
      </c>
    </row>
    <row r="9" spans="2:53" ht="29" x14ac:dyDescent="0.35">
      <c r="B9" s="15" t="s">
        <v>231</v>
      </c>
      <c r="C9" s="14">
        <v>9.9308037762826804E-2</v>
      </c>
      <c r="D9" s="14">
        <v>9.7618790997848995E-2</v>
      </c>
      <c r="E9" s="14">
        <v>0.101402065226203</v>
      </c>
      <c r="F9" s="14"/>
      <c r="G9" s="14">
        <v>0</v>
      </c>
      <c r="H9" s="14">
        <v>0.18001209743211499</v>
      </c>
      <c r="I9" s="14">
        <v>0.125386617455648</v>
      </c>
      <c r="J9" s="14">
        <v>6.5388909726231001E-2</v>
      </c>
      <c r="K9" s="14">
        <v>7.6685534468223196E-2</v>
      </c>
      <c r="L9" s="14">
        <v>0</v>
      </c>
      <c r="M9" s="14"/>
      <c r="N9" s="14">
        <v>0.118427689462389</v>
      </c>
      <c r="O9" s="14">
        <v>8.1622317226767105E-2</v>
      </c>
      <c r="P9" s="14">
        <v>9.9624110147249895E-2</v>
      </c>
      <c r="Q9" s="14">
        <v>9.3639417149602E-2</v>
      </c>
      <c r="R9" s="14"/>
      <c r="S9" s="14">
        <v>0.161595988513038</v>
      </c>
      <c r="T9" s="14">
        <v>7.03777117404501E-2</v>
      </c>
      <c r="U9" s="14">
        <v>0.108695961630321</v>
      </c>
      <c r="V9" s="14">
        <v>6.7837430782424296E-2</v>
      </c>
      <c r="W9" s="14">
        <v>6.9099000814898601E-2</v>
      </c>
      <c r="X9" s="14">
        <v>8.4726650927464495E-2</v>
      </c>
      <c r="Y9" s="14">
        <v>0.10703523504406801</v>
      </c>
      <c r="Z9" s="14">
        <v>5.3142090137417497E-2</v>
      </c>
      <c r="AA9" s="14">
        <v>0.11966133801155</v>
      </c>
      <c r="AB9" s="14"/>
      <c r="AC9" s="14">
        <v>4.0278304654925497E-2</v>
      </c>
      <c r="AD9" s="14">
        <v>0.10107450324888199</v>
      </c>
      <c r="AE9" s="14">
        <v>0.108535479124323</v>
      </c>
      <c r="AF9" s="14">
        <v>0.170654173369156</v>
      </c>
      <c r="AG9" s="14">
        <v>7.6160285305346007E-2</v>
      </c>
      <c r="AH9" s="14"/>
      <c r="AI9" s="14">
        <v>0.12686913465223201</v>
      </c>
      <c r="AJ9" s="14">
        <v>5.5018835323066201E-2</v>
      </c>
      <c r="AK9" s="14">
        <v>0.153280989579542</v>
      </c>
      <c r="AL9" s="14">
        <v>5.9156776636300097E-2</v>
      </c>
      <c r="AM9" s="14">
        <v>7.4539309668654699E-2</v>
      </c>
      <c r="AN9" s="14">
        <v>0.107995269836052</v>
      </c>
      <c r="AO9" s="14"/>
      <c r="AP9" s="14">
        <v>8.7868850612178598E-2</v>
      </c>
      <c r="AQ9" s="14">
        <v>0.114120101753569</v>
      </c>
      <c r="AR9" s="14"/>
      <c r="AS9" s="14" t="s">
        <v>88</v>
      </c>
      <c r="AT9" s="14" t="s">
        <v>88</v>
      </c>
      <c r="AU9" s="14">
        <v>9.9308037762826804E-2</v>
      </c>
      <c r="AV9" s="14"/>
      <c r="AW9" s="14">
        <v>9.1494957711605998E-2</v>
      </c>
      <c r="AX9" s="14">
        <v>0.11977221387215101</v>
      </c>
      <c r="AY9" s="14"/>
      <c r="AZ9" s="14">
        <v>0.101235266764289</v>
      </c>
      <c r="BA9" s="14">
        <v>9.1169107915506198E-2</v>
      </c>
    </row>
    <row r="10" spans="2:53" ht="29" x14ac:dyDescent="0.35">
      <c r="B10" s="15" t="s">
        <v>232</v>
      </c>
      <c r="C10" s="14">
        <v>0.73567386224681097</v>
      </c>
      <c r="D10" s="14">
        <v>0.76179187775246204</v>
      </c>
      <c r="E10" s="14">
        <v>0.70732156391592604</v>
      </c>
      <c r="F10" s="14"/>
      <c r="G10" s="14">
        <v>1</v>
      </c>
      <c r="H10" s="14">
        <v>0.54291158598215095</v>
      </c>
      <c r="I10" s="14">
        <v>0.70050967655489305</v>
      </c>
      <c r="J10" s="14">
        <v>0.77630742202313996</v>
      </c>
      <c r="K10" s="14">
        <v>0.85634904506545495</v>
      </c>
      <c r="L10" s="14">
        <v>0.80919467750156804</v>
      </c>
      <c r="M10" s="14"/>
      <c r="N10" s="14">
        <v>0.74061738684163103</v>
      </c>
      <c r="O10" s="14">
        <v>0.72143654949968705</v>
      </c>
      <c r="P10" s="14">
        <v>0.71620720096403301</v>
      </c>
      <c r="Q10" s="14">
        <v>0.76052922866668604</v>
      </c>
      <c r="R10" s="14"/>
      <c r="S10" s="14">
        <v>0.66493433727282203</v>
      </c>
      <c r="T10" s="14">
        <v>0.78227890855615101</v>
      </c>
      <c r="U10" s="14">
        <v>0.68747163284967505</v>
      </c>
      <c r="V10" s="14">
        <v>0.81735452396638197</v>
      </c>
      <c r="W10" s="14">
        <v>0.80902254084987701</v>
      </c>
      <c r="X10" s="14">
        <v>0.67119927437386095</v>
      </c>
      <c r="Y10" s="14">
        <v>0.70432639139323705</v>
      </c>
      <c r="Z10" s="14">
        <v>0.76915521103985096</v>
      </c>
      <c r="AA10" s="14">
        <v>0.75330666459871998</v>
      </c>
      <c r="AB10" s="14"/>
      <c r="AC10" s="14">
        <v>0.75017482718639295</v>
      </c>
      <c r="AD10" s="14">
        <v>0.75875386721739702</v>
      </c>
      <c r="AE10" s="14">
        <v>0.73640379855981497</v>
      </c>
      <c r="AF10" s="14">
        <v>0.68515897073054499</v>
      </c>
      <c r="AG10" s="14">
        <v>0.80782774097271803</v>
      </c>
      <c r="AH10" s="14"/>
      <c r="AI10" s="14">
        <v>0.70178132137950799</v>
      </c>
      <c r="AJ10" s="14">
        <v>0.79160203948148899</v>
      </c>
      <c r="AK10" s="14">
        <v>0.77639409012111305</v>
      </c>
      <c r="AL10" s="14">
        <v>0.77123055129907203</v>
      </c>
      <c r="AM10" s="14">
        <v>0.73245632276096995</v>
      </c>
      <c r="AN10" s="14">
        <v>0.58226702266317398</v>
      </c>
      <c r="AO10" s="14"/>
      <c r="AP10" s="14">
        <v>0.75129202661587602</v>
      </c>
      <c r="AQ10" s="14">
        <v>0.71515869485723604</v>
      </c>
      <c r="AR10" s="14"/>
      <c r="AS10" s="14" t="s">
        <v>88</v>
      </c>
      <c r="AT10" s="14" t="s">
        <v>88</v>
      </c>
      <c r="AU10" s="14">
        <v>0.73567386224681097</v>
      </c>
      <c r="AV10" s="14"/>
      <c r="AW10" s="14">
        <v>0.74450293300620896</v>
      </c>
      <c r="AX10" s="14">
        <v>0.73183504560344403</v>
      </c>
      <c r="AY10" s="14"/>
      <c r="AZ10" s="14">
        <v>0.74725974804215101</v>
      </c>
      <c r="BA10" s="14">
        <v>0.67873253605238304</v>
      </c>
    </row>
    <row r="11" spans="2:53" ht="29" x14ac:dyDescent="0.35">
      <c r="B11" s="15" t="s">
        <v>233</v>
      </c>
      <c r="C11" s="14">
        <v>0.114648864894333</v>
      </c>
      <c r="D11" s="14">
        <v>0.112143319503917</v>
      </c>
      <c r="E11" s="14">
        <v>0.117651434626422</v>
      </c>
      <c r="F11" s="14"/>
      <c r="G11" s="14">
        <v>0</v>
      </c>
      <c r="H11" s="14">
        <v>0.240831952850589</v>
      </c>
      <c r="I11" s="14">
        <v>0.13448924805416301</v>
      </c>
      <c r="J11" s="14">
        <v>7.7119838449019096E-2</v>
      </c>
      <c r="K11" s="14">
        <v>6.6965420466322007E-2</v>
      </c>
      <c r="L11" s="14">
        <v>0.124198737307862</v>
      </c>
      <c r="M11" s="14"/>
      <c r="N11" s="14">
        <v>9.5977307899822006E-2</v>
      </c>
      <c r="O11" s="14">
        <v>0.12490837076190001</v>
      </c>
      <c r="P11" s="14">
        <v>0.13774454529913699</v>
      </c>
      <c r="Q11" s="14">
        <v>0.105533811041228</v>
      </c>
      <c r="R11" s="14"/>
      <c r="S11" s="14">
        <v>0.15860075609694399</v>
      </c>
      <c r="T11" s="14">
        <v>8.9538016074295096E-2</v>
      </c>
      <c r="U11" s="14">
        <v>9.1264037603212694E-2</v>
      </c>
      <c r="V11" s="14">
        <v>6.7689358533081403E-2</v>
      </c>
      <c r="W11" s="14">
        <v>9.7821234683197006E-2</v>
      </c>
      <c r="X11" s="14">
        <v>0.201380359375707</v>
      </c>
      <c r="Y11" s="14">
        <v>9.6430013936486203E-2</v>
      </c>
      <c r="Z11" s="14">
        <v>9.4582952918984706E-2</v>
      </c>
      <c r="AA11" s="14">
        <v>9.1875772988288404E-2</v>
      </c>
      <c r="AB11" s="14"/>
      <c r="AC11" s="14">
        <v>0.137268168599954</v>
      </c>
      <c r="AD11" s="14">
        <v>0.101893508318426</v>
      </c>
      <c r="AE11" s="14">
        <v>8.2026733968439403E-2</v>
      </c>
      <c r="AF11" s="14">
        <v>0.14243772663085899</v>
      </c>
      <c r="AG11" s="14">
        <v>0.116011973721936</v>
      </c>
      <c r="AH11" s="14"/>
      <c r="AI11" s="14">
        <v>0.123901278464926</v>
      </c>
      <c r="AJ11" s="14">
        <v>0.13630890058172601</v>
      </c>
      <c r="AK11" s="14">
        <v>4.6648551544181703E-2</v>
      </c>
      <c r="AL11" s="14">
        <v>0.128346034570192</v>
      </c>
      <c r="AM11" s="14">
        <v>0.10717621966218301</v>
      </c>
      <c r="AN11" s="14">
        <v>0.117058449738195</v>
      </c>
      <c r="AO11" s="14"/>
      <c r="AP11" s="14">
        <v>0.110927359029228</v>
      </c>
      <c r="AQ11" s="14">
        <v>0.119654393331695</v>
      </c>
      <c r="AR11" s="14"/>
      <c r="AS11" s="14" t="s">
        <v>88</v>
      </c>
      <c r="AT11" s="14" t="s">
        <v>88</v>
      </c>
      <c r="AU11" s="14">
        <v>0.114648864894333</v>
      </c>
      <c r="AV11" s="14"/>
      <c r="AW11" s="14">
        <v>0.108309736873615</v>
      </c>
      <c r="AX11" s="14">
        <v>0.126707692347269</v>
      </c>
      <c r="AY11" s="14"/>
      <c r="AZ11" s="14">
        <v>0.11761642206476999</v>
      </c>
      <c r="BA11" s="14">
        <v>0.101760522617419</v>
      </c>
    </row>
    <row r="12" spans="2:53" x14ac:dyDescent="0.35">
      <c r="B12" s="15" t="s">
        <v>116</v>
      </c>
      <c r="C12" s="23">
        <v>5.0369235096029599E-2</v>
      </c>
      <c r="D12" s="23">
        <v>2.8446011745771702E-2</v>
      </c>
      <c r="E12" s="23">
        <v>7.3624936231449306E-2</v>
      </c>
      <c r="F12" s="23"/>
      <c r="G12" s="23">
        <v>0</v>
      </c>
      <c r="H12" s="23">
        <v>3.6244363735144398E-2</v>
      </c>
      <c r="I12" s="23">
        <v>3.9614457935295097E-2</v>
      </c>
      <c r="J12" s="23">
        <v>8.1183829801609597E-2</v>
      </c>
      <c r="K12" s="23">
        <v>0</v>
      </c>
      <c r="L12" s="23">
        <v>6.6606585190569695E-2</v>
      </c>
      <c r="M12" s="23"/>
      <c r="N12" s="23">
        <v>4.4977615796158603E-2</v>
      </c>
      <c r="O12" s="23">
        <v>7.20327625116466E-2</v>
      </c>
      <c r="P12" s="23">
        <v>4.6424143589579997E-2</v>
      </c>
      <c r="Q12" s="23">
        <v>4.0297543142483599E-2</v>
      </c>
      <c r="R12" s="23"/>
      <c r="S12" s="23">
        <v>1.4868918117195999E-2</v>
      </c>
      <c r="T12" s="23">
        <v>5.7805363629103601E-2</v>
      </c>
      <c r="U12" s="23">
        <v>0.11256836791679101</v>
      </c>
      <c r="V12" s="23">
        <v>4.7118686718112299E-2</v>
      </c>
      <c r="W12" s="23">
        <v>2.4057223652027299E-2</v>
      </c>
      <c r="X12" s="23">
        <v>4.2693715322967202E-2</v>
      </c>
      <c r="Y12" s="23">
        <v>9.2208359626208894E-2</v>
      </c>
      <c r="Z12" s="23">
        <v>8.31197459037471E-2</v>
      </c>
      <c r="AA12" s="23">
        <v>3.5156224401441498E-2</v>
      </c>
      <c r="AB12" s="23"/>
      <c r="AC12" s="23">
        <v>7.2278699558727399E-2</v>
      </c>
      <c r="AD12" s="23">
        <v>3.82781212152946E-2</v>
      </c>
      <c r="AE12" s="23">
        <v>7.3033988347422599E-2</v>
      </c>
      <c r="AF12" s="23">
        <v>1.7491292694391499E-3</v>
      </c>
      <c r="AG12" s="23">
        <v>0</v>
      </c>
      <c r="AH12" s="23"/>
      <c r="AI12" s="23">
        <v>4.7448265503333802E-2</v>
      </c>
      <c r="AJ12" s="23">
        <v>1.7070224613719199E-2</v>
      </c>
      <c r="AK12" s="23">
        <v>2.3676368755163098E-2</v>
      </c>
      <c r="AL12" s="23">
        <v>4.1266637494436001E-2</v>
      </c>
      <c r="AM12" s="23">
        <v>8.5828147908192806E-2</v>
      </c>
      <c r="AN12" s="23">
        <v>0.19267925776257899</v>
      </c>
      <c r="AO12" s="23"/>
      <c r="AP12" s="23">
        <v>4.9911763742717198E-2</v>
      </c>
      <c r="AQ12" s="23">
        <v>5.1066810057500502E-2</v>
      </c>
      <c r="AR12" s="23"/>
      <c r="AS12" s="23" t="s">
        <v>88</v>
      </c>
      <c r="AT12" s="23" t="s">
        <v>88</v>
      </c>
      <c r="AU12" s="23">
        <v>5.0369235096029599E-2</v>
      </c>
      <c r="AV12" s="23"/>
      <c r="AW12" s="23">
        <v>5.56923724085703E-2</v>
      </c>
      <c r="AX12" s="23">
        <v>2.1685048177135499E-2</v>
      </c>
      <c r="AY12" s="23"/>
      <c r="AZ12" s="23">
        <v>3.3888563128789601E-2</v>
      </c>
      <c r="BA12" s="23">
        <v>0.12833783341469199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679</v>
      </c>
      <c r="D7" s="10">
        <v>282</v>
      </c>
      <c r="E7" s="10">
        <v>396</v>
      </c>
      <c r="F7" s="10"/>
      <c r="G7" s="10">
        <v>2</v>
      </c>
      <c r="H7" s="10">
        <v>68</v>
      </c>
      <c r="I7" s="10">
        <v>288</v>
      </c>
      <c r="J7" s="10">
        <v>237</v>
      </c>
      <c r="K7" s="10">
        <v>71</v>
      </c>
      <c r="L7" s="10">
        <v>13</v>
      </c>
      <c r="M7" s="10"/>
      <c r="N7" s="10">
        <v>329</v>
      </c>
      <c r="O7" s="10">
        <v>143</v>
      </c>
      <c r="P7" s="10">
        <v>107</v>
      </c>
      <c r="Q7" s="10">
        <v>96</v>
      </c>
      <c r="R7" s="10"/>
      <c r="S7" s="10">
        <v>145</v>
      </c>
      <c r="T7" s="10">
        <v>96</v>
      </c>
      <c r="U7" s="10">
        <v>39</v>
      </c>
      <c r="V7" s="10">
        <v>53</v>
      </c>
      <c r="W7" s="10">
        <v>56</v>
      </c>
      <c r="X7" s="10">
        <v>87</v>
      </c>
      <c r="Y7" s="10">
        <v>78</v>
      </c>
      <c r="Z7" s="10">
        <v>39</v>
      </c>
      <c r="AA7" s="10">
        <v>86</v>
      </c>
      <c r="AB7" s="10"/>
      <c r="AC7" s="10">
        <v>96</v>
      </c>
      <c r="AD7" s="10">
        <v>132</v>
      </c>
      <c r="AE7" s="10">
        <v>206</v>
      </c>
      <c r="AF7" s="10">
        <v>149</v>
      </c>
      <c r="AG7" s="10">
        <v>34</v>
      </c>
      <c r="AH7" s="10"/>
      <c r="AI7" s="10">
        <v>252</v>
      </c>
      <c r="AJ7" s="10">
        <v>127</v>
      </c>
      <c r="AK7" s="10">
        <v>65</v>
      </c>
      <c r="AL7" s="10">
        <v>100</v>
      </c>
      <c r="AM7" s="10">
        <v>44</v>
      </c>
      <c r="AN7" s="10">
        <v>37</v>
      </c>
      <c r="AO7" s="10"/>
      <c r="AP7" s="10">
        <v>375</v>
      </c>
      <c r="AQ7" s="10">
        <v>303</v>
      </c>
      <c r="AR7" s="10"/>
      <c r="AS7" s="10" t="s">
        <v>87</v>
      </c>
      <c r="AT7" s="10" t="s">
        <v>87</v>
      </c>
      <c r="AU7" s="10">
        <v>679</v>
      </c>
      <c r="AV7" s="10"/>
      <c r="AW7" s="10">
        <v>471</v>
      </c>
      <c r="AX7" s="10">
        <v>165</v>
      </c>
      <c r="AY7" s="10"/>
      <c r="AZ7" s="10">
        <v>566</v>
      </c>
      <c r="BA7" s="10">
        <v>112</v>
      </c>
    </row>
    <row r="8" spans="2:53" ht="30" customHeight="1" x14ac:dyDescent="0.35">
      <c r="B8" s="11" t="s">
        <v>19</v>
      </c>
      <c r="C8" s="11">
        <v>650</v>
      </c>
      <c r="D8" s="11">
        <v>333</v>
      </c>
      <c r="E8" s="11">
        <v>316</v>
      </c>
      <c r="F8" s="11"/>
      <c r="G8" s="11">
        <v>2</v>
      </c>
      <c r="H8" s="11">
        <v>58</v>
      </c>
      <c r="I8" s="11">
        <v>262</v>
      </c>
      <c r="J8" s="11">
        <v>236</v>
      </c>
      <c r="K8" s="11">
        <v>75</v>
      </c>
      <c r="L8" s="11">
        <v>16</v>
      </c>
      <c r="M8" s="11"/>
      <c r="N8" s="11">
        <v>198</v>
      </c>
      <c r="O8" s="11">
        <v>150</v>
      </c>
      <c r="P8" s="11">
        <v>166</v>
      </c>
      <c r="Q8" s="11">
        <v>131</v>
      </c>
      <c r="R8" s="11"/>
      <c r="S8" s="11">
        <v>115</v>
      </c>
      <c r="T8" s="11">
        <v>99</v>
      </c>
      <c r="U8" s="11">
        <v>44</v>
      </c>
      <c r="V8" s="11">
        <v>64</v>
      </c>
      <c r="W8" s="11">
        <v>64</v>
      </c>
      <c r="X8" s="11">
        <v>74</v>
      </c>
      <c r="Y8" s="11">
        <v>71</v>
      </c>
      <c r="Z8" s="11">
        <v>39</v>
      </c>
      <c r="AA8" s="11">
        <v>79</v>
      </c>
      <c r="AB8" s="11"/>
      <c r="AC8" s="11">
        <v>112</v>
      </c>
      <c r="AD8" s="11">
        <v>147</v>
      </c>
      <c r="AE8" s="11">
        <v>188</v>
      </c>
      <c r="AF8" s="11">
        <v>113</v>
      </c>
      <c r="AG8" s="11">
        <v>17</v>
      </c>
      <c r="AH8" s="11"/>
      <c r="AI8" s="11">
        <v>231</v>
      </c>
      <c r="AJ8" s="11">
        <v>121</v>
      </c>
      <c r="AK8" s="11">
        <v>56</v>
      </c>
      <c r="AL8" s="11">
        <v>106</v>
      </c>
      <c r="AM8" s="11">
        <v>41</v>
      </c>
      <c r="AN8" s="11">
        <v>38</v>
      </c>
      <c r="AO8" s="11"/>
      <c r="AP8" s="11">
        <v>364</v>
      </c>
      <c r="AQ8" s="11">
        <v>285</v>
      </c>
      <c r="AR8" s="11"/>
      <c r="AS8" s="11" t="s">
        <v>87</v>
      </c>
      <c r="AT8" s="11" t="s">
        <v>87</v>
      </c>
      <c r="AU8" s="11">
        <v>650</v>
      </c>
      <c r="AV8" s="11"/>
      <c r="AW8" s="11">
        <v>470</v>
      </c>
      <c r="AX8" s="11">
        <v>131</v>
      </c>
      <c r="AY8" s="11"/>
      <c r="AZ8" s="11">
        <v>535</v>
      </c>
      <c r="BA8" s="11">
        <v>114</v>
      </c>
    </row>
    <row r="9" spans="2:53" x14ac:dyDescent="0.35">
      <c r="B9" s="15" t="s">
        <v>235</v>
      </c>
      <c r="C9" s="14">
        <v>0.33468370455707802</v>
      </c>
      <c r="D9" s="14">
        <v>0.368241869972744</v>
      </c>
      <c r="E9" s="14">
        <v>0.30038955510987098</v>
      </c>
      <c r="F9" s="14"/>
      <c r="G9" s="14">
        <v>0.46244813625315101</v>
      </c>
      <c r="H9" s="14">
        <v>0.402347052844097</v>
      </c>
      <c r="I9" s="14">
        <v>0.33353709246063301</v>
      </c>
      <c r="J9" s="14">
        <v>0.334206232876262</v>
      </c>
      <c r="K9" s="14">
        <v>0.30620789043264202</v>
      </c>
      <c r="L9" s="14">
        <v>0.230138512607058</v>
      </c>
      <c r="M9" s="14"/>
      <c r="N9" s="14">
        <v>0.46973960732432601</v>
      </c>
      <c r="O9" s="14">
        <v>0.28953880415977901</v>
      </c>
      <c r="P9" s="14">
        <v>0.271618190287572</v>
      </c>
      <c r="Q9" s="14">
        <v>0.26728468958478901</v>
      </c>
      <c r="R9" s="14"/>
      <c r="S9" s="14">
        <v>0.39157277708704002</v>
      </c>
      <c r="T9" s="14">
        <v>0.37915306676858701</v>
      </c>
      <c r="U9" s="14">
        <v>0.36199919166643002</v>
      </c>
      <c r="V9" s="14">
        <v>0.27511855409803998</v>
      </c>
      <c r="W9" s="14">
        <v>0.20218026555836399</v>
      </c>
      <c r="X9" s="14">
        <v>0.38408614564416799</v>
      </c>
      <c r="Y9" s="14">
        <v>0.34900261366597901</v>
      </c>
      <c r="Z9" s="14">
        <v>0.32525686975845802</v>
      </c>
      <c r="AA9" s="14">
        <v>0.28190652074144401</v>
      </c>
      <c r="AB9" s="14"/>
      <c r="AC9" s="14">
        <v>0.21126306512531301</v>
      </c>
      <c r="AD9" s="14">
        <v>0.282533596546372</v>
      </c>
      <c r="AE9" s="14">
        <v>0.34112376253437299</v>
      </c>
      <c r="AF9" s="14">
        <v>0.46537910541462502</v>
      </c>
      <c r="AG9" s="14">
        <v>0.60526869310937703</v>
      </c>
      <c r="AH9" s="14"/>
      <c r="AI9" s="14">
        <v>0.389690455453928</v>
      </c>
      <c r="AJ9" s="14">
        <v>0.327894631883483</v>
      </c>
      <c r="AK9" s="14">
        <v>0.45259821268632</v>
      </c>
      <c r="AL9" s="14">
        <v>0.24286795264871999</v>
      </c>
      <c r="AM9" s="14">
        <v>0.331663014678653</v>
      </c>
      <c r="AN9" s="14">
        <v>0.32640959884788301</v>
      </c>
      <c r="AO9" s="14"/>
      <c r="AP9" s="14">
        <v>0.378650515067052</v>
      </c>
      <c r="AQ9" s="14">
        <v>0.27937769337823098</v>
      </c>
      <c r="AR9" s="14"/>
      <c r="AS9" s="14" t="s">
        <v>88</v>
      </c>
      <c r="AT9" s="14" t="s">
        <v>88</v>
      </c>
      <c r="AU9" s="14">
        <v>0.33468370455707802</v>
      </c>
      <c r="AV9" s="14"/>
      <c r="AW9" s="14">
        <v>0.31363755613543398</v>
      </c>
      <c r="AX9" s="14">
        <v>0.42698174869424499</v>
      </c>
      <c r="AY9" s="14"/>
      <c r="AZ9" s="14">
        <v>0.34144733875861899</v>
      </c>
      <c r="BA9" s="14">
        <v>0.30599128883181398</v>
      </c>
    </row>
    <row r="10" spans="2:53" x14ac:dyDescent="0.35">
      <c r="B10" s="15" t="s">
        <v>236</v>
      </c>
      <c r="C10" s="14">
        <v>0.54272183362002901</v>
      </c>
      <c r="D10" s="14">
        <v>0.54828017855526801</v>
      </c>
      <c r="E10" s="14">
        <v>0.53541840195981405</v>
      </c>
      <c r="F10" s="14"/>
      <c r="G10" s="14">
        <v>0</v>
      </c>
      <c r="H10" s="14">
        <v>0.39917513031038698</v>
      </c>
      <c r="I10" s="14">
        <v>0.55797288128403899</v>
      </c>
      <c r="J10" s="14">
        <v>0.54415150398760803</v>
      </c>
      <c r="K10" s="14">
        <v>0.59486117872169098</v>
      </c>
      <c r="L10" s="14">
        <v>0.62777995183794699</v>
      </c>
      <c r="M10" s="14"/>
      <c r="N10" s="14">
        <v>0.43348726145847699</v>
      </c>
      <c r="O10" s="14">
        <v>0.604779738737934</v>
      </c>
      <c r="P10" s="14">
        <v>0.61376414229501997</v>
      </c>
      <c r="Q10" s="14">
        <v>0.53782303145003696</v>
      </c>
      <c r="R10" s="14"/>
      <c r="S10" s="14">
        <v>0.52091670855552996</v>
      </c>
      <c r="T10" s="14">
        <v>0.58038996101477802</v>
      </c>
      <c r="U10" s="14">
        <v>0.51520082345082596</v>
      </c>
      <c r="V10" s="14">
        <v>0.57933951889548296</v>
      </c>
      <c r="W10" s="14">
        <v>0.58368645317215395</v>
      </c>
      <c r="X10" s="14">
        <v>0.46162444888028897</v>
      </c>
      <c r="Y10" s="14">
        <v>0.43787536690692602</v>
      </c>
      <c r="Z10" s="14">
        <v>0.60099722963501701</v>
      </c>
      <c r="AA10" s="14">
        <v>0.62092697521487905</v>
      </c>
      <c r="AB10" s="14"/>
      <c r="AC10" s="14">
        <v>0.61849671997247302</v>
      </c>
      <c r="AD10" s="14">
        <v>0.57416217334776598</v>
      </c>
      <c r="AE10" s="14">
        <v>0.55625035315326798</v>
      </c>
      <c r="AF10" s="14">
        <v>0.47671067917668503</v>
      </c>
      <c r="AG10" s="14">
        <v>0.39473130689062302</v>
      </c>
      <c r="AH10" s="14"/>
      <c r="AI10" s="14">
        <v>0.50174350406435098</v>
      </c>
      <c r="AJ10" s="14">
        <v>0.545932575787205</v>
      </c>
      <c r="AK10" s="14">
        <v>0.50699628741187697</v>
      </c>
      <c r="AL10" s="14">
        <v>0.60288826880647095</v>
      </c>
      <c r="AM10" s="14">
        <v>0.51381258569714505</v>
      </c>
      <c r="AN10" s="14">
        <v>0.53941068909907197</v>
      </c>
      <c r="AO10" s="14"/>
      <c r="AP10" s="14">
        <v>0.51148925175954096</v>
      </c>
      <c r="AQ10" s="14">
        <v>0.58151158104163003</v>
      </c>
      <c r="AR10" s="14"/>
      <c r="AS10" s="14" t="s">
        <v>88</v>
      </c>
      <c r="AT10" s="14" t="s">
        <v>88</v>
      </c>
      <c r="AU10" s="14">
        <v>0.54272183362002901</v>
      </c>
      <c r="AV10" s="14"/>
      <c r="AW10" s="14">
        <v>0.56754067789999596</v>
      </c>
      <c r="AX10" s="14">
        <v>0.49163920262164101</v>
      </c>
      <c r="AY10" s="14"/>
      <c r="AZ10" s="14">
        <v>0.55542321604894596</v>
      </c>
      <c r="BA10" s="14">
        <v>0.478739944925963</v>
      </c>
    </row>
    <row r="11" spans="2:53" x14ac:dyDescent="0.35">
      <c r="B11" s="15" t="s">
        <v>237</v>
      </c>
      <c r="C11" s="14">
        <v>8.2007125115753296E-2</v>
      </c>
      <c r="D11" s="14">
        <v>6.1535841956529697E-2</v>
      </c>
      <c r="E11" s="14">
        <v>0.103833360638012</v>
      </c>
      <c r="F11" s="14"/>
      <c r="G11" s="14">
        <v>0</v>
      </c>
      <c r="H11" s="14">
        <v>0.15474395445525899</v>
      </c>
      <c r="I11" s="14">
        <v>8.1170426923218894E-2</v>
      </c>
      <c r="J11" s="14">
        <v>8.1765588539680703E-2</v>
      </c>
      <c r="K11" s="14">
        <v>4.5778285467940501E-2</v>
      </c>
      <c r="L11" s="14">
        <v>1.70486452016991E-2</v>
      </c>
      <c r="M11" s="14"/>
      <c r="N11" s="14">
        <v>8.1766868621744496E-2</v>
      </c>
      <c r="O11" s="14">
        <v>7.2818549330580407E-2</v>
      </c>
      <c r="P11" s="14">
        <v>5.5253071047912002E-2</v>
      </c>
      <c r="Q11" s="14">
        <v>0.12938422155489601</v>
      </c>
      <c r="R11" s="14"/>
      <c r="S11" s="14">
        <v>7.5822362830127402E-2</v>
      </c>
      <c r="T11" s="14">
        <v>1.53122691454971E-2</v>
      </c>
      <c r="U11" s="14">
        <v>6.4176977579106703E-2</v>
      </c>
      <c r="V11" s="14">
        <v>7.5068756308036694E-2</v>
      </c>
      <c r="W11" s="14">
        <v>0.13926948352066401</v>
      </c>
      <c r="X11" s="14">
        <v>0.10552533168693</v>
      </c>
      <c r="Y11" s="14">
        <v>0.133028037456496</v>
      </c>
      <c r="Z11" s="14">
        <v>7.3745900606525E-2</v>
      </c>
      <c r="AA11" s="14">
        <v>8.0170635386387398E-2</v>
      </c>
      <c r="AB11" s="14"/>
      <c r="AC11" s="14">
        <v>0.110184673433214</v>
      </c>
      <c r="AD11" s="14">
        <v>6.3446179727965998E-2</v>
      </c>
      <c r="AE11" s="14">
        <v>7.8586934075768999E-2</v>
      </c>
      <c r="AF11" s="14">
        <v>5.79102154086895E-2</v>
      </c>
      <c r="AG11" s="14">
        <v>0</v>
      </c>
      <c r="AH11" s="14"/>
      <c r="AI11" s="14">
        <v>7.3247524273667902E-2</v>
      </c>
      <c r="AJ11" s="14">
        <v>0.11298942439498801</v>
      </c>
      <c r="AK11" s="14">
        <v>2.2892982016749799E-2</v>
      </c>
      <c r="AL11" s="14">
        <v>8.1314535396742202E-2</v>
      </c>
      <c r="AM11" s="14">
        <v>0.113859981335848</v>
      </c>
      <c r="AN11" s="14">
        <v>4.61715870191911E-2</v>
      </c>
      <c r="AO11" s="14"/>
      <c r="AP11" s="14">
        <v>7.6959675006533695E-2</v>
      </c>
      <c r="AQ11" s="14">
        <v>8.8629430299080603E-2</v>
      </c>
      <c r="AR11" s="14"/>
      <c r="AS11" s="14" t="s">
        <v>88</v>
      </c>
      <c r="AT11" s="14" t="s">
        <v>88</v>
      </c>
      <c r="AU11" s="14">
        <v>8.2007125115753296E-2</v>
      </c>
      <c r="AV11" s="14"/>
      <c r="AW11" s="14">
        <v>7.9675197080284296E-2</v>
      </c>
      <c r="AX11" s="14">
        <v>5.6314990255647103E-2</v>
      </c>
      <c r="AY11" s="14"/>
      <c r="AZ11" s="14">
        <v>7.3459549913183195E-2</v>
      </c>
      <c r="BA11" s="14">
        <v>0.122964809483962</v>
      </c>
    </row>
    <row r="12" spans="2:53" x14ac:dyDescent="0.35">
      <c r="B12" s="15" t="s">
        <v>238</v>
      </c>
      <c r="C12" s="14">
        <v>2.23162370481103E-2</v>
      </c>
      <c r="D12" s="14">
        <v>1.79292006184926E-2</v>
      </c>
      <c r="E12" s="14">
        <v>2.7008654847023798E-2</v>
      </c>
      <c r="F12" s="14"/>
      <c r="G12" s="14">
        <v>0.53755186374684905</v>
      </c>
      <c r="H12" s="14">
        <v>2.6159916865581199E-2</v>
      </c>
      <c r="I12" s="14">
        <v>1.38894476049451E-2</v>
      </c>
      <c r="J12" s="14">
        <v>1.25796826244533E-2</v>
      </c>
      <c r="K12" s="14">
        <v>4.1318717625423197E-2</v>
      </c>
      <c r="L12" s="14">
        <v>0.12503289035329501</v>
      </c>
      <c r="M12" s="14"/>
      <c r="N12" s="14">
        <v>1.5006262595451901E-2</v>
      </c>
      <c r="O12" s="14">
        <v>0</v>
      </c>
      <c r="P12" s="14">
        <v>2.9953608323871901E-2</v>
      </c>
      <c r="Q12" s="14">
        <v>4.9947280183708802E-2</v>
      </c>
      <c r="R12" s="14"/>
      <c r="S12" s="14">
        <v>1.16881515273029E-2</v>
      </c>
      <c r="T12" s="14">
        <v>0</v>
      </c>
      <c r="U12" s="14">
        <v>3.4356242466066798E-2</v>
      </c>
      <c r="V12" s="14">
        <v>3.4491431993142398E-2</v>
      </c>
      <c r="W12" s="14">
        <v>6.1098896796585998E-2</v>
      </c>
      <c r="X12" s="14">
        <v>3.93279496295241E-2</v>
      </c>
      <c r="Y12" s="14">
        <v>3.6555119601203799E-2</v>
      </c>
      <c r="Z12" s="14">
        <v>0</v>
      </c>
      <c r="AA12" s="14">
        <v>0</v>
      </c>
      <c r="AB12" s="14"/>
      <c r="AC12" s="14">
        <v>2.8221799453757999E-2</v>
      </c>
      <c r="AD12" s="14">
        <v>4.37906002545057E-2</v>
      </c>
      <c r="AE12" s="14">
        <v>1.5256479957605399E-2</v>
      </c>
      <c r="AF12" s="14">
        <v>0</v>
      </c>
      <c r="AG12" s="14">
        <v>0</v>
      </c>
      <c r="AH12" s="14"/>
      <c r="AI12" s="14">
        <v>2.73685312024722E-2</v>
      </c>
      <c r="AJ12" s="14">
        <v>7.4160088995587001E-3</v>
      </c>
      <c r="AK12" s="14">
        <v>1.75125178850528E-2</v>
      </c>
      <c r="AL12" s="14">
        <v>3.8913190850183001E-2</v>
      </c>
      <c r="AM12" s="14">
        <v>1.5998713168969399E-2</v>
      </c>
      <c r="AN12" s="14">
        <v>0</v>
      </c>
      <c r="AO12" s="14"/>
      <c r="AP12" s="14">
        <v>1.92422391640239E-2</v>
      </c>
      <c r="AQ12" s="14">
        <v>2.62867012678791E-2</v>
      </c>
      <c r="AR12" s="14"/>
      <c r="AS12" s="14" t="s">
        <v>88</v>
      </c>
      <c r="AT12" s="14" t="s">
        <v>88</v>
      </c>
      <c r="AU12" s="14">
        <v>2.23162370481103E-2</v>
      </c>
      <c r="AV12" s="14"/>
      <c r="AW12" s="14">
        <v>1.89595898634594E-2</v>
      </c>
      <c r="AX12" s="14">
        <v>1.7123108805428999E-2</v>
      </c>
      <c r="AY12" s="14"/>
      <c r="AZ12" s="14">
        <v>2.58667886293888E-2</v>
      </c>
      <c r="BA12" s="14">
        <v>5.8274386677302703E-3</v>
      </c>
    </row>
    <row r="13" spans="2:53" x14ac:dyDescent="0.35">
      <c r="B13" s="15" t="s">
        <v>116</v>
      </c>
      <c r="C13" s="23">
        <v>1.8271099659029798E-2</v>
      </c>
      <c r="D13" s="23">
        <v>4.01290889696503E-3</v>
      </c>
      <c r="E13" s="23">
        <v>3.3350027445279699E-2</v>
      </c>
      <c r="F13" s="23"/>
      <c r="G13" s="23">
        <v>0</v>
      </c>
      <c r="H13" s="23">
        <v>1.7573945524676299E-2</v>
      </c>
      <c r="I13" s="23">
        <v>1.34301517271645E-2</v>
      </c>
      <c r="J13" s="23">
        <v>2.7296991971996299E-2</v>
      </c>
      <c r="K13" s="23">
        <v>1.1833927752303601E-2</v>
      </c>
      <c r="L13" s="23">
        <v>0</v>
      </c>
      <c r="M13" s="23"/>
      <c r="N13" s="23">
        <v>0</v>
      </c>
      <c r="O13" s="23">
        <v>3.2862907771706203E-2</v>
      </c>
      <c r="P13" s="23">
        <v>2.9410988045624399E-2</v>
      </c>
      <c r="Q13" s="23">
        <v>1.55607772265692E-2</v>
      </c>
      <c r="R13" s="23"/>
      <c r="S13" s="23">
        <v>0</v>
      </c>
      <c r="T13" s="23">
        <v>2.5144703071137701E-2</v>
      </c>
      <c r="U13" s="23">
        <v>2.4266764837570499E-2</v>
      </c>
      <c r="V13" s="23">
        <v>3.5981738705298603E-2</v>
      </c>
      <c r="W13" s="23">
        <v>1.3764900952232199E-2</v>
      </c>
      <c r="X13" s="23">
        <v>9.4361241590892302E-3</v>
      </c>
      <c r="Y13" s="23">
        <v>4.3538862369394998E-2</v>
      </c>
      <c r="Z13" s="23">
        <v>0</v>
      </c>
      <c r="AA13" s="23">
        <v>1.6995868657290001E-2</v>
      </c>
      <c r="AB13" s="23"/>
      <c r="AC13" s="23">
        <v>3.1833742015242097E-2</v>
      </c>
      <c r="AD13" s="23">
        <v>3.6067450123390202E-2</v>
      </c>
      <c r="AE13" s="23">
        <v>8.7824702789849607E-3</v>
      </c>
      <c r="AF13" s="23">
        <v>0</v>
      </c>
      <c r="AG13" s="23">
        <v>0</v>
      </c>
      <c r="AH13" s="23"/>
      <c r="AI13" s="23">
        <v>7.9499850055806398E-3</v>
      </c>
      <c r="AJ13" s="23">
        <v>5.7673590347650603E-3</v>
      </c>
      <c r="AK13" s="23">
        <v>0</v>
      </c>
      <c r="AL13" s="23">
        <v>3.4016052297883403E-2</v>
      </c>
      <c r="AM13" s="23">
        <v>2.4665705119384901E-2</v>
      </c>
      <c r="AN13" s="23">
        <v>8.8008125033854301E-2</v>
      </c>
      <c r="AO13" s="23"/>
      <c r="AP13" s="23">
        <v>1.36583190028497E-2</v>
      </c>
      <c r="AQ13" s="23">
        <v>2.4194594013179999E-2</v>
      </c>
      <c r="AR13" s="23"/>
      <c r="AS13" s="23" t="s">
        <v>88</v>
      </c>
      <c r="AT13" s="23" t="s">
        <v>88</v>
      </c>
      <c r="AU13" s="23">
        <v>1.8271099659029798E-2</v>
      </c>
      <c r="AV13" s="23"/>
      <c r="AW13" s="23">
        <v>2.0186979020826001E-2</v>
      </c>
      <c r="AX13" s="23">
        <v>7.9409496230374802E-3</v>
      </c>
      <c r="AY13" s="23"/>
      <c r="AZ13" s="23">
        <v>3.8031066498628199E-3</v>
      </c>
      <c r="BA13" s="23">
        <v>8.6476518090531099E-2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B2:BA19"/>
  <sheetViews>
    <sheetView showGridLines="0" workbookViewId="0">
      <pane xSplit="2" topLeftCell="C1" activePane="topRight" state="frozen"/>
      <selection pane="topRight" activeCell="B14" sqref="B14:BA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679</v>
      </c>
      <c r="D7" s="10">
        <v>282</v>
      </c>
      <c r="E7" s="10">
        <v>396</v>
      </c>
      <c r="F7" s="10"/>
      <c r="G7" s="10">
        <v>2</v>
      </c>
      <c r="H7" s="10">
        <v>68</v>
      </c>
      <c r="I7" s="10">
        <v>288</v>
      </c>
      <c r="J7" s="10">
        <v>237</v>
      </c>
      <c r="K7" s="10">
        <v>71</v>
      </c>
      <c r="L7" s="10">
        <v>13</v>
      </c>
      <c r="M7" s="10"/>
      <c r="N7" s="10">
        <v>329</v>
      </c>
      <c r="O7" s="10">
        <v>143</v>
      </c>
      <c r="P7" s="10">
        <v>107</v>
      </c>
      <c r="Q7" s="10">
        <v>96</v>
      </c>
      <c r="R7" s="10"/>
      <c r="S7" s="10">
        <v>145</v>
      </c>
      <c r="T7" s="10">
        <v>96</v>
      </c>
      <c r="U7" s="10">
        <v>39</v>
      </c>
      <c r="V7" s="10">
        <v>53</v>
      </c>
      <c r="W7" s="10">
        <v>56</v>
      </c>
      <c r="X7" s="10">
        <v>87</v>
      </c>
      <c r="Y7" s="10">
        <v>78</v>
      </c>
      <c r="Z7" s="10">
        <v>39</v>
      </c>
      <c r="AA7" s="10">
        <v>86</v>
      </c>
      <c r="AB7" s="10"/>
      <c r="AC7" s="10">
        <v>96</v>
      </c>
      <c r="AD7" s="10">
        <v>132</v>
      </c>
      <c r="AE7" s="10">
        <v>206</v>
      </c>
      <c r="AF7" s="10">
        <v>149</v>
      </c>
      <c r="AG7" s="10">
        <v>34</v>
      </c>
      <c r="AH7" s="10"/>
      <c r="AI7" s="10">
        <v>252</v>
      </c>
      <c r="AJ7" s="10">
        <v>127</v>
      </c>
      <c r="AK7" s="10">
        <v>65</v>
      </c>
      <c r="AL7" s="10">
        <v>100</v>
      </c>
      <c r="AM7" s="10">
        <v>44</v>
      </c>
      <c r="AN7" s="10">
        <v>37</v>
      </c>
      <c r="AO7" s="10"/>
      <c r="AP7" s="10">
        <v>375</v>
      </c>
      <c r="AQ7" s="10">
        <v>303</v>
      </c>
      <c r="AR7" s="10"/>
      <c r="AS7" s="10" t="s">
        <v>87</v>
      </c>
      <c r="AT7" s="10" t="s">
        <v>87</v>
      </c>
      <c r="AU7" s="10">
        <v>679</v>
      </c>
      <c r="AV7" s="10"/>
      <c r="AW7" s="10">
        <v>471</v>
      </c>
      <c r="AX7" s="10">
        <v>165</v>
      </c>
      <c r="AY7" s="10"/>
      <c r="AZ7" s="10">
        <v>566</v>
      </c>
      <c r="BA7" s="10">
        <v>112</v>
      </c>
    </row>
    <row r="8" spans="2:53" ht="30" customHeight="1" x14ac:dyDescent="0.35">
      <c r="B8" s="11" t="s">
        <v>19</v>
      </c>
      <c r="C8" s="11">
        <v>650</v>
      </c>
      <c r="D8" s="11">
        <v>333</v>
      </c>
      <c r="E8" s="11">
        <v>316</v>
      </c>
      <c r="F8" s="11"/>
      <c r="G8" s="11">
        <v>2</v>
      </c>
      <c r="H8" s="11">
        <v>58</v>
      </c>
      <c r="I8" s="11">
        <v>262</v>
      </c>
      <c r="J8" s="11">
        <v>236</v>
      </c>
      <c r="K8" s="11">
        <v>75</v>
      </c>
      <c r="L8" s="11">
        <v>16</v>
      </c>
      <c r="M8" s="11"/>
      <c r="N8" s="11">
        <v>198</v>
      </c>
      <c r="O8" s="11">
        <v>150</v>
      </c>
      <c r="P8" s="11">
        <v>166</v>
      </c>
      <c r="Q8" s="11">
        <v>131</v>
      </c>
      <c r="R8" s="11"/>
      <c r="S8" s="11">
        <v>115</v>
      </c>
      <c r="T8" s="11">
        <v>99</v>
      </c>
      <c r="U8" s="11">
        <v>44</v>
      </c>
      <c r="V8" s="11">
        <v>64</v>
      </c>
      <c r="W8" s="11">
        <v>64</v>
      </c>
      <c r="X8" s="11">
        <v>74</v>
      </c>
      <c r="Y8" s="11">
        <v>71</v>
      </c>
      <c r="Z8" s="11">
        <v>39</v>
      </c>
      <c r="AA8" s="11">
        <v>79</v>
      </c>
      <c r="AB8" s="11"/>
      <c r="AC8" s="11">
        <v>112</v>
      </c>
      <c r="AD8" s="11">
        <v>147</v>
      </c>
      <c r="AE8" s="11">
        <v>188</v>
      </c>
      <c r="AF8" s="11">
        <v>113</v>
      </c>
      <c r="AG8" s="11">
        <v>17</v>
      </c>
      <c r="AH8" s="11"/>
      <c r="AI8" s="11">
        <v>231</v>
      </c>
      <c r="AJ8" s="11">
        <v>121</v>
      </c>
      <c r="AK8" s="11">
        <v>56</v>
      </c>
      <c r="AL8" s="11">
        <v>106</v>
      </c>
      <c r="AM8" s="11">
        <v>41</v>
      </c>
      <c r="AN8" s="11">
        <v>38</v>
      </c>
      <c r="AO8" s="11"/>
      <c r="AP8" s="11">
        <v>364</v>
      </c>
      <c r="AQ8" s="11">
        <v>285</v>
      </c>
      <c r="AR8" s="11"/>
      <c r="AS8" s="11" t="s">
        <v>87</v>
      </c>
      <c r="AT8" s="11" t="s">
        <v>87</v>
      </c>
      <c r="AU8" s="11">
        <v>650</v>
      </c>
      <c r="AV8" s="11"/>
      <c r="AW8" s="11">
        <v>470</v>
      </c>
      <c r="AX8" s="11">
        <v>131</v>
      </c>
      <c r="AY8" s="11"/>
      <c r="AZ8" s="11">
        <v>535</v>
      </c>
      <c r="BA8" s="11">
        <v>114</v>
      </c>
    </row>
    <row r="9" spans="2:53" x14ac:dyDescent="0.35">
      <c r="B9" s="15" t="s">
        <v>220</v>
      </c>
      <c r="C9" s="14">
        <v>0.26966419948195602</v>
      </c>
      <c r="D9" s="14">
        <v>0.310866163392367</v>
      </c>
      <c r="E9" s="14">
        <v>0.22394555008589301</v>
      </c>
      <c r="F9" s="14"/>
      <c r="G9" s="14">
        <v>0.46244813625315101</v>
      </c>
      <c r="H9" s="14">
        <v>0.39455729998342098</v>
      </c>
      <c r="I9" s="14">
        <v>0.27948673193344598</v>
      </c>
      <c r="J9" s="14">
        <v>0.24443574291200401</v>
      </c>
      <c r="K9" s="14">
        <v>0.20560022569471401</v>
      </c>
      <c r="L9" s="14">
        <v>0.298370846612317</v>
      </c>
      <c r="M9" s="14"/>
      <c r="N9" s="14">
        <v>0.32875318618392602</v>
      </c>
      <c r="O9" s="14">
        <v>0.23458342526044801</v>
      </c>
      <c r="P9" s="14">
        <v>0.23878446749599899</v>
      </c>
      <c r="Q9" s="14">
        <v>0.26877559891498598</v>
      </c>
      <c r="R9" s="14"/>
      <c r="S9" s="14">
        <v>0.37692824112415702</v>
      </c>
      <c r="T9" s="14">
        <v>0.22709879571248001</v>
      </c>
      <c r="U9" s="14">
        <v>0.29327333022114299</v>
      </c>
      <c r="V9" s="14">
        <v>0.270242022685173</v>
      </c>
      <c r="W9" s="14">
        <v>0.20150810451957199</v>
      </c>
      <c r="X9" s="14">
        <v>0.288740725766577</v>
      </c>
      <c r="Y9" s="14">
        <v>0.181782909669192</v>
      </c>
      <c r="Z9" s="14">
        <v>0.26636850724556099</v>
      </c>
      <c r="AA9" s="14">
        <v>0.27150083582262402</v>
      </c>
      <c r="AB9" s="14"/>
      <c r="AC9" s="14">
        <v>0.22858708269116601</v>
      </c>
      <c r="AD9" s="14">
        <v>0.197987248492802</v>
      </c>
      <c r="AE9" s="14">
        <v>0.26502640195098698</v>
      </c>
      <c r="AF9" s="14">
        <v>0.41031362026199703</v>
      </c>
      <c r="AG9" s="14">
        <v>0.64423312903430996</v>
      </c>
      <c r="AH9" s="14"/>
      <c r="AI9" s="14">
        <v>0.30548532775730503</v>
      </c>
      <c r="AJ9" s="14">
        <v>0.238306738893862</v>
      </c>
      <c r="AK9" s="14">
        <v>0.39221011827215801</v>
      </c>
      <c r="AL9" s="14">
        <v>0.19726889517964499</v>
      </c>
      <c r="AM9" s="14">
        <v>0.23100036602289101</v>
      </c>
      <c r="AN9" s="14">
        <v>0.27233513145511201</v>
      </c>
      <c r="AO9" s="14"/>
      <c r="AP9" s="14">
        <v>0.29836796142091998</v>
      </c>
      <c r="AQ9" s="14">
        <v>0.23367366200206299</v>
      </c>
      <c r="AR9" s="14"/>
      <c r="AS9" s="14" t="s">
        <v>88</v>
      </c>
      <c r="AT9" s="14" t="s">
        <v>88</v>
      </c>
      <c r="AU9" s="14">
        <v>0.26966419948195602</v>
      </c>
      <c r="AV9" s="14"/>
      <c r="AW9" s="14">
        <v>0.249883055550989</v>
      </c>
      <c r="AX9" s="14">
        <v>0.39751480087695101</v>
      </c>
      <c r="AY9" s="14"/>
      <c r="AZ9" s="14">
        <v>0.30562412199147998</v>
      </c>
      <c r="BA9" s="14">
        <v>0.103071966652261</v>
      </c>
    </row>
    <row r="10" spans="2:53" x14ac:dyDescent="0.35">
      <c r="B10" s="15" t="s">
        <v>221</v>
      </c>
      <c r="C10" s="14">
        <v>0.44500222130779998</v>
      </c>
      <c r="D10" s="14">
        <v>0.44326062613752798</v>
      </c>
      <c r="E10" s="14">
        <v>0.44824582164348697</v>
      </c>
      <c r="F10" s="14"/>
      <c r="G10" s="14">
        <v>0</v>
      </c>
      <c r="H10" s="14">
        <v>0.34374744397691098</v>
      </c>
      <c r="I10" s="14">
        <v>0.47529887319070502</v>
      </c>
      <c r="J10" s="14">
        <v>0.448668838033774</v>
      </c>
      <c r="K10" s="14">
        <v>0.43593637361446802</v>
      </c>
      <c r="L10" s="14">
        <v>0.37039711572787798</v>
      </c>
      <c r="M10" s="14"/>
      <c r="N10" s="14">
        <v>0.44453044312619799</v>
      </c>
      <c r="O10" s="14">
        <v>0.48212925345062402</v>
      </c>
      <c r="P10" s="14">
        <v>0.468046990499208</v>
      </c>
      <c r="Q10" s="14">
        <v>0.37859423507539203</v>
      </c>
      <c r="R10" s="14"/>
      <c r="S10" s="14">
        <v>0.44997613937298703</v>
      </c>
      <c r="T10" s="14">
        <v>0.473818406074763</v>
      </c>
      <c r="U10" s="14">
        <v>0.49266265768919199</v>
      </c>
      <c r="V10" s="14">
        <v>0.36535267694809698</v>
      </c>
      <c r="W10" s="14">
        <v>0.45829311175411103</v>
      </c>
      <c r="X10" s="14">
        <v>0.38621492036427002</v>
      </c>
      <c r="Y10" s="14">
        <v>0.42836057592620602</v>
      </c>
      <c r="Z10" s="14">
        <v>0.45243448275139603</v>
      </c>
      <c r="AA10" s="14">
        <v>0.49474480776892998</v>
      </c>
      <c r="AB10" s="14"/>
      <c r="AC10" s="14">
        <v>0.385128927005495</v>
      </c>
      <c r="AD10" s="14">
        <v>0.50803516371354795</v>
      </c>
      <c r="AE10" s="14">
        <v>0.48895631544679502</v>
      </c>
      <c r="AF10" s="14">
        <v>0.39538886325210698</v>
      </c>
      <c r="AG10" s="14">
        <v>0.33546756517189502</v>
      </c>
      <c r="AH10" s="14"/>
      <c r="AI10" s="14">
        <v>0.46066158792050199</v>
      </c>
      <c r="AJ10" s="14">
        <v>0.51978099426624302</v>
      </c>
      <c r="AK10" s="14">
        <v>0.37603621927584702</v>
      </c>
      <c r="AL10" s="14">
        <v>0.37587568355194101</v>
      </c>
      <c r="AM10" s="14">
        <v>0.439556607589559</v>
      </c>
      <c r="AN10" s="14">
        <v>0.424724154564388</v>
      </c>
      <c r="AO10" s="14"/>
      <c r="AP10" s="14">
        <v>0.46329312165298298</v>
      </c>
      <c r="AQ10" s="14">
        <v>0.42268742679442201</v>
      </c>
      <c r="AR10" s="14"/>
      <c r="AS10" s="14" t="s">
        <v>88</v>
      </c>
      <c r="AT10" s="14" t="s">
        <v>88</v>
      </c>
      <c r="AU10" s="14">
        <v>0.44500222130779998</v>
      </c>
      <c r="AV10" s="14"/>
      <c r="AW10" s="14">
        <v>0.44318296752734299</v>
      </c>
      <c r="AX10" s="14">
        <v>0.42885284435258197</v>
      </c>
      <c r="AY10" s="14"/>
      <c r="AZ10" s="14">
        <v>0.45520188946124401</v>
      </c>
      <c r="BA10" s="14">
        <v>0.39187554456370799</v>
      </c>
    </row>
    <row r="11" spans="2:53" x14ac:dyDescent="0.35">
      <c r="B11" s="15" t="s">
        <v>222</v>
      </c>
      <c r="C11" s="14">
        <v>0.16250970942053899</v>
      </c>
      <c r="D11" s="14">
        <v>0.134072970473914</v>
      </c>
      <c r="E11" s="14">
        <v>0.192982458103962</v>
      </c>
      <c r="F11" s="14"/>
      <c r="G11" s="14">
        <v>0.53755186374684905</v>
      </c>
      <c r="H11" s="14">
        <v>0.13797471509336101</v>
      </c>
      <c r="I11" s="14">
        <v>0.15579516142117</v>
      </c>
      <c r="J11" s="14">
        <v>0.178516225894641</v>
      </c>
      <c r="K11" s="14">
        <v>0.16287223289540001</v>
      </c>
      <c r="L11" s="14">
        <v>7.0024319364504095E-2</v>
      </c>
      <c r="M11" s="14"/>
      <c r="N11" s="14">
        <v>0.105018404441549</v>
      </c>
      <c r="O11" s="14">
        <v>0.17146353971482101</v>
      </c>
      <c r="P11" s="14">
        <v>0.16432031317381299</v>
      </c>
      <c r="Q11" s="14">
        <v>0.219122964684074</v>
      </c>
      <c r="R11" s="14"/>
      <c r="S11" s="14">
        <v>0.11984817087619699</v>
      </c>
      <c r="T11" s="14">
        <v>0.13795492740351201</v>
      </c>
      <c r="U11" s="14">
        <v>8.3350839677210395E-2</v>
      </c>
      <c r="V11" s="14">
        <v>0.15725715664044099</v>
      </c>
      <c r="W11" s="14">
        <v>0.1181627487607</v>
      </c>
      <c r="X11" s="14">
        <v>0.24818864867549401</v>
      </c>
      <c r="Y11" s="14">
        <v>0.258491966548199</v>
      </c>
      <c r="Z11" s="14">
        <v>0.18300395871093</v>
      </c>
      <c r="AA11" s="14">
        <v>0.16367891033765</v>
      </c>
      <c r="AB11" s="14"/>
      <c r="AC11" s="14">
        <v>0.25722449666860497</v>
      </c>
      <c r="AD11" s="14">
        <v>0.14654275411544301</v>
      </c>
      <c r="AE11" s="14">
        <v>0.117753710359527</v>
      </c>
      <c r="AF11" s="14">
        <v>0.120049052983643</v>
      </c>
      <c r="AG11" s="14">
        <v>0</v>
      </c>
      <c r="AH11" s="14"/>
      <c r="AI11" s="14">
        <v>0.12993809395189701</v>
      </c>
      <c r="AJ11" s="14">
        <v>0.174746034238456</v>
      </c>
      <c r="AK11" s="14">
        <v>0.115136689139456</v>
      </c>
      <c r="AL11" s="14">
        <v>0.23913356748020401</v>
      </c>
      <c r="AM11" s="14">
        <v>0.151078980592395</v>
      </c>
      <c r="AN11" s="14">
        <v>0.17083452399773699</v>
      </c>
      <c r="AO11" s="14"/>
      <c r="AP11" s="14">
        <v>0.13408722201187601</v>
      </c>
      <c r="AQ11" s="14">
        <v>0.196853907336454</v>
      </c>
      <c r="AR11" s="14"/>
      <c r="AS11" s="14" t="s">
        <v>88</v>
      </c>
      <c r="AT11" s="14" t="s">
        <v>88</v>
      </c>
      <c r="AU11" s="14">
        <v>0.16250970942053899</v>
      </c>
      <c r="AV11" s="14"/>
      <c r="AW11" s="14">
        <v>0.166875311242008</v>
      </c>
      <c r="AX11" s="14">
        <v>0.109611432141134</v>
      </c>
      <c r="AY11" s="14"/>
      <c r="AZ11" s="14">
        <v>0.146138599602473</v>
      </c>
      <c r="BA11" s="14">
        <v>0.24100629551981001</v>
      </c>
    </row>
    <row r="12" spans="2:53" x14ac:dyDescent="0.35">
      <c r="B12" s="15" t="s">
        <v>223</v>
      </c>
      <c r="C12" s="14">
        <v>4.1763626614998203E-2</v>
      </c>
      <c r="D12" s="14">
        <v>2.7330055977365601E-2</v>
      </c>
      <c r="E12" s="14">
        <v>5.71016924155636E-2</v>
      </c>
      <c r="F12" s="14"/>
      <c r="G12" s="14">
        <v>0</v>
      </c>
      <c r="H12" s="14">
        <v>4.4830335076049298E-2</v>
      </c>
      <c r="I12" s="14">
        <v>3.01579170335457E-2</v>
      </c>
      <c r="J12" s="14">
        <v>4.2268544807235103E-2</v>
      </c>
      <c r="K12" s="14">
        <v>3.2464009540973601E-2</v>
      </c>
      <c r="L12" s="14">
        <v>0.26120771829530098</v>
      </c>
      <c r="M12" s="14"/>
      <c r="N12" s="14">
        <v>4.8571779093672003E-2</v>
      </c>
      <c r="O12" s="14">
        <v>1.7949588857949499E-2</v>
      </c>
      <c r="P12" s="14">
        <v>4.9764676849682603E-2</v>
      </c>
      <c r="Q12" s="14">
        <v>5.00451704596157E-2</v>
      </c>
      <c r="R12" s="14"/>
      <c r="S12" s="14">
        <v>1.48689176954322E-2</v>
      </c>
      <c r="T12" s="14">
        <v>5.2348638605407699E-2</v>
      </c>
      <c r="U12" s="14">
        <v>5.2501039263298799E-2</v>
      </c>
      <c r="V12" s="14">
        <v>7.1659821233451798E-2</v>
      </c>
      <c r="W12" s="14">
        <v>9.2795139893710202E-2</v>
      </c>
      <c r="X12" s="14">
        <v>4.0313191437669101E-2</v>
      </c>
      <c r="Y12" s="14">
        <v>2.7112201165289899E-2</v>
      </c>
      <c r="Z12" s="14">
        <v>2.9925069716357899E-2</v>
      </c>
      <c r="AA12" s="14">
        <v>1.6144919607499499E-2</v>
      </c>
      <c r="AB12" s="14"/>
      <c r="AC12" s="14">
        <v>4.43062067723905E-2</v>
      </c>
      <c r="AD12" s="14">
        <v>7.2690339075889204E-2</v>
      </c>
      <c r="AE12" s="14">
        <v>2.92833775714334E-2</v>
      </c>
      <c r="AF12" s="14">
        <v>1.7404816236255099E-2</v>
      </c>
      <c r="AG12" s="14">
        <v>0</v>
      </c>
      <c r="AH12" s="14"/>
      <c r="AI12" s="14">
        <v>2.1442301523569001E-2</v>
      </c>
      <c r="AJ12" s="14">
        <v>2.3010460992661099E-2</v>
      </c>
      <c r="AK12" s="14">
        <v>2.6368580212816801E-2</v>
      </c>
      <c r="AL12" s="14">
        <v>9.9670896094605804E-2</v>
      </c>
      <c r="AM12" s="14">
        <v>3.6881165529335798E-2</v>
      </c>
      <c r="AN12" s="14">
        <v>3.3184657113321497E-2</v>
      </c>
      <c r="AO12" s="14"/>
      <c r="AP12" s="14">
        <v>4.1154336627742198E-2</v>
      </c>
      <c r="AQ12" s="14">
        <v>4.2635280455651001E-2</v>
      </c>
      <c r="AR12" s="14"/>
      <c r="AS12" s="14" t="s">
        <v>88</v>
      </c>
      <c r="AT12" s="14" t="s">
        <v>88</v>
      </c>
      <c r="AU12" s="14">
        <v>4.1763626614998203E-2</v>
      </c>
      <c r="AV12" s="14"/>
      <c r="AW12" s="14">
        <v>5.3291111494509803E-2</v>
      </c>
      <c r="AX12" s="14">
        <v>1.5787783945874601E-2</v>
      </c>
      <c r="AY12" s="14"/>
      <c r="AZ12" s="14">
        <v>2.06433655786964E-2</v>
      </c>
      <c r="BA12" s="14">
        <v>0.14146974535772999</v>
      </c>
    </row>
    <row r="13" spans="2:53" x14ac:dyDescent="0.35">
      <c r="B13" s="15" t="s">
        <v>116</v>
      </c>
      <c r="C13" s="18">
        <v>1.7878924148197899E-2</v>
      </c>
      <c r="D13" s="18">
        <v>1.1770231993627299E-2</v>
      </c>
      <c r="E13" s="18">
        <v>2.4371067931171098E-2</v>
      </c>
      <c r="F13" s="18"/>
      <c r="G13" s="18">
        <v>0</v>
      </c>
      <c r="H13" s="18">
        <v>1.7573945524676299E-2</v>
      </c>
      <c r="I13" s="18">
        <v>5.1216580330934701E-3</v>
      </c>
      <c r="J13" s="18">
        <v>3.0060621084613399E-2</v>
      </c>
      <c r="K13" s="18">
        <v>2.8812062471821599E-2</v>
      </c>
      <c r="L13" s="18">
        <v>0</v>
      </c>
      <c r="M13" s="18"/>
      <c r="N13" s="18">
        <v>0</v>
      </c>
      <c r="O13" s="18">
        <v>1.2025791757936E-2</v>
      </c>
      <c r="P13" s="18">
        <v>3.3037027344646301E-2</v>
      </c>
      <c r="Q13" s="18">
        <v>3.2903222573860601E-2</v>
      </c>
      <c r="R13" s="18"/>
      <c r="S13" s="18">
        <v>0</v>
      </c>
      <c r="T13" s="18">
        <v>0</v>
      </c>
      <c r="U13" s="18">
        <v>2.4266764837570499E-2</v>
      </c>
      <c r="V13" s="18">
        <v>7.6063184615886306E-2</v>
      </c>
      <c r="W13" s="18">
        <v>0</v>
      </c>
      <c r="X13" s="18">
        <v>0</v>
      </c>
      <c r="Y13" s="18">
        <v>5.5598336658062901E-2</v>
      </c>
      <c r="Z13" s="18">
        <v>4.4600178536403003E-2</v>
      </c>
      <c r="AA13" s="18">
        <v>0</v>
      </c>
      <c r="AB13" s="18"/>
      <c r="AC13" s="18">
        <v>2.87926838964634E-2</v>
      </c>
      <c r="AD13" s="18">
        <v>3.5848305829608101E-2</v>
      </c>
      <c r="AE13" s="18">
        <v>1.6536311550791299E-2</v>
      </c>
      <c r="AF13" s="18">
        <v>0</v>
      </c>
      <c r="AG13" s="18">
        <v>0</v>
      </c>
      <c r="AH13" s="18"/>
      <c r="AI13" s="18">
        <v>1.4295368215437801E-2</v>
      </c>
      <c r="AJ13" s="18">
        <v>0</v>
      </c>
      <c r="AK13" s="18">
        <v>2.4197568127886399E-2</v>
      </c>
      <c r="AL13" s="18">
        <v>1.6584730338183799E-2</v>
      </c>
      <c r="AM13" s="18">
        <v>2.4665705119384901E-2</v>
      </c>
      <c r="AN13" s="18">
        <v>5.5313381998100299E-2</v>
      </c>
      <c r="AO13" s="18"/>
      <c r="AP13" s="18">
        <v>1.02431218471497E-2</v>
      </c>
      <c r="AQ13" s="18">
        <v>2.7656383346244699E-2</v>
      </c>
      <c r="AR13" s="18"/>
      <c r="AS13" s="18" t="s">
        <v>88</v>
      </c>
      <c r="AT13" s="18" t="s">
        <v>88</v>
      </c>
      <c r="AU13" s="18">
        <v>1.7878924148197899E-2</v>
      </c>
      <c r="AV13" s="18"/>
      <c r="AW13" s="18">
        <v>1.7202381647479802E-2</v>
      </c>
      <c r="AX13" s="18">
        <v>7.9409496230374802E-3</v>
      </c>
      <c r="AY13" s="18"/>
      <c r="AZ13" s="18">
        <v>9.4572676640031703E-3</v>
      </c>
      <c r="BA13" s="18">
        <v>5.7647917172019301E-2</v>
      </c>
    </row>
    <row r="14" spans="2:53" x14ac:dyDescent="0.35">
      <c r="B14" s="26" t="s">
        <v>224</v>
      </c>
      <c r="C14" s="27">
        <v>0.71466642078975595</v>
      </c>
      <c r="D14" s="27">
        <v>0.75412678952989498</v>
      </c>
      <c r="E14" s="27">
        <v>0.67219137172937904</v>
      </c>
      <c r="F14" s="27"/>
      <c r="G14" s="27">
        <v>0.46244813625315101</v>
      </c>
      <c r="H14" s="27">
        <v>0.73830474396033197</v>
      </c>
      <c r="I14" s="27">
        <v>0.75478560512415105</v>
      </c>
      <c r="J14" s="27">
        <v>0.69310458094577898</v>
      </c>
      <c r="K14" s="27">
        <v>0.64153659930918305</v>
      </c>
      <c r="L14" s="27">
        <v>0.66876796234019498</v>
      </c>
      <c r="M14" s="27"/>
      <c r="N14" s="27">
        <v>0.77328362931012395</v>
      </c>
      <c r="O14" s="27">
        <v>0.71671267871107203</v>
      </c>
      <c r="P14" s="27">
        <v>0.70683145799520697</v>
      </c>
      <c r="Q14" s="27">
        <v>0.64736983399037695</v>
      </c>
      <c r="R14" s="27"/>
      <c r="S14" s="27">
        <v>0.82690438049714299</v>
      </c>
      <c r="T14" s="27">
        <v>0.70091720178724304</v>
      </c>
      <c r="U14" s="27">
        <v>0.78593598791033503</v>
      </c>
      <c r="V14" s="27">
        <v>0.63559469963326998</v>
      </c>
      <c r="W14" s="27">
        <v>0.65980121627368404</v>
      </c>
      <c r="X14" s="27">
        <v>0.67495564613084702</v>
      </c>
      <c r="Y14" s="27">
        <v>0.61014348559539799</v>
      </c>
      <c r="Z14" s="27">
        <v>0.71880298999695702</v>
      </c>
      <c r="AA14" s="27">
        <v>0.766245643591554</v>
      </c>
      <c r="AB14" s="27"/>
      <c r="AC14" s="27">
        <v>0.61371600969666096</v>
      </c>
      <c r="AD14" s="27">
        <v>0.70602241220634998</v>
      </c>
      <c r="AE14" s="27">
        <v>0.753982717397782</v>
      </c>
      <c r="AF14" s="27">
        <v>0.80570248351410401</v>
      </c>
      <c r="AG14" s="27">
        <v>0.97970069420620498</v>
      </c>
      <c r="AH14" s="27"/>
      <c r="AI14" s="27">
        <v>0.76614691567780702</v>
      </c>
      <c r="AJ14" s="27">
        <v>0.75808773316010503</v>
      </c>
      <c r="AK14" s="27">
        <v>0.76824633754800498</v>
      </c>
      <c r="AL14" s="27">
        <v>0.57314457873158597</v>
      </c>
      <c r="AM14" s="27">
        <v>0.67055697361245004</v>
      </c>
      <c r="AN14" s="27">
        <v>0.69705928601949996</v>
      </c>
      <c r="AO14" s="27"/>
      <c r="AP14" s="27">
        <v>0.76166108307390301</v>
      </c>
      <c r="AQ14" s="27">
        <v>0.65636108879648503</v>
      </c>
      <c r="AR14" s="27"/>
      <c r="AS14" s="27" t="s">
        <v>88</v>
      </c>
      <c r="AT14" s="27" t="s">
        <v>88</v>
      </c>
      <c r="AU14" s="27">
        <v>0.71466642078975595</v>
      </c>
      <c r="AV14" s="27"/>
      <c r="AW14" s="27">
        <v>0.69306602307833198</v>
      </c>
      <c r="AX14" s="27">
        <v>0.82636764522953199</v>
      </c>
      <c r="AY14" s="27"/>
      <c r="AZ14" s="27">
        <v>0.76082601145272399</v>
      </c>
      <c r="BA14" s="27">
        <v>0.49494751121596903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B2:BA16"/>
  <sheetViews>
    <sheetView showGridLines="0" topLeftCell="A5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154</v>
      </c>
      <c r="C9" s="14">
        <v>0.43700248553092902</v>
      </c>
      <c r="D9" s="14">
        <v>0.49451697490482699</v>
      </c>
      <c r="E9" s="14">
        <v>0.37920069418054297</v>
      </c>
      <c r="F9" s="14"/>
      <c r="G9" s="14">
        <v>0.37788578674971901</v>
      </c>
      <c r="H9" s="14">
        <v>0.43880451569462597</v>
      </c>
      <c r="I9" s="14">
        <v>0.44887894610323997</v>
      </c>
      <c r="J9" s="14">
        <v>0.41497920638263802</v>
      </c>
      <c r="K9" s="14">
        <v>0.45484902423064499</v>
      </c>
      <c r="L9" s="14">
        <v>0.51292886853925101</v>
      </c>
      <c r="M9" s="14"/>
      <c r="N9" s="14">
        <v>0.50488463459752597</v>
      </c>
      <c r="O9" s="14">
        <v>0.37759320894472298</v>
      </c>
      <c r="P9" s="14">
        <v>0.49626962847668199</v>
      </c>
      <c r="Q9" s="14">
        <v>0.36545780463087602</v>
      </c>
      <c r="R9" s="14"/>
      <c r="S9" s="14">
        <v>0.52841244396397402</v>
      </c>
      <c r="T9" s="14">
        <v>0.475729837172092</v>
      </c>
      <c r="U9" s="14">
        <v>0.40960715005104997</v>
      </c>
      <c r="V9" s="14">
        <v>0.37461880359532301</v>
      </c>
      <c r="W9" s="14">
        <v>0.355798616522079</v>
      </c>
      <c r="X9" s="14">
        <v>0.47325236523773401</v>
      </c>
      <c r="Y9" s="14">
        <v>0.37051640172643802</v>
      </c>
      <c r="Z9" s="14">
        <v>0.50596356073502402</v>
      </c>
      <c r="AA9" s="14">
        <v>0.41571453301936401</v>
      </c>
      <c r="AB9" s="14"/>
      <c r="AC9" s="14">
        <v>0.33846752454083801</v>
      </c>
      <c r="AD9" s="14">
        <v>0.482439292332768</v>
      </c>
      <c r="AE9" s="14">
        <v>0.43373407259285301</v>
      </c>
      <c r="AF9" s="14">
        <v>0.53465336448518896</v>
      </c>
      <c r="AG9" s="14">
        <v>0.64599516246018795</v>
      </c>
      <c r="AH9" s="14"/>
      <c r="AI9" s="14">
        <v>0.48207532960034999</v>
      </c>
      <c r="AJ9" s="14">
        <v>0.51241485737318404</v>
      </c>
      <c r="AK9" s="14">
        <v>0.415688763706413</v>
      </c>
      <c r="AL9" s="14">
        <v>0.38423096435715298</v>
      </c>
      <c r="AM9" s="14">
        <v>0.40114359184673198</v>
      </c>
      <c r="AN9" s="14">
        <v>0.32831769222139001</v>
      </c>
      <c r="AO9" s="14"/>
      <c r="AP9" s="14">
        <v>0.43732631156396301</v>
      </c>
      <c r="AQ9" s="14">
        <v>0.43670820804461502</v>
      </c>
      <c r="AR9" s="14"/>
      <c r="AS9" s="14" t="s">
        <v>88</v>
      </c>
      <c r="AT9" s="14" t="s">
        <v>88</v>
      </c>
      <c r="AU9" s="14">
        <v>0.43700248553092902</v>
      </c>
      <c r="AV9" s="14"/>
      <c r="AW9" s="14">
        <v>0.44416294129877598</v>
      </c>
      <c r="AX9" s="14">
        <v>0.50908319100301502</v>
      </c>
      <c r="AY9" s="14"/>
      <c r="AZ9" s="14">
        <v>0.48558193079794698</v>
      </c>
      <c r="BA9" s="14">
        <v>0.261494742674789</v>
      </c>
    </row>
    <row r="10" spans="2:53" x14ac:dyDescent="0.35">
      <c r="B10" s="15" t="s">
        <v>155</v>
      </c>
      <c r="C10" s="14">
        <v>0.33485404015425602</v>
      </c>
      <c r="D10" s="14">
        <v>0.31218195318249697</v>
      </c>
      <c r="E10" s="14">
        <v>0.35780983792590498</v>
      </c>
      <c r="F10" s="14"/>
      <c r="G10" s="14">
        <v>0.182858017741347</v>
      </c>
      <c r="H10" s="14">
        <v>0.400034621597954</v>
      </c>
      <c r="I10" s="14">
        <v>0.34495536214290501</v>
      </c>
      <c r="J10" s="14">
        <v>0.32989117595927703</v>
      </c>
      <c r="K10" s="14">
        <v>0.27138855177590498</v>
      </c>
      <c r="L10" s="14">
        <v>0.376426928487479</v>
      </c>
      <c r="M10" s="14"/>
      <c r="N10" s="14">
        <v>0.34734358003429899</v>
      </c>
      <c r="O10" s="14">
        <v>0.33552212552549898</v>
      </c>
      <c r="P10" s="14">
        <v>0.30672486509256802</v>
      </c>
      <c r="Q10" s="14">
        <v>0.34537279893282702</v>
      </c>
      <c r="R10" s="14"/>
      <c r="S10" s="14">
        <v>0.26379722018709401</v>
      </c>
      <c r="T10" s="14">
        <v>0.335682159006439</v>
      </c>
      <c r="U10" s="14">
        <v>0.380733569259465</v>
      </c>
      <c r="V10" s="14">
        <v>0.34107524207970502</v>
      </c>
      <c r="W10" s="14">
        <v>0.41018228886240399</v>
      </c>
      <c r="X10" s="14">
        <v>0.314552516607221</v>
      </c>
      <c r="Y10" s="14">
        <v>0.36918687152875601</v>
      </c>
      <c r="Z10" s="14">
        <v>0.32135562325171602</v>
      </c>
      <c r="AA10" s="14">
        <v>0.31490076960468399</v>
      </c>
      <c r="AB10" s="14"/>
      <c r="AC10" s="14">
        <v>0.335092803851821</v>
      </c>
      <c r="AD10" s="14">
        <v>0.30375351185001898</v>
      </c>
      <c r="AE10" s="14">
        <v>0.38658955856059302</v>
      </c>
      <c r="AF10" s="14">
        <v>0.32756553542234401</v>
      </c>
      <c r="AG10" s="14">
        <v>0.19434441055965701</v>
      </c>
      <c r="AH10" s="14"/>
      <c r="AI10" s="14">
        <v>0.28998645205118301</v>
      </c>
      <c r="AJ10" s="14">
        <v>0.39726253609096501</v>
      </c>
      <c r="AK10" s="14">
        <v>0.31024382107387699</v>
      </c>
      <c r="AL10" s="14">
        <v>0.32482329684371902</v>
      </c>
      <c r="AM10" s="14">
        <v>0.49303248687601797</v>
      </c>
      <c r="AN10" s="14">
        <v>0.322703504968258</v>
      </c>
      <c r="AO10" s="14"/>
      <c r="AP10" s="14">
        <v>0.34599361971776299</v>
      </c>
      <c r="AQ10" s="14">
        <v>0.322760565275864</v>
      </c>
      <c r="AR10" s="14"/>
      <c r="AS10" s="14" t="s">
        <v>88</v>
      </c>
      <c r="AT10" s="14" t="s">
        <v>88</v>
      </c>
      <c r="AU10" s="14">
        <v>0.33485404015425602</v>
      </c>
      <c r="AV10" s="14"/>
      <c r="AW10" s="14">
        <v>0.31910190856438603</v>
      </c>
      <c r="AX10" s="14">
        <v>0.36885761273177298</v>
      </c>
      <c r="AY10" s="14"/>
      <c r="AZ10" s="14">
        <v>0.32643867162877799</v>
      </c>
      <c r="BA10" s="14">
        <v>0.36914095599389501</v>
      </c>
    </row>
    <row r="11" spans="2:53" x14ac:dyDescent="0.35">
      <c r="B11" s="15" t="s">
        <v>116</v>
      </c>
      <c r="C11" s="23">
        <v>0.22814347431481499</v>
      </c>
      <c r="D11" s="23">
        <v>0.19330107191267601</v>
      </c>
      <c r="E11" s="23">
        <v>0.26298946789355199</v>
      </c>
      <c r="F11" s="23"/>
      <c r="G11" s="23">
        <v>0.43925619550893402</v>
      </c>
      <c r="H11" s="23">
        <v>0.16116086270742</v>
      </c>
      <c r="I11" s="23">
        <v>0.20616569175385499</v>
      </c>
      <c r="J11" s="23">
        <v>0.25512961765808501</v>
      </c>
      <c r="K11" s="23">
        <v>0.27376242399345002</v>
      </c>
      <c r="L11" s="23">
        <v>0.11064420297327</v>
      </c>
      <c r="M11" s="23"/>
      <c r="N11" s="23">
        <v>0.14777178536817501</v>
      </c>
      <c r="O11" s="23">
        <v>0.28688466552977798</v>
      </c>
      <c r="P11" s="23">
        <v>0.19700550643074999</v>
      </c>
      <c r="Q11" s="23">
        <v>0.28916939643629702</v>
      </c>
      <c r="R11" s="23"/>
      <c r="S11" s="23">
        <v>0.207790335848931</v>
      </c>
      <c r="T11" s="23">
        <v>0.18858800382146901</v>
      </c>
      <c r="U11" s="23">
        <v>0.209659280689485</v>
      </c>
      <c r="V11" s="23">
        <v>0.28430595432497202</v>
      </c>
      <c r="W11" s="23">
        <v>0.23401909461551601</v>
      </c>
      <c r="X11" s="23">
        <v>0.21219511815504499</v>
      </c>
      <c r="Y11" s="23">
        <v>0.26029672674480703</v>
      </c>
      <c r="Z11" s="23">
        <v>0.17268081601325999</v>
      </c>
      <c r="AA11" s="23">
        <v>0.269384697375952</v>
      </c>
      <c r="AB11" s="23"/>
      <c r="AC11" s="23">
        <v>0.326439671607341</v>
      </c>
      <c r="AD11" s="23">
        <v>0.213807195817213</v>
      </c>
      <c r="AE11" s="23">
        <v>0.179676368846553</v>
      </c>
      <c r="AF11" s="23">
        <v>0.137781100092466</v>
      </c>
      <c r="AG11" s="23">
        <v>0.15966042698015501</v>
      </c>
      <c r="AH11" s="23"/>
      <c r="AI11" s="23">
        <v>0.227938218348467</v>
      </c>
      <c r="AJ11" s="23">
        <v>9.0322606535851002E-2</v>
      </c>
      <c r="AK11" s="23">
        <v>0.27406741521971001</v>
      </c>
      <c r="AL11" s="23">
        <v>0.290945738799128</v>
      </c>
      <c r="AM11" s="23">
        <v>0.10582392127725</v>
      </c>
      <c r="AN11" s="23">
        <v>0.34897880281035298</v>
      </c>
      <c r="AO11" s="23"/>
      <c r="AP11" s="23">
        <v>0.216680068718273</v>
      </c>
      <c r="AQ11" s="23">
        <v>0.24053122667952001</v>
      </c>
      <c r="AR11" s="23"/>
      <c r="AS11" s="23" t="s">
        <v>88</v>
      </c>
      <c r="AT11" s="23" t="s">
        <v>88</v>
      </c>
      <c r="AU11" s="23">
        <v>0.22814347431481499</v>
      </c>
      <c r="AV11" s="23"/>
      <c r="AW11" s="23">
        <v>0.23673515013683799</v>
      </c>
      <c r="AX11" s="23">
        <v>0.122059196265212</v>
      </c>
      <c r="AY11" s="23"/>
      <c r="AZ11" s="23">
        <v>0.187979397573275</v>
      </c>
      <c r="BA11" s="23">
        <v>0.36936430133131598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B2:BA18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587</v>
      </c>
      <c r="D7" s="10">
        <v>278</v>
      </c>
      <c r="E7" s="10">
        <v>308</v>
      </c>
      <c r="F7" s="10"/>
      <c r="G7" s="10">
        <v>1</v>
      </c>
      <c r="H7" s="10">
        <v>54</v>
      </c>
      <c r="I7" s="10">
        <v>247</v>
      </c>
      <c r="J7" s="10">
        <v>202</v>
      </c>
      <c r="K7" s="10">
        <v>70</v>
      </c>
      <c r="L7" s="10">
        <v>13</v>
      </c>
      <c r="M7" s="10"/>
      <c r="N7" s="10">
        <v>293</v>
      </c>
      <c r="O7" s="10">
        <v>117</v>
      </c>
      <c r="P7" s="10">
        <v>96</v>
      </c>
      <c r="Q7" s="10">
        <v>80</v>
      </c>
      <c r="R7" s="10"/>
      <c r="S7" s="10">
        <v>133</v>
      </c>
      <c r="T7" s="10">
        <v>85</v>
      </c>
      <c r="U7" s="10">
        <v>42</v>
      </c>
      <c r="V7" s="10">
        <v>47</v>
      </c>
      <c r="W7" s="10">
        <v>36</v>
      </c>
      <c r="X7" s="10">
        <v>78</v>
      </c>
      <c r="Y7" s="10">
        <v>59</v>
      </c>
      <c r="Z7" s="10">
        <v>33</v>
      </c>
      <c r="AA7" s="10">
        <v>74</v>
      </c>
      <c r="AB7" s="10"/>
      <c r="AC7" s="10">
        <v>85</v>
      </c>
      <c r="AD7" s="10">
        <v>117</v>
      </c>
      <c r="AE7" s="10">
        <v>165</v>
      </c>
      <c r="AF7" s="10">
        <v>127</v>
      </c>
      <c r="AG7" s="10">
        <v>33</v>
      </c>
      <c r="AH7" s="10"/>
      <c r="AI7" s="10">
        <v>228</v>
      </c>
      <c r="AJ7" s="10">
        <v>134</v>
      </c>
      <c r="AK7" s="10">
        <v>57</v>
      </c>
      <c r="AL7" s="10">
        <v>76</v>
      </c>
      <c r="AM7" s="10">
        <v>25</v>
      </c>
      <c r="AN7" s="10">
        <v>28</v>
      </c>
      <c r="AO7" s="10"/>
      <c r="AP7" s="10">
        <v>322</v>
      </c>
      <c r="AQ7" s="10">
        <v>264</v>
      </c>
      <c r="AR7" s="10"/>
      <c r="AS7" s="10" t="s">
        <v>87</v>
      </c>
      <c r="AT7" s="10" t="s">
        <v>87</v>
      </c>
      <c r="AU7" s="10">
        <v>587</v>
      </c>
      <c r="AV7" s="10"/>
      <c r="AW7" s="10">
        <v>417</v>
      </c>
      <c r="AX7" s="10">
        <v>136</v>
      </c>
      <c r="AY7" s="10"/>
      <c r="AZ7" s="10">
        <v>516</v>
      </c>
      <c r="BA7" s="10">
        <v>70</v>
      </c>
    </row>
    <row r="8" spans="2:53" ht="30" customHeight="1" x14ac:dyDescent="0.35">
      <c r="B8" s="11" t="s">
        <v>19</v>
      </c>
      <c r="C8" s="11">
        <v>577</v>
      </c>
      <c r="D8" s="11">
        <v>324</v>
      </c>
      <c r="E8" s="11">
        <v>251</v>
      </c>
      <c r="F8" s="11"/>
      <c r="G8" s="11">
        <v>1</v>
      </c>
      <c r="H8" s="11">
        <v>47</v>
      </c>
      <c r="I8" s="11">
        <v>230</v>
      </c>
      <c r="J8" s="11">
        <v>210</v>
      </c>
      <c r="K8" s="11">
        <v>74</v>
      </c>
      <c r="L8" s="11">
        <v>14</v>
      </c>
      <c r="M8" s="11"/>
      <c r="N8" s="11">
        <v>184</v>
      </c>
      <c r="O8" s="11">
        <v>122</v>
      </c>
      <c r="P8" s="11">
        <v>152</v>
      </c>
      <c r="Q8" s="11">
        <v>116</v>
      </c>
      <c r="R8" s="11"/>
      <c r="S8" s="11">
        <v>106</v>
      </c>
      <c r="T8" s="11">
        <v>97</v>
      </c>
      <c r="U8" s="11">
        <v>53</v>
      </c>
      <c r="V8" s="11">
        <v>55</v>
      </c>
      <c r="W8" s="11">
        <v>46</v>
      </c>
      <c r="X8" s="11">
        <v>64</v>
      </c>
      <c r="Y8" s="11">
        <v>51</v>
      </c>
      <c r="Z8" s="11">
        <v>35</v>
      </c>
      <c r="AA8" s="11">
        <v>71</v>
      </c>
      <c r="AB8" s="11"/>
      <c r="AC8" s="11">
        <v>104</v>
      </c>
      <c r="AD8" s="11">
        <v>133</v>
      </c>
      <c r="AE8" s="11">
        <v>157</v>
      </c>
      <c r="AF8" s="11">
        <v>96</v>
      </c>
      <c r="AG8" s="11">
        <v>18</v>
      </c>
      <c r="AH8" s="11"/>
      <c r="AI8" s="11">
        <v>218</v>
      </c>
      <c r="AJ8" s="11">
        <v>121</v>
      </c>
      <c r="AK8" s="11">
        <v>51</v>
      </c>
      <c r="AL8" s="11">
        <v>84</v>
      </c>
      <c r="AM8" s="11">
        <v>26</v>
      </c>
      <c r="AN8" s="11">
        <v>32</v>
      </c>
      <c r="AO8" s="11"/>
      <c r="AP8" s="11">
        <v>307</v>
      </c>
      <c r="AQ8" s="11">
        <v>268</v>
      </c>
      <c r="AR8" s="11"/>
      <c r="AS8" s="11" t="s">
        <v>87</v>
      </c>
      <c r="AT8" s="11" t="s">
        <v>87</v>
      </c>
      <c r="AU8" s="11">
        <v>577</v>
      </c>
      <c r="AV8" s="11"/>
      <c r="AW8" s="11">
        <v>432</v>
      </c>
      <c r="AX8" s="11">
        <v>106</v>
      </c>
      <c r="AY8" s="11"/>
      <c r="AZ8" s="11">
        <v>501</v>
      </c>
      <c r="BA8" s="11">
        <v>74</v>
      </c>
    </row>
    <row r="9" spans="2:53" x14ac:dyDescent="0.35">
      <c r="B9" s="15" t="s">
        <v>214</v>
      </c>
      <c r="C9" s="14">
        <v>0.19939245494063201</v>
      </c>
      <c r="D9" s="14">
        <v>0.21499469158100301</v>
      </c>
      <c r="E9" s="14">
        <v>0.18003827486622401</v>
      </c>
      <c r="F9" s="14"/>
      <c r="G9" s="14">
        <v>0</v>
      </c>
      <c r="H9" s="14">
        <v>0.24050153557776399</v>
      </c>
      <c r="I9" s="14">
        <v>0.25060056397217301</v>
      </c>
      <c r="J9" s="14">
        <v>0.164837140610234</v>
      </c>
      <c r="K9" s="14">
        <v>0.127756445529317</v>
      </c>
      <c r="L9" s="14">
        <v>0.13546943671196399</v>
      </c>
      <c r="M9" s="14"/>
      <c r="N9" s="14">
        <v>0.156152467560325</v>
      </c>
      <c r="O9" s="14">
        <v>0.177994101592647</v>
      </c>
      <c r="P9" s="14">
        <v>0.19138289743367601</v>
      </c>
      <c r="Q9" s="14">
        <v>0.30305170116491498</v>
      </c>
      <c r="R9" s="14"/>
      <c r="S9" s="14">
        <v>0.23998022540994801</v>
      </c>
      <c r="T9" s="14">
        <v>0.159012281495715</v>
      </c>
      <c r="U9" s="14">
        <v>0.114845180698741</v>
      </c>
      <c r="V9" s="14">
        <v>0.153049181923016</v>
      </c>
      <c r="W9" s="14">
        <v>0.226658398555103</v>
      </c>
      <c r="X9" s="14">
        <v>0.24463755197894199</v>
      </c>
      <c r="Y9" s="14">
        <v>0.21229813055664301</v>
      </c>
      <c r="Z9" s="14">
        <v>0.24498934471726699</v>
      </c>
      <c r="AA9" s="14">
        <v>0.202709626046188</v>
      </c>
      <c r="AB9" s="14"/>
      <c r="AC9" s="14">
        <v>0.218753152209295</v>
      </c>
      <c r="AD9" s="14">
        <v>0.1500037221528</v>
      </c>
      <c r="AE9" s="14">
        <v>0.18098022680805201</v>
      </c>
      <c r="AF9" s="14">
        <v>0.24972200667454</v>
      </c>
      <c r="AG9" s="14">
        <v>0.35342906213615599</v>
      </c>
      <c r="AH9" s="14"/>
      <c r="AI9" s="14">
        <v>0.29554227003633299</v>
      </c>
      <c r="AJ9" s="14">
        <v>0.15805925785556299</v>
      </c>
      <c r="AK9" s="14">
        <v>0.157414778731466</v>
      </c>
      <c r="AL9" s="14">
        <v>9.7597177232171498E-2</v>
      </c>
      <c r="AM9" s="14">
        <v>0.24799024648189499</v>
      </c>
      <c r="AN9" s="14">
        <v>0.17237829288891801</v>
      </c>
      <c r="AO9" s="14"/>
      <c r="AP9" s="14">
        <v>0.22435826213950399</v>
      </c>
      <c r="AQ9" s="14">
        <v>0.17176935491274001</v>
      </c>
      <c r="AR9" s="14"/>
      <c r="AS9" s="14" t="s">
        <v>88</v>
      </c>
      <c r="AT9" s="14" t="s">
        <v>88</v>
      </c>
      <c r="AU9" s="14">
        <v>0.19939245494063201</v>
      </c>
      <c r="AV9" s="14"/>
      <c r="AW9" s="14">
        <v>0.18062388063799001</v>
      </c>
      <c r="AX9" s="14">
        <v>0.25747287744543002</v>
      </c>
      <c r="AY9" s="14"/>
      <c r="AZ9" s="14">
        <v>0.20828436942845699</v>
      </c>
      <c r="BA9" s="14">
        <v>0.14220735154216699</v>
      </c>
    </row>
    <row r="10" spans="2:53" x14ac:dyDescent="0.35">
      <c r="B10" s="15" t="s">
        <v>215</v>
      </c>
      <c r="C10" s="14">
        <v>0.46816936788123298</v>
      </c>
      <c r="D10" s="14">
        <v>0.473332671925627</v>
      </c>
      <c r="E10" s="14">
        <v>0.46336542579796802</v>
      </c>
      <c r="F10" s="14"/>
      <c r="G10" s="14">
        <v>0</v>
      </c>
      <c r="H10" s="14">
        <v>0.43595380008192702</v>
      </c>
      <c r="I10" s="14">
        <v>0.47031136194855699</v>
      </c>
      <c r="J10" s="14">
        <v>0.46658323675925101</v>
      </c>
      <c r="K10" s="14">
        <v>0.44639623134603401</v>
      </c>
      <c r="L10" s="14">
        <v>0.71161341768831698</v>
      </c>
      <c r="M10" s="14"/>
      <c r="N10" s="14">
        <v>0.49909024833096099</v>
      </c>
      <c r="O10" s="14">
        <v>0.47595550831764799</v>
      </c>
      <c r="P10" s="14">
        <v>0.46202617848703798</v>
      </c>
      <c r="Q10" s="14">
        <v>0.41306404101819599</v>
      </c>
      <c r="R10" s="14"/>
      <c r="S10" s="14">
        <v>0.52040044613314795</v>
      </c>
      <c r="T10" s="14">
        <v>0.407933266489932</v>
      </c>
      <c r="U10" s="14">
        <v>0.52845497258149499</v>
      </c>
      <c r="V10" s="14">
        <v>0.399778646766006</v>
      </c>
      <c r="W10" s="14">
        <v>0.42022119801632501</v>
      </c>
      <c r="X10" s="14">
        <v>0.50606567195577601</v>
      </c>
      <c r="Y10" s="14">
        <v>0.50482815876255005</v>
      </c>
      <c r="Z10" s="14">
        <v>0.32942591087198297</v>
      </c>
      <c r="AA10" s="14">
        <v>0.51900260004528997</v>
      </c>
      <c r="AB10" s="14"/>
      <c r="AC10" s="14">
        <v>0.43113613809453299</v>
      </c>
      <c r="AD10" s="14">
        <v>0.57888379380479305</v>
      </c>
      <c r="AE10" s="14">
        <v>0.452840880848076</v>
      </c>
      <c r="AF10" s="14">
        <v>0.43996443721460199</v>
      </c>
      <c r="AG10" s="14">
        <v>0.41622733825216801</v>
      </c>
      <c r="AH10" s="14"/>
      <c r="AI10" s="14">
        <v>0.42302801772523002</v>
      </c>
      <c r="AJ10" s="14">
        <v>0.48905534984013299</v>
      </c>
      <c r="AK10" s="14">
        <v>0.542265745583147</v>
      </c>
      <c r="AL10" s="14">
        <v>0.47859789296706601</v>
      </c>
      <c r="AM10" s="14">
        <v>0.36957932900449603</v>
      </c>
      <c r="AN10" s="14">
        <v>0.61942187666781601</v>
      </c>
      <c r="AO10" s="14"/>
      <c r="AP10" s="14">
        <v>0.48300323504129899</v>
      </c>
      <c r="AQ10" s="14">
        <v>0.45347761755573501</v>
      </c>
      <c r="AR10" s="14"/>
      <c r="AS10" s="14" t="s">
        <v>88</v>
      </c>
      <c r="AT10" s="14" t="s">
        <v>88</v>
      </c>
      <c r="AU10" s="14">
        <v>0.46816936788123298</v>
      </c>
      <c r="AV10" s="14"/>
      <c r="AW10" s="14">
        <v>0.48977683079760098</v>
      </c>
      <c r="AX10" s="14">
        <v>0.43248272231104101</v>
      </c>
      <c r="AY10" s="14"/>
      <c r="AZ10" s="14">
        <v>0.47195974903698001</v>
      </c>
      <c r="BA10" s="14">
        <v>0.43500415899267902</v>
      </c>
    </row>
    <row r="11" spans="2:53" x14ac:dyDescent="0.35">
      <c r="B11" s="15" t="s">
        <v>216</v>
      </c>
      <c r="C11" s="14">
        <v>0.14861384250442</v>
      </c>
      <c r="D11" s="14">
        <v>0.13380525455072201</v>
      </c>
      <c r="E11" s="14">
        <v>0.16434770048595199</v>
      </c>
      <c r="F11" s="14"/>
      <c r="G11" s="14">
        <v>0</v>
      </c>
      <c r="H11" s="14">
        <v>0.19746984011742899</v>
      </c>
      <c r="I11" s="14">
        <v>0.10777105778231399</v>
      </c>
      <c r="J11" s="14">
        <v>0.15568331461099699</v>
      </c>
      <c r="K11" s="14">
        <v>0.24231806694048999</v>
      </c>
      <c r="L11" s="14">
        <v>6.4986411088416393E-2</v>
      </c>
      <c r="M11" s="14"/>
      <c r="N11" s="14">
        <v>0.178165653669038</v>
      </c>
      <c r="O11" s="14">
        <v>0.15846313202889101</v>
      </c>
      <c r="P11" s="14">
        <v>0.158260843635746</v>
      </c>
      <c r="Q11" s="14">
        <v>8.0547499198141095E-2</v>
      </c>
      <c r="R11" s="14"/>
      <c r="S11" s="14">
        <v>0.11369333769604401</v>
      </c>
      <c r="T11" s="14">
        <v>0.143735943125474</v>
      </c>
      <c r="U11" s="14">
        <v>0.16549559935052199</v>
      </c>
      <c r="V11" s="14">
        <v>0.218883998014444</v>
      </c>
      <c r="W11" s="14">
        <v>0.12716879046990501</v>
      </c>
      <c r="X11" s="14">
        <v>0.12446297361305</v>
      </c>
      <c r="Y11" s="14">
        <v>0.120515329670036</v>
      </c>
      <c r="Z11" s="14">
        <v>0.27921210762053</v>
      </c>
      <c r="AA11" s="14">
        <v>0.13201525897911401</v>
      </c>
      <c r="AB11" s="14"/>
      <c r="AC11" s="14">
        <v>8.4322951293972701E-2</v>
      </c>
      <c r="AD11" s="14">
        <v>0.12505040816873</v>
      </c>
      <c r="AE11" s="14">
        <v>0.20662856261124901</v>
      </c>
      <c r="AF11" s="14">
        <v>0.14344189236869401</v>
      </c>
      <c r="AG11" s="14">
        <v>0.15335038088612701</v>
      </c>
      <c r="AH11" s="14"/>
      <c r="AI11" s="14">
        <v>0.131245481349724</v>
      </c>
      <c r="AJ11" s="14">
        <v>0.19032195504207799</v>
      </c>
      <c r="AK11" s="14">
        <v>0.151334327034093</v>
      </c>
      <c r="AL11" s="14">
        <v>0.17465229991166201</v>
      </c>
      <c r="AM11" s="14">
        <v>0.185253694329608</v>
      </c>
      <c r="AN11" s="14">
        <v>3.5917418390173303E-2</v>
      </c>
      <c r="AO11" s="14"/>
      <c r="AP11" s="14">
        <v>0.13980045244855199</v>
      </c>
      <c r="AQ11" s="14">
        <v>0.15944310451992</v>
      </c>
      <c r="AR11" s="14"/>
      <c r="AS11" s="14" t="s">
        <v>88</v>
      </c>
      <c r="AT11" s="14" t="s">
        <v>88</v>
      </c>
      <c r="AU11" s="14">
        <v>0.14861384250442</v>
      </c>
      <c r="AV11" s="14"/>
      <c r="AW11" s="14">
        <v>0.13699619697749499</v>
      </c>
      <c r="AX11" s="14">
        <v>0.18938312167510599</v>
      </c>
      <c r="AY11" s="14"/>
      <c r="AZ11" s="14">
        <v>0.148895947340941</v>
      </c>
      <c r="BA11" s="14">
        <v>0.14882695621869499</v>
      </c>
    </row>
    <row r="12" spans="2:53" x14ac:dyDescent="0.35">
      <c r="B12" s="15" t="s">
        <v>217</v>
      </c>
      <c r="C12" s="14">
        <v>8.1758472729960896E-2</v>
      </c>
      <c r="D12" s="14">
        <v>6.0588734482396898E-2</v>
      </c>
      <c r="E12" s="14">
        <v>0.109421436062758</v>
      </c>
      <c r="F12" s="14"/>
      <c r="G12" s="14">
        <v>0</v>
      </c>
      <c r="H12" s="14">
        <v>5.6672300860016102E-2</v>
      </c>
      <c r="I12" s="14">
        <v>9.9734036167299395E-2</v>
      </c>
      <c r="J12" s="14">
        <v>7.4156950806942901E-2</v>
      </c>
      <c r="K12" s="14">
        <v>8.0394806587745199E-2</v>
      </c>
      <c r="L12" s="14">
        <v>0</v>
      </c>
      <c r="M12" s="14"/>
      <c r="N12" s="14">
        <v>4.8162569262244603E-2</v>
      </c>
      <c r="O12" s="14">
        <v>9.4883124462852894E-2</v>
      </c>
      <c r="P12" s="14">
        <v>7.0505177619213696E-2</v>
      </c>
      <c r="Q12" s="14">
        <v>0.13676184898473301</v>
      </c>
      <c r="R12" s="14"/>
      <c r="S12" s="14">
        <v>2.51385097476346E-2</v>
      </c>
      <c r="T12" s="14">
        <v>0.111633489499418</v>
      </c>
      <c r="U12" s="14">
        <v>0.105846519986392</v>
      </c>
      <c r="V12" s="14">
        <v>0.14230588106686901</v>
      </c>
      <c r="W12" s="14">
        <v>0.104297623537931</v>
      </c>
      <c r="X12" s="14">
        <v>3.1940270946136697E-2</v>
      </c>
      <c r="Y12" s="14">
        <v>8.3032642334831805E-2</v>
      </c>
      <c r="Z12" s="14">
        <v>7.9437678094289393E-2</v>
      </c>
      <c r="AA12" s="14">
        <v>9.1324125599946696E-2</v>
      </c>
      <c r="AB12" s="14"/>
      <c r="AC12" s="14">
        <v>0.14835458427381501</v>
      </c>
      <c r="AD12" s="14">
        <v>0.102437518404794</v>
      </c>
      <c r="AE12" s="14">
        <v>2.8682318036134798E-2</v>
      </c>
      <c r="AF12" s="14">
        <v>6.3145219542831602E-2</v>
      </c>
      <c r="AG12" s="14">
        <v>0</v>
      </c>
      <c r="AH12" s="14"/>
      <c r="AI12" s="14">
        <v>6.0898447756440599E-2</v>
      </c>
      <c r="AJ12" s="14">
        <v>8.7115894286855802E-2</v>
      </c>
      <c r="AK12" s="14">
        <v>9.2942300953983606E-2</v>
      </c>
      <c r="AL12" s="14">
        <v>5.9582318707728898E-2</v>
      </c>
      <c r="AM12" s="14">
        <v>0</v>
      </c>
      <c r="AN12" s="14">
        <v>7.1415177705836705E-2</v>
      </c>
      <c r="AO12" s="14"/>
      <c r="AP12" s="14">
        <v>4.9970538391049799E-2</v>
      </c>
      <c r="AQ12" s="14">
        <v>0.11858162633385801</v>
      </c>
      <c r="AR12" s="14"/>
      <c r="AS12" s="14" t="s">
        <v>88</v>
      </c>
      <c r="AT12" s="14" t="s">
        <v>88</v>
      </c>
      <c r="AU12" s="14">
        <v>8.1758472729960896E-2</v>
      </c>
      <c r="AV12" s="14"/>
      <c r="AW12" s="14">
        <v>8.5630612405880005E-2</v>
      </c>
      <c r="AX12" s="14">
        <v>1.5176570431208901E-2</v>
      </c>
      <c r="AY12" s="14"/>
      <c r="AZ12" s="14">
        <v>7.6245572971905998E-2</v>
      </c>
      <c r="BA12" s="14">
        <v>0.120138999667063</v>
      </c>
    </row>
    <row r="13" spans="2:53" x14ac:dyDescent="0.35">
      <c r="B13" s="15" t="s">
        <v>116</v>
      </c>
      <c r="C13" s="23">
        <v>3.7646306067782798E-2</v>
      </c>
      <c r="D13" s="23">
        <v>3.7673812883884501E-2</v>
      </c>
      <c r="E13" s="23">
        <v>3.7760646966073001E-2</v>
      </c>
      <c r="F13" s="23"/>
      <c r="G13" s="23">
        <v>0</v>
      </c>
      <c r="H13" s="23">
        <v>0</v>
      </c>
      <c r="I13" s="23">
        <v>2.8265541030482198E-2</v>
      </c>
      <c r="J13" s="23">
        <v>5.0473379411776202E-2</v>
      </c>
      <c r="K13" s="23">
        <v>5.6627752472906898E-2</v>
      </c>
      <c r="L13" s="23">
        <v>2.8141496660872199E-2</v>
      </c>
      <c r="M13" s="23"/>
      <c r="N13" s="23">
        <v>2.9383590091261898E-2</v>
      </c>
      <c r="O13" s="23">
        <v>3.75305226300576E-2</v>
      </c>
      <c r="P13" s="23">
        <v>3.3396430119631101E-2</v>
      </c>
      <c r="Q13" s="23">
        <v>5.6822390971599003E-2</v>
      </c>
      <c r="R13" s="23"/>
      <c r="S13" s="23">
        <v>3.8842614541471497E-2</v>
      </c>
      <c r="T13" s="23">
        <v>5.0321783726596701E-2</v>
      </c>
      <c r="U13" s="23">
        <v>2.2883193316774301E-2</v>
      </c>
      <c r="V13" s="23">
        <v>2.3928450218635901E-2</v>
      </c>
      <c r="W13" s="23">
        <v>3.1750615076809499E-2</v>
      </c>
      <c r="X13" s="23">
        <v>6.4396632496643805E-2</v>
      </c>
      <c r="Y13" s="23">
        <v>3.3525966096283298E-2</v>
      </c>
      <c r="Z13" s="23">
        <v>6.6934958695930705E-2</v>
      </c>
      <c r="AA13" s="23">
        <v>8.5998433829120608E-3</v>
      </c>
      <c r="AB13" s="23"/>
      <c r="AC13" s="23">
        <v>2.8882764833729299E-2</v>
      </c>
      <c r="AD13" s="23">
        <v>2.9666438482046E-2</v>
      </c>
      <c r="AE13" s="23">
        <v>7.4058131230451699E-2</v>
      </c>
      <c r="AF13" s="23">
        <v>1.23380333351845E-2</v>
      </c>
      <c r="AG13" s="23">
        <v>0</v>
      </c>
      <c r="AH13" s="23"/>
      <c r="AI13" s="23">
        <v>2.5625764029889302E-2</v>
      </c>
      <c r="AJ13" s="23">
        <v>4.0690792170903801E-2</v>
      </c>
      <c r="AK13" s="23">
        <v>3.9144801968060798E-2</v>
      </c>
      <c r="AL13" s="23">
        <v>5.85680096213788E-2</v>
      </c>
      <c r="AM13" s="23">
        <v>2.4521233900296799E-2</v>
      </c>
      <c r="AN13" s="23">
        <v>1.7581109442043701E-2</v>
      </c>
      <c r="AO13" s="23"/>
      <c r="AP13" s="23">
        <v>3.3637096524468398E-2</v>
      </c>
      <c r="AQ13" s="23">
        <v>3.7503713751550101E-2</v>
      </c>
      <c r="AR13" s="23"/>
      <c r="AS13" s="23" t="s">
        <v>88</v>
      </c>
      <c r="AT13" s="23" t="s">
        <v>88</v>
      </c>
      <c r="AU13" s="23">
        <v>3.7646306067782798E-2</v>
      </c>
      <c r="AV13" s="23"/>
      <c r="AW13" s="23">
        <v>4.2064424780656903E-2</v>
      </c>
      <c r="AX13" s="23">
        <v>2.9373971664317499E-2</v>
      </c>
      <c r="AY13" s="23"/>
      <c r="AZ13" s="23">
        <v>3.4132175464508099E-2</v>
      </c>
      <c r="BA13" s="23">
        <v>6.1905335693507299E-2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B2:BA19"/>
  <sheetViews>
    <sheetView showGridLines="0" topLeftCell="A5" workbookViewId="0">
      <pane xSplit="2" topLeftCell="C1" activePane="topRight" state="frozen"/>
      <selection pane="topRight" activeCell="AS9" sqref="AS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587</v>
      </c>
      <c r="D7" s="10">
        <v>278</v>
      </c>
      <c r="E7" s="10">
        <v>308</v>
      </c>
      <c r="F7" s="10"/>
      <c r="G7" s="10">
        <v>1</v>
      </c>
      <c r="H7" s="10">
        <v>54</v>
      </c>
      <c r="I7" s="10">
        <v>247</v>
      </c>
      <c r="J7" s="10">
        <v>202</v>
      </c>
      <c r="K7" s="10">
        <v>70</v>
      </c>
      <c r="L7" s="10">
        <v>13</v>
      </c>
      <c r="M7" s="10"/>
      <c r="N7" s="10">
        <v>293</v>
      </c>
      <c r="O7" s="10">
        <v>117</v>
      </c>
      <c r="P7" s="10">
        <v>96</v>
      </c>
      <c r="Q7" s="10">
        <v>80</v>
      </c>
      <c r="R7" s="10"/>
      <c r="S7" s="10">
        <v>133</v>
      </c>
      <c r="T7" s="10">
        <v>85</v>
      </c>
      <c r="U7" s="10">
        <v>42</v>
      </c>
      <c r="V7" s="10">
        <v>47</v>
      </c>
      <c r="W7" s="10">
        <v>36</v>
      </c>
      <c r="X7" s="10">
        <v>78</v>
      </c>
      <c r="Y7" s="10">
        <v>59</v>
      </c>
      <c r="Z7" s="10">
        <v>33</v>
      </c>
      <c r="AA7" s="10">
        <v>74</v>
      </c>
      <c r="AB7" s="10"/>
      <c r="AC7" s="10">
        <v>85</v>
      </c>
      <c r="AD7" s="10">
        <v>117</v>
      </c>
      <c r="AE7" s="10">
        <v>165</v>
      </c>
      <c r="AF7" s="10">
        <v>127</v>
      </c>
      <c r="AG7" s="10">
        <v>33</v>
      </c>
      <c r="AH7" s="10"/>
      <c r="AI7" s="10">
        <v>228</v>
      </c>
      <c r="AJ7" s="10">
        <v>134</v>
      </c>
      <c r="AK7" s="10">
        <v>57</v>
      </c>
      <c r="AL7" s="10">
        <v>76</v>
      </c>
      <c r="AM7" s="10">
        <v>25</v>
      </c>
      <c r="AN7" s="10">
        <v>28</v>
      </c>
      <c r="AO7" s="10"/>
      <c r="AP7" s="10">
        <v>322</v>
      </c>
      <c r="AQ7" s="10">
        <v>264</v>
      </c>
      <c r="AR7" s="10"/>
      <c r="AS7" s="10" t="s">
        <v>87</v>
      </c>
      <c r="AT7" s="10" t="s">
        <v>87</v>
      </c>
      <c r="AU7" s="10">
        <v>587</v>
      </c>
      <c r="AV7" s="10"/>
      <c r="AW7" s="10">
        <v>417</v>
      </c>
      <c r="AX7" s="10">
        <v>136</v>
      </c>
      <c r="AY7" s="10"/>
      <c r="AZ7" s="10">
        <v>516</v>
      </c>
      <c r="BA7" s="10">
        <v>70</v>
      </c>
    </row>
    <row r="8" spans="2:53" ht="30" customHeight="1" x14ac:dyDescent="0.35">
      <c r="B8" s="11" t="s">
        <v>19</v>
      </c>
      <c r="C8" s="11">
        <v>577</v>
      </c>
      <c r="D8" s="11">
        <v>324</v>
      </c>
      <c r="E8" s="11">
        <v>251</v>
      </c>
      <c r="F8" s="11"/>
      <c r="G8" s="11">
        <v>1</v>
      </c>
      <c r="H8" s="11">
        <v>47</v>
      </c>
      <c r="I8" s="11">
        <v>230</v>
      </c>
      <c r="J8" s="11">
        <v>210</v>
      </c>
      <c r="K8" s="11">
        <v>74</v>
      </c>
      <c r="L8" s="11">
        <v>14</v>
      </c>
      <c r="M8" s="11"/>
      <c r="N8" s="11">
        <v>184</v>
      </c>
      <c r="O8" s="11">
        <v>122</v>
      </c>
      <c r="P8" s="11">
        <v>152</v>
      </c>
      <c r="Q8" s="11">
        <v>116</v>
      </c>
      <c r="R8" s="11"/>
      <c r="S8" s="11">
        <v>106</v>
      </c>
      <c r="T8" s="11">
        <v>97</v>
      </c>
      <c r="U8" s="11">
        <v>53</v>
      </c>
      <c r="V8" s="11">
        <v>55</v>
      </c>
      <c r="W8" s="11">
        <v>46</v>
      </c>
      <c r="X8" s="11">
        <v>64</v>
      </c>
      <c r="Y8" s="11">
        <v>51</v>
      </c>
      <c r="Z8" s="11">
        <v>35</v>
      </c>
      <c r="AA8" s="11">
        <v>71</v>
      </c>
      <c r="AB8" s="11"/>
      <c r="AC8" s="11">
        <v>104</v>
      </c>
      <c r="AD8" s="11">
        <v>133</v>
      </c>
      <c r="AE8" s="11">
        <v>157</v>
      </c>
      <c r="AF8" s="11">
        <v>96</v>
      </c>
      <c r="AG8" s="11">
        <v>18</v>
      </c>
      <c r="AH8" s="11"/>
      <c r="AI8" s="11">
        <v>218</v>
      </c>
      <c r="AJ8" s="11">
        <v>121</v>
      </c>
      <c r="AK8" s="11">
        <v>51</v>
      </c>
      <c r="AL8" s="11">
        <v>84</v>
      </c>
      <c r="AM8" s="11">
        <v>26</v>
      </c>
      <c r="AN8" s="11">
        <v>32</v>
      </c>
      <c r="AO8" s="11"/>
      <c r="AP8" s="11">
        <v>307</v>
      </c>
      <c r="AQ8" s="11">
        <v>268</v>
      </c>
      <c r="AR8" s="11"/>
      <c r="AS8" s="11" t="s">
        <v>87</v>
      </c>
      <c r="AT8" s="11" t="s">
        <v>87</v>
      </c>
      <c r="AU8" s="11">
        <v>577</v>
      </c>
      <c r="AV8" s="11"/>
      <c r="AW8" s="11">
        <v>432</v>
      </c>
      <c r="AX8" s="11">
        <v>106</v>
      </c>
      <c r="AY8" s="11"/>
      <c r="AZ8" s="11">
        <v>501</v>
      </c>
      <c r="BA8" s="11">
        <v>74</v>
      </c>
    </row>
    <row r="9" spans="2:53" x14ac:dyDescent="0.35">
      <c r="B9" s="15" t="s">
        <v>220</v>
      </c>
      <c r="C9" s="14">
        <v>0.24891130823507199</v>
      </c>
      <c r="D9" s="14">
        <v>0.27887256104763303</v>
      </c>
      <c r="E9" s="14">
        <v>0.20723098124494499</v>
      </c>
      <c r="F9" s="14"/>
      <c r="G9" s="14">
        <v>0</v>
      </c>
      <c r="H9" s="14">
        <v>0.207878175001141</v>
      </c>
      <c r="I9" s="14">
        <v>0.27627617962140499</v>
      </c>
      <c r="J9" s="14">
        <v>0.23660634537974201</v>
      </c>
      <c r="K9" s="14">
        <v>0.197592798793508</v>
      </c>
      <c r="L9" s="14">
        <v>0.41010559360194798</v>
      </c>
      <c r="M9" s="14"/>
      <c r="N9" s="14">
        <v>0.24976895466677701</v>
      </c>
      <c r="O9" s="14">
        <v>0.20169612824885999</v>
      </c>
      <c r="P9" s="14">
        <v>0.24151072089557701</v>
      </c>
      <c r="Q9" s="14">
        <v>0.30966097390650499</v>
      </c>
      <c r="R9" s="14"/>
      <c r="S9" s="14">
        <v>0.31009385337450301</v>
      </c>
      <c r="T9" s="14">
        <v>0.233066134014766</v>
      </c>
      <c r="U9" s="14">
        <v>0.17731972130437099</v>
      </c>
      <c r="V9" s="14">
        <v>0.21033268233569</v>
      </c>
      <c r="W9" s="14">
        <v>0.24238907948735</v>
      </c>
      <c r="X9" s="14">
        <v>0.29915994411325503</v>
      </c>
      <c r="Y9" s="14">
        <v>0.21161720649777399</v>
      </c>
      <c r="Z9" s="14">
        <v>0.17689389791058999</v>
      </c>
      <c r="AA9" s="14">
        <v>0.28305141935852801</v>
      </c>
      <c r="AB9" s="14"/>
      <c r="AC9" s="14">
        <v>0.25159119739458902</v>
      </c>
      <c r="AD9" s="14">
        <v>0.252915965709826</v>
      </c>
      <c r="AE9" s="14">
        <v>0.19728708674318199</v>
      </c>
      <c r="AF9" s="14">
        <v>0.32249085246534498</v>
      </c>
      <c r="AG9" s="14">
        <v>0.47436058226497402</v>
      </c>
      <c r="AH9" s="14"/>
      <c r="AI9" s="14">
        <v>0.29209361196872802</v>
      </c>
      <c r="AJ9" s="14">
        <v>0.208170294424571</v>
      </c>
      <c r="AK9" s="14">
        <v>0.31783562629517098</v>
      </c>
      <c r="AL9" s="14">
        <v>0.25649330406167198</v>
      </c>
      <c r="AM9" s="14">
        <v>0.27160835271733702</v>
      </c>
      <c r="AN9" s="14">
        <v>0.144481287926013</v>
      </c>
      <c r="AO9" s="14"/>
      <c r="AP9" s="14">
        <v>0.28394141855217397</v>
      </c>
      <c r="AQ9" s="14">
        <v>0.210000809408736</v>
      </c>
      <c r="AR9" s="14"/>
      <c r="AS9" s="14" t="s">
        <v>88</v>
      </c>
      <c r="AT9" s="14" t="s">
        <v>88</v>
      </c>
      <c r="AU9" s="14">
        <v>0.24891130823507199</v>
      </c>
      <c r="AV9" s="14"/>
      <c r="AW9" s="14">
        <v>0.24161412682228001</v>
      </c>
      <c r="AX9" s="14">
        <v>0.328327734134643</v>
      </c>
      <c r="AY9" s="14"/>
      <c r="AZ9" s="14">
        <v>0.25895796140504201</v>
      </c>
      <c r="BA9" s="14">
        <v>0.17038819144374401</v>
      </c>
    </row>
    <row r="10" spans="2:53" x14ac:dyDescent="0.35">
      <c r="B10" s="15" t="s">
        <v>221</v>
      </c>
      <c r="C10" s="14">
        <v>0.470042337204161</v>
      </c>
      <c r="D10" s="14">
        <v>0.483104371041014</v>
      </c>
      <c r="E10" s="14">
        <v>0.45504584154242</v>
      </c>
      <c r="F10" s="14"/>
      <c r="G10" s="14">
        <v>0</v>
      </c>
      <c r="H10" s="14">
        <v>0.52457080687771895</v>
      </c>
      <c r="I10" s="14">
        <v>0.44459875192984299</v>
      </c>
      <c r="J10" s="14">
        <v>0.48390261578938898</v>
      </c>
      <c r="K10" s="14">
        <v>0.46431033309949998</v>
      </c>
      <c r="L10" s="14">
        <v>0.56175290973717995</v>
      </c>
      <c r="M10" s="14"/>
      <c r="N10" s="14">
        <v>0.51442233468619403</v>
      </c>
      <c r="O10" s="14">
        <v>0.46406208412543498</v>
      </c>
      <c r="P10" s="14">
        <v>0.46112469648891102</v>
      </c>
      <c r="Q10" s="14">
        <v>0.41174627016319099</v>
      </c>
      <c r="R10" s="14"/>
      <c r="S10" s="14">
        <v>0.497761084592723</v>
      </c>
      <c r="T10" s="14">
        <v>0.37128825829404999</v>
      </c>
      <c r="U10" s="14">
        <v>0.49547020033990402</v>
      </c>
      <c r="V10" s="14">
        <v>0.47010169087745202</v>
      </c>
      <c r="W10" s="14">
        <v>0.455084659906974</v>
      </c>
      <c r="X10" s="14">
        <v>0.47339761755645798</v>
      </c>
      <c r="Y10" s="14">
        <v>0.579173413228245</v>
      </c>
      <c r="Z10" s="14">
        <v>0.51998204659005998</v>
      </c>
      <c r="AA10" s="14">
        <v>0.44830853533791698</v>
      </c>
      <c r="AB10" s="14"/>
      <c r="AC10" s="14">
        <v>0.435410478662975</v>
      </c>
      <c r="AD10" s="14">
        <v>0.48133924728980099</v>
      </c>
      <c r="AE10" s="14">
        <v>0.53800269583725502</v>
      </c>
      <c r="AF10" s="14">
        <v>0.40761256719375999</v>
      </c>
      <c r="AG10" s="14">
        <v>0.35622859535166101</v>
      </c>
      <c r="AH10" s="14"/>
      <c r="AI10" s="14">
        <v>0.50557146521588403</v>
      </c>
      <c r="AJ10" s="14">
        <v>0.47956617075649099</v>
      </c>
      <c r="AK10" s="14">
        <v>0.39698022520222298</v>
      </c>
      <c r="AL10" s="14">
        <v>0.38524209699942702</v>
      </c>
      <c r="AM10" s="14">
        <v>0.37936449796592497</v>
      </c>
      <c r="AN10" s="14">
        <v>0.61405454763365097</v>
      </c>
      <c r="AO10" s="14"/>
      <c r="AP10" s="14">
        <v>0.44494435576923902</v>
      </c>
      <c r="AQ10" s="14">
        <v>0.50111142205705606</v>
      </c>
      <c r="AR10" s="14"/>
      <c r="AS10" s="14" t="s">
        <v>88</v>
      </c>
      <c r="AT10" s="14" t="s">
        <v>88</v>
      </c>
      <c r="AU10" s="14">
        <v>0.470042337204161</v>
      </c>
      <c r="AV10" s="14"/>
      <c r="AW10" s="14">
        <v>0.47148493869854602</v>
      </c>
      <c r="AX10" s="14">
        <v>0.49653226820260898</v>
      </c>
      <c r="AY10" s="14"/>
      <c r="AZ10" s="14">
        <v>0.479739749725831</v>
      </c>
      <c r="BA10" s="14">
        <v>0.41127592045695699</v>
      </c>
    </row>
    <row r="11" spans="2:53" x14ac:dyDescent="0.35">
      <c r="B11" s="15" t="s">
        <v>222</v>
      </c>
      <c r="C11" s="14">
        <v>0.160345813331641</v>
      </c>
      <c r="D11" s="14">
        <v>0.143744878526644</v>
      </c>
      <c r="E11" s="14">
        <v>0.18242170030563601</v>
      </c>
      <c r="F11" s="14"/>
      <c r="G11" s="14">
        <v>1</v>
      </c>
      <c r="H11" s="14">
        <v>0.13219909494561499</v>
      </c>
      <c r="I11" s="14">
        <v>0.169692617807984</v>
      </c>
      <c r="J11" s="14">
        <v>0.14996387122136201</v>
      </c>
      <c r="K11" s="14">
        <v>0.191776115020664</v>
      </c>
      <c r="L11" s="14">
        <v>2.8141496660872199E-2</v>
      </c>
      <c r="M11" s="14"/>
      <c r="N11" s="14">
        <v>0.12098050585011499</v>
      </c>
      <c r="O11" s="14">
        <v>0.16242795702572399</v>
      </c>
      <c r="P11" s="14">
        <v>0.18468863066101401</v>
      </c>
      <c r="Q11" s="14">
        <v>0.190501272698957</v>
      </c>
      <c r="R11" s="14"/>
      <c r="S11" s="14">
        <v>0.106185579663758</v>
      </c>
      <c r="T11" s="14">
        <v>0.23472818800782699</v>
      </c>
      <c r="U11" s="14">
        <v>0.16471057438947601</v>
      </c>
      <c r="V11" s="14">
        <v>0.20953319249765601</v>
      </c>
      <c r="W11" s="14">
        <v>0.17892999013181399</v>
      </c>
      <c r="X11" s="14">
        <v>0.117687294958415</v>
      </c>
      <c r="Y11" s="14">
        <v>0.139957287642762</v>
      </c>
      <c r="Z11" s="14">
        <v>0.19916941517704101</v>
      </c>
      <c r="AA11" s="14">
        <v>0.12052315248077899</v>
      </c>
      <c r="AB11" s="14"/>
      <c r="AC11" s="14">
        <v>0.17758939434929799</v>
      </c>
      <c r="AD11" s="14">
        <v>0.160802059927979</v>
      </c>
      <c r="AE11" s="14">
        <v>0.14393676977220901</v>
      </c>
      <c r="AF11" s="14">
        <v>0.15720114376484501</v>
      </c>
      <c r="AG11" s="14">
        <v>0.169410822383364</v>
      </c>
      <c r="AH11" s="14"/>
      <c r="AI11" s="14">
        <v>0.110059522041734</v>
      </c>
      <c r="AJ11" s="14">
        <v>0.20370262538928199</v>
      </c>
      <c r="AK11" s="14">
        <v>0.183142082504818</v>
      </c>
      <c r="AL11" s="14">
        <v>0.15306011284773599</v>
      </c>
      <c r="AM11" s="14">
        <v>0.26082921749015497</v>
      </c>
      <c r="AN11" s="14">
        <v>0.169474117198436</v>
      </c>
      <c r="AO11" s="14"/>
      <c r="AP11" s="14">
        <v>0.15493831544700401</v>
      </c>
      <c r="AQ11" s="14">
        <v>0.16240915111677101</v>
      </c>
      <c r="AR11" s="14"/>
      <c r="AS11" s="14" t="s">
        <v>88</v>
      </c>
      <c r="AT11" s="14" t="s">
        <v>88</v>
      </c>
      <c r="AU11" s="14">
        <v>0.160345813331641</v>
      </c>
      <c r="AV11" s="14"/>
      <c r="AW11" s="14">
        <v>0.159523916755201</v>
      </c>
      <c r="AX11" s="14">
        <v>0.123911473832955</v>
      </c>
      <c r="AY11" s="14"/>
      <c r="AZ11" s="14">
        <v>0.15167116732699901</v>
      </c>
      <c r="BA11" s="14">
        <v>0.22118989201353401</v>
      </c>
    </row>
    <row r="12" spans="2:53" x14ac:dyDescent="0.35">
      <c r="B12" s="15" t="s">
        <v>223</v>
      </c>
      <c r="C12" s="14">
        <v>4.0556673945360597E-2</v>
      </c>
      <c r="D12" s="14">
        <v>1.43827122594708E-2</v>
      </c>
      <c r="E12" s="14">
        <v>7.4517816133824299E-2</v>
      </c>
      <c r="F12" s="14"/>
      <c r="G12" s="14">
        <v>0</v>
      </c>
      <c r="H12" s="14">
        <v>4.3850072277172997E-2</v>
      </c>
      <c r="I12" s="14">
        <v>4.7812984060015898E-2</v>
      </c>
      <c r="J12" s="14">
        <v>3.8937426276277901E-2</v>
      </c>
      <c r="K12" s="14">
        <v>2.89870697189697E-2</v>
      </c>
      <c r="L12" s="14">
        <v>0</v>
      </c>
      <c r="M12" s="14"/>
      <c r="N12" s="14">
        <v>2.2824507552450399E-2</v>
      </c>
      <c r="O12" s="14">
        <v>6.1893395071387802E-2</v>
      </c>
      <c r="P12" s="14">
        <v>3.8184218171383497E-2</v>
      </c>
      <c r="Q12" s="14">
        <v>4.9750611495758899E-2</v>
      </c>
      <c r="R12" s="14"/>
      <c r="S12" s="14">
        <v>1.9405260180200501E-2</v>
      </c>
      <c r="T12" s="14">
        <v>5.1741072745823999E-2</v>
      </c>
      <c r="U12" s="14">
        <v>4.36169287745682E-2</v>
      </c>
      <c r="V12" s="14">
        <v>0</v>
      </c>
      <c r="W12" s="14">
        <v>4.6893968225090198E-2</v>
      </c>
      <c r="X12" s="14">
        <v>1.55330837190678E-2</v>
      </c>
      <c r="Y12" s="14">
        <v>3.42775302122338E-2</v>
      </c>
      <c r="Z12" s="14">
        <v>9.5775127393736198E-2</v>
      </c>
      <c r="AA12" s="14">
        <v>8.2039732720623607E-2</v>
      </c>
      <c r="AB12" s="14"/>
      <c r="AC12" s="14">
        <v>6.1937466819463299E-2</v>
      </c>
      <c r="AD12" s="14">
        <v>4.3839109181233502E-2</v>
      </c>
      <c r="AE12" s="14">
        <v>2.1059812771399001E-2</v>
      </c>
      <c r="AF12" s="14">
        <v>4.6856292206443599E-2</v>
      </c>
      <c r="AG12" s="14">
        <v>0</v>
      </c>
      <c r="AH12" s="14"/>
      <c r="AI12" s="14">
        <v>2.2185634944400401E-2</v>
      </c>
      <c r="AJ12" s="14">
        <v>3.5667897806245102E-2</v>
      </c>
      <c r="AK12" s="14">
        <v>4.90787966662753E-2</v>
      </c>
      <c r="AL12" s="14">
        <v>5.9582318707728898E-2</v>
      </c>
      <c r="AM12" s="14">
        <v>3.3463396339856399E-2</v>
      </c>
      <c r="AN12" s="14">
        <v>1.7581109442043701E-2</v>
      </c>
      <c r="AO12" s="14"/>
      <c r="AP12" s="14">
        <v>3.4271699862931597E-2</v>
      </c>
      <c r="AQ12" s="14">
        <v>4.7957231161887298E-2</v>
      </c>
      <c r="AR12" s="14"/>
      <c r="AS12" s="14" t="s">
        <v>88</v>
      </c>
      <c r="AT12" s="14" t="s">
        <v>88</v>
      </c>
      <c r="AU12" s="14">
        <v>4.0556673945360597E-2</v>
      </c>
      <c r="AV12" s="14"/>
      <c r="AW12" s="14">
        <v>4.0018114258645598E-2</v>
      </c>
      <c r="AX12" s="14">
        <v>1.90524847279448E-3</v>
      </c>
      <c r="AY12" s="14"/>
      <c r="AZ12" s="14">
        <v>2.88290273010702E-2</v>
      </c>
      <c r="BA12" s="14">
        <v>0.12030366441370299</v>
      </c>
    </row>
    <row r="13" spans="2:53" x14ac:dyDescent="0.35">
      <c r="B13" s="15" t="s">
        <v>116</v>
      </c>
      <c r="C13" s="18">
        <v>1.77390313481103E-2</v>
      </c>
      <c r="D13" s="18">
        <v>1.34114972504953E-2</v>
      </c>
      <c r="E13" s="18">
        <v>2.3397999380328102E-2</v>
      </c>
      <c r="F13" s="18"/>
      <c r="G13" s="18">
        <v>0</v>
      </c>
      <c r="H13" s="18">
        <v>0</v>
      </c>
      <c r="I13" s="18">
        <v>2.7741568490372501E-2</v>
      </c>
      <c r="J13" s="18">
        <v>1.3900941390181601E-2</v>
      </c>
      <c r="K13" s="18">
        <v>1.2525536985324499E-2</v>
      </c>
      <c r="L13" s="18">
        <v>0</v>
      </c>
      <c r="M13" s="18"/>
      <c r="N13" s="18">
        <v>1.7088850411104101E-2</v>
      </c>
      <c r="O13" s="18">
        <v>2.4758181056005499E-2</v>
      </c>
      <c r="P13" s="18">
        <v>1.94739575919281E-2</v>
      </c>
      <c r="Q13" s="18">
        <v>9.3226345642723005E-3</v>
      </c>
      <c r="R13" s="18"/>
      <c r="S13" s="18">
        <v>6.0878956202447803E-3</v>
      </c>
      <c r="T13" s="18">
        <v>9.1292470998996893E-3</v>
      </c>
      <c r="U13" s="18">
        <v>0</v>
      </c>
      <c r="V13" s="18">
        <v>2.43540342687147E-2</v>
      </c>
      <c r="W13" s="18">
        <v>3.1750615076809499E-2</v>
      </c>
      <c r="X13" s="18">
        <v>5.3425187387862297E-2</v>
      </c>
      <c r="Y13" s="18">
        <v>0</v>
      </c>
      <c r="Z13" s="18">
        <v>8.1795129285729493E-3</v>
      </c>
      <c r="AA13" s="18">
        <v>3.1266054613018901E-2</v>
      </c>
      <c r="AB13" s="18"/>
      <c r="AC13" s="18">
        <v>0</v>
      </c>
      <c r="AD13" s="18">
        <v>3.9299303367379197E-2</v>
      </c>
      <c r="AE13" s="18">
        <v>1.7149415323264399E-2</v>
      </c>
      <c r="AF13" s="18">
        <v>6.3921099199378698E-3</v>
      </c>
      <c r="AG13" s="18">
        <v>0</v>
      </c>
      <c r="AH13" s="18"/>
      <c r="AI13" s="18">
        <v>1.2057121244001099E-2</v>
      </c>
      <c r="AJ13" s="18">
        <v>1.4070387366392399E-2</v>
      </c>
      <c r="AK13" s="18">
        <v>2.65561737776672E-2</v>
      </c>
      <c r="AL13" s="18">
        <v>1.7295886754180999E-2</v>
      </c>
      <c r="AM13" s="18">
        <v>0</v>
      </c>
      <c r="AN13" s="18">
        <v>0</v>
      </c>
      <c r="AO13" s="18"/>
      <c r="AP13" s="18">
        <v>1.7271730267632401E-2</v>
      </c>
      <c r="AQ13" s="18">
        <v>1.8361738699199302E-2</v>
      </c>
      <c r="AR13" s="18"/>
      <c r="AS13" s="18" t="s">
        <v>88</v>
      </c>
      <c r="AT13" s="18" t="s">
        <v>88</v>
      </c>
      <c r="AU13" s="18">
        <v>1.77390313481103E-2</v>
      </c>
      <c r="AV13" s="18"/>
      <c r="AW13" s="18">
        <v>1.9136134618003502E-2</v>
      </c>
      <c r="AX13" s="18">
        <v>5.7566408844264604E-3</v>
      </c>
      <c r="AY13" s="18"/>
      <c r="AZ13" s="18">
        <v>1.65075262830662E-2</v>
      </c>
      <c r="BA13" s="18">
        <v>2.6305231070008601E-2</v>
      </c>
    </row>
    <row r="14" spans="2:53" x14ac:dyDescent="0.35">
      <c r="B14" s="26" t="s">
        <v>224</v>
      </c>
      <c r="C14" s="27">
        <v>0.71895364543923201</v>
      </c>
      <c r="D14" s="27">
        <v>0.76197693208864703</v>
      </c>
      <c r="E14" s="27">
        <v>0.66227682278736499</v>
      </c>
      <c r="F14" s="27"/>
      <c r="G14" s="27">
        <v>0</v>
      </c>
      <c r="H14" s="27">
        <v>0.73244898187885998</v>
      </c>
      <c r="I14" s="27">
        <v>0.72087493155124804</v>
      </c>
      <c r="J14" s="27">
        <v>0.72050896116913099</v>
      </c>
      <c r="K14" s="27">
        <v>0.66190313189300798</v>
      </c>
      <c r="L14" s="27">
        <v>0.97185850333912804</v>
      </c>
      <c r="M14" s="27"/>
      <c r="N14" s="27">
        <v>0.76419128935297098</v>
      </c>
      <c r="O14" s="27">
        <v>0.665758212374294</v>
      </c>
      <c r="P14" s="27">
        <v>0.70263541738448898</v>
      </c>
      <c r="Q14" s="27">
        <v>0.72140724406969603</v>
      </c>
      <c r="R14" s="27"/>
      <c r="S14" s="27">
        <v>0.80785493796722596</v>
      </c>
      <c r="T14" s="27">
        <v>0.60435439230881605</v>
      </c>
      <c r="U14" s="27">
        <v>0.67278992164427498</v>
      </c>
      <c r="V14" s="27">
        <v>0.68043437321314204</v>
      </c>
      <c r="W14" s="27">
        <v>0.697473739394323</v>
      </c>
      <c r="X14" s="27">
        <v>0.77255756166971401</v>
      </c>
      <c r="Y14" s="27">
        <v>0.79079061972601805</v>
      </c>
      <c r="Z14" s="27">
        <v>0.69687594450064905</v>
      </c>
      <c r="AA14" s="27">
        <v>0.73135995469644599</v>
      </c>
      <c r="AB14" s="27"/>
      <c r="AC14" s="27">
        <v>0.68700167605756302</v>
      </c>
      <c r="AD14" s="27">
        <v>0.73425521299962704</v>
      </c>
      <c r="AE14" s="27">
        <v>0.73528978258043698</v>
      </c>
      <c r="AF14" s="27">
        <v>0.73010341965910497</v>
      </c>
      <c r="AG14" s="27">
        <v>0.83058917761663598</v>
      </c>
      <c r="AH14" s="27"/>
      <c r="AI14" s="27">
        <v>0.79766507718461299</v>
      </c>
      <c r="AJ14" s="27">
        <v>0.68773646518106202</v>
      </c>
      <c r="AK14" s="27">
        <v>0.71481585149739402</v>
      </c>
      <c r="AL14" s="27">
        <v>0.64173540106110005</v>
      </c>
      <c r="AM14" s="27">
        <v>0.65097285068326105</v>
      </c>
      <c r="AN14" s="27">
        <v>0.75853583555966397</v>
      </c>
      <c r="AO14" s="27"/>
      <c r="AP14" s="27">
        <v>0.72888577432141299</v>
      </c>
      <c r="AQ14" s="27">
        <v>0.71111223146579206</v>
      </c>
      <c r="AR14" s="27"/>
      <c r="AS14" s="27" t="s">
        <v>88</v>
      </c>
      <c r="AT14" s="27" t="s">
        <v>88</v>
      </c>
      <c r="AU14" s="27">
        <v>0.71895364543923201</v>
      </c>
      <c r="AV14" s="27"/>
      <c r="AW14" s="27">
        <v>0.71309906552082603</v>
      </c>
      <c r="AX14" s="27">
        <v>0.82486000233725199</v>
      </c>
      <c r="AY14" s="27"/>
      <c r="AZ14" s="27">
        <v>0.73869771113087301</v>
      </c>
      <c r="BA14" s="27">
        <v>0.581664111900702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587</v>
      </c>
      <c r="D7" s="10">
        <v>278</v>
      </c>
      <c r="E7" s="10">
        <v>308</v>
      </c>
      <c r="F7" s="10"/>
      <c r="G7" s="10">
        <v>1</v>
      </c>
      <c r="H7" s="10">
        <v>54</v>
      </c>
      <c r="I7" s="10">
        <v>247</v>
      </c>
      <c r="J7" s="10">
        <v>202</v>
      </c>
      <c r="K7" s="10">
        <v>70</v>
      </c>
      <c r="L7" s="10">
        <v>13</v>
      </c>
      <c r="M7" s="10"/>
      <c r="N7" s="10">
        <v>293</v>
      </c>
      <c r="O7" s="10">
        <v>117</v>
      </c>
      <c r="P7" s="10">
        <v>96</v>
      </c>
      <c r="Q7" s="10">
        <v>80</v>
      </c>
      <c r="R7" s="10"/>
      <c r="S7" s="10">
        <v>133</v>
      </c>
      <c r="T7" s="10">
        <v>85</v>
      </c>
      <c r="U7" s="10">
        <v>42</v>
      </c>
      <c r="V7" s="10">
        <v>47</v>
      </c>
      <c r="W7" s="10">
        <v>36</v>
      </c>
      <c r="X7" s="10">
        <v>78</v>
      </c>
      <c r="Y7" s="10">
        <v>59</v>
      </c>
      <c r="Z7" s="10">
        <v>33</v>
      </c>
      <c r="AA7" s="10">
        <v>74</v>
      </c>
      <c r="AB7" s="10"/>
      <c r="AC7" s="10">
        <v>85</v>
      </c>
      <c r="AD7" s="10">
        <v>117</v>
      </c>
      <c r="AE7" s="10">
        <v>165</v>
      </c>
      <c r="AF7" s="10">
        <v>127</v>
      </c>
      <c r="AG7" s="10">
        <v>33</v>
      </c>
      <c r="AH7" s="10"/>
      <c r="AI7" s="10">
        <v>228</v>
      </c>
      <c r="AJ7" s="10">
        <v>134</v>
      </c>
      <c r="AK7" s="10">
        <v>57</v>
      </c>
      <c r="AL7" s="10">
        <v>76</v>
      </c>
      <c r="AM7" s="10">
        <v>25</v>
      </c>
      <c r="AN7" s="10">
        <v>28</v>
      </c>
      <c r="AO7" s="10"/>
      <c r="AP7" s="10">
        <v>322</v>
      </c>
      <c r="AQ7" s="10">
        <v>264</v>
      </c>
      <c r="AR7" s="10"/>
      <c r="AS7" s="10" t="s">
        <v>87</v>
      </c>
      <c r="AT7" s="10" t="s">
        <v>87</v>
      </c>
      <c r="AU7" s="10">
        <v>587</v>
      </c>
      <c r="AV7" s="10"/>
      <c r="AW7" s="10">
        <v>417</v>
      </c>
      <c r="AX7" s="10">
        <v>136</v>
      </c>
      <c r="AY7" s="10"/>
      <c r="AZ7" s="10">
        <v>516</v>
      </c>
      <c r="BA7" s="10">
        <v>70</v>
      </c>
    </row>
    <row r="8" spans="2:53" ht="30" customHeight="1" x14ac:dyDescent="0.35">
      <c r="B8" s="11" t="s">
        <v>19</v>
      </c>
      <c r="C8" s="11">
        <v>577</v>
      </c>
      <c r="D8" s="11">
        <v>324</v>
      </c>
      <c r="E8" s="11">
        <v>251</v>
      </c>
      <c r="F8" s="11"/>
      <c r="G8" s="11">
        <v>1</v>
      </c>
      <c r="H8" s="11">
        <v>47</v>
      </c>
      <c r="I8" s="11">
        <v>230</v>
      </c>
      <c r="J8" s="11">
        <v>210</v>
      </c>
      <c r="K8" s="11">
        <v>74</v>
      </c>
      <c r="L8" s="11">
        <v>14</v>
      </c>
      <c r="M8" s="11"/>
      <c r="N8" s="11">
        <v>184</v>
      </c>
      <c r="O8" s="11">
        <v>122</v>
      </c>
      <c r="P8" s="11">
        <v>152</v>
      </c>
      <c r="Q8" s="11">
        <v>116</v>
      </c>
      <c r="R8" s="11"/>
      <c r="S8" s="11">
        <v>106</v>
      </c>
      <c r="T8" s="11">
        <v>97</v>
      </c>
      <c r="U8" s="11">
        <v>53</v>
      </c>
      <c r="V8" s="11">
        <v>55</v>
      </c>
      <c r="W8" s="11">
        <v>46</v>
      </c>
      <c r="X8" s="11">
        <v>64</v>
      </c>
      <c r="Y8" s="11">
        <v>51</v>
      </c>
      <c r="Z8" s="11">
        <v>35</v>
      </c>
      <c r="AA8" s="11">
        <v>71</v>
      </c>
      <c r="AB8" s="11"/>
      <c r="AC8" s="11">
        <v>104</v>
      </c>
      <c r="AD8" s="11">
        <v>133</v>
      </c>
      <c r="AE8" s="11">
        <v>157</v>
      </c>
      <c r="AF8" s="11">
        <v>96</v>
      </c>
      <c r="AG8" s="11">
        <v>18</v>
      </c>
      <c r="AH8" s="11"/>
      <c r="AI8" s="11">
        <v>218</v>
      </c>
      <c r="AJ8" s="11">
        <v>121</v>
      </c>
      <c r="AK8" s="11">
        <v>51</v>
      </c>
      <c r="AL8" s="11">
        <v>84</v>
      </c>
      <c r="AM8" s="11">
        <v>26</v>
      </c>
      <c r="AN8" s="11">
        <v>32</v>
      </c>
      <c r="AO8" s="11"/>
      <c r="AP8" s="11">
        <v>307</v>
      </c>
      <c r="AQ8" s="11">
        <v>268</v>
      </c>
      <c r="AR8" s="11"/>
      <c r="AS8" s="11" t="s">
        <v>87</v>
      </c>
      <c r="AT8" s="11" t="s">
        <v>87</v>
      </c>
      <c r="AU8" s="11">
        <v>577</v>
      </c>
      <c r="AV8" s="11"/>
      <c r="AW8" s="11">
        <v>432</v>
      </c>
      <c r="AX8" s="11">
        <v>106</v>
      </c>
      <c r="AY8" s="11"/>
      <c r="AZ8" s="11">
        <v>501</v>
      </c>
      <c r="BA8" s="11">
        <v>74</v>
      </c>
    </row>
    <row r="9" spans="2:53" x14ac:dyDescent="0.35">
      <c r="B9" s="15" t="s">
        <v>226</v>
      </c>
      <c r="C9" s="14">
        <v>0.24034966198458599</v>
      </c>
      <c r="D9" s="14">
        <v>0.26292072519305698</v>
      </c>
      <c r="E9" s="14">
        <v>0.208178560011962</v>
      </c>
      <c r="F9" s="14"/>
      <c r="G9" s="14">
        <v>0</v>
      </c>
      <c r="H9" s="14">
        <v>0.23152939417499999</v>
      </c>
      <c r="I9" s="14">
        <v>0.255224637480233</v>
      </c>
      <c r="J9" s="14">
        <v>0.246024122568513</v>
      </c>
      <c r="K9" s="14">
        <v>0.177991481788911</v>
      </c>
      <c r="L9" s="14">
        <v>0.28921221723889701</v>
      </c>
      <c r="M9" s="14"/>
      <c r="N9" s="14">
        <v>0.24395563982474799</v>
      </c>
      <c r="O9" s="14">
        <v>0.22394451897097101</v>
      </c>
      <c r="P9" s="14">
        <v>0.226901918497635</v>
      </c>
      <c r="Q9" s="14">
        <v>0.27215273781014399</v>
      </c>
      <c r="R9" s="14"/>
      <c r="S9" s="14">
        <v>0.33664027692370702</v>
      </c>
      <c r="T9" s="14">
        <v>0.176538666583408</v>
      </c>
      <c r="U9" s="14">
        <v>0.130093930023573</v>
      </c>
      <c r="V9" s="14">
        <v>0.27178931411337398</v>
      </c>
      <c r="W9" s="14">
        <v>0.21679689526467</v>
      </c>
      <c r="X9" s="14">
        <v>0.26202369642566598</v>
      </c>
      <c r="Y9" s="14">
        <v>0.27778378841278001</v>
      </c>
      <c r="Z9" s="14">
        <v>0.25934255074352902</v>
      </c>
      <c r="AA9" s="14">
        <v>0.20019355545162501</v>
      </c>
      <c r="AB9" s="14"/>
      <c r="AC9" s="14">
        <v>0.19086287484815301</v>
      </c>
      <c r="AD9" s="14">
        <v>0.244676728573233</v>
      </c>
      <c r="AE9" s="14">
        <v>0.227287217620703</v>
      </c>
      <c r="AF9" s="14">
        <v>0.26824133717427001</v>
      </c>
      <c r="AG9" s="14">
        <v>0.63086585003293905</v>
      </c>
      <c r="AH9" s="14"/>
      <c r="AI9" s="14">
        <v>0.30412510079264798</v>
      </c>
      <c r="AJ9" s="14">
        <v>0.26497518248832402</v>
      </c>
      <c r="AK9" s="14">
        <v>0.27451273090799799</v>
      </c>
      <c r="AL9" s="14">
        <v>0.108401175779482</v>
      </c>
      <c r="AM9" s="14">
        <v>0.245210035914561</v>
      </c>
      <c r="AN9" s="14">
        <v>0.144481287926013</v>
      </c>
      <c r="AO9" s="14"/>
      <c r="AP9" s="14">
        <v>0.24129612334855</v>
      </c>
      <c r="AQ9" s="14">
        <v>0.24044811446022901</v>
      </c>
      <c r="AR9" s="14"/>
      <c r="AS9" s="14" t="s">
        <v>88</v>
      </c>
      <c r="AT9" s="14" t="s">
        <v>88</v>
      </c>
      <c r="AU9" s="14">
        <v>0.24034966198458599</v>
      </c>
      <c r="AV9" s="14"/>
      <c r="AW9" s="14">
        <v>0.21191645182681201</v>
      </c>
      <c r="AX9" s="14">
        <v>0.38252539293993598</v>
      </c>
      <c r="AY9" s="14"/>
      <c r="AZ9" s="14">
        <v>0.25638112574591598</v>
      </c>
      <c r="BA9" s="14">
        <v>0.121303251923876</v>
      </c>
    </row>
    <row r="10" spans="2:53" x14ac:dyDescent="0.35">
      <c r="B10" s="15" t="s">
        <v>227</v>
      </c>
      <c r="C10" s="14">
        <v>0.357596501739323</v>
      </c>
      <c r="D10" s="14">
        <v>0.35099391291300802</v>
      </c>
      <c r="E10" s="14">
        <v>0.36754625611452002</v>
      </c>
      <c r="F10" s="14"/>
      <c r="G10" s="14">
        <v>0</v>
      </c>
      <c r="H10" s="14">
        <v>0.36337325739359599</v>
      </c>
      <c r="I10" s="14">
        <v>0.38578919027962899</v>
      </c>
      <c r="J10" s="14">
        <v>0.349909201890239</v>
      </c>
      <c r="K10" s="14">
        <v>0.26518277907309501</v>
      </c>
      <c r="L10" s="14">
        <v>0.50561112179742396</v>
      </c>
      <c r="M10" s="14"/>
      <c r="N10" s="14">
        <v>0.36476532437446302</v>
      </c>
      <c r="O10" s="14">
        <v>0.35615424967695303</v>
      </c>
      <c r="P10" s="14">
        <v>0.389818173767636</v>
      </c>
      <c r="Q10" s="14">
        <v>0.29846251950688502</v>
      </c>
      <c r="R10" s="14"/>
      <c r="S10" s="14">
        <v>0.37529596240889401</v>
      </c>
      <c r="T10" s="14">
        <v>0.39411791566644</v>
      </c>
      <c r="U10" s="14">
        <v>0.39588941082616802</v>
      </c>
      <c r="V10" s="14">
        <v>0.240220844228626</v>
      </c>
      <c r="W10" s="14">
        <v>0.21159915479029501</v>
      </c>
      <c r="X10" s="14">
        <v>0.42544587709821502</v>
      </c>
      <c r="Y10" s="14">
        <v>0.39785099949972003</v>
      </c>
      <c r="Z10" s="14">
        <v>0.27899284108280198</v>
      </c>
      <c r="AA10" s="14">
        <v>0.38687478792785401</v>
      </c>
      <c r="AB10" s="14"/>
      <c r="AC10" s="14">
        <v>0.288756675901855</v>
      </c>
      <c r="AD10" s="14">
        <v>0.368994793557404</v>
      </c>
      <c r="AE10" s="14">
        <v>0.40223377748539402</v>
      </c>
      <c r="AF10" s="14">
        <v>0.35856154152242897</v>
      </c>
      <c r="AG10" s="14">
        <v>0.26972972494335801</v>
      </c>
      <c r="AH10" s="14"/>
      <c r="AI10" s="14">
        <v>0.36289897363312501</v>
      </c>
      <c r="AJ10" s="14">
        <v>0.30263880387201297</v>
      </c>
      <c r="AK10" s="14">
        <v>0.37327745266076701</v>
      </c>
      <c r="AL10" s="14">
        <v>0.427988778104815</v>
      </c>
      <c r="AM10" s="14">
        <v>0.291606924989954</v>
      </c>
      <c r="AN10" s="14">
        <v>0.53098750481742996</v>
      </c>
      <c r="AO10" s="14"/>
      <c r="AP10" s="14">
        <v>0.38720185238974503</v>
      </c>
      <c r="AQ10" s="14">
        <v>0.32543626264051301</v>
      </c>
      <c r="AR10" s="14"/>
      <c r="AS10" s="14" t="s">
        <v>88</v>
      </c>
      <c r="AT10" s="14" t="s">
        <v>88</v>
      </c>
      <c r="AU10" s="14">
        <v>0.357596501739323</v>
      </c>
      <c r="AV10" s="14"/>
      <c r="AW10" s="14">
        <v>0.36423244058443799</v>
      </c>
      <c r="AX10" s="14">
        <v>0.36461737406720102</v>
      </c>
      <c r="AY10" s="14"/>
      <c r="AZ10" s="14">
        <v>0.376866009596524</v>
      </c>
      <c r="BA10" s="14">
        <v>0.23261014427306301</v>
      </c>
    </row>
    <row r="11" spans="2:53" x14ac:dyDescent="0.35">
      <c r="B11" s="15" t="s">
        <v>228</v>
      </c>
      <c r="C11" s="14">
        <v>0.21852888518279101</v>
      </c>
      <c r="D11" s="14">
        <v>0.23754088237169199</v>
      </c>
      <c r="E11" s="14">
        <v>0.19484769538390101</v>
      </c>
      <c r="F11" s="14"/>
      <c r="G11" s="14">
        <v>0</v>
      </c>
      <c r="H11" s="14">
        <v>0.24245135981492499</v>
      </c>
      <c r="I11" s="14">
        <v>0.16349182231099599</v>
      </c>
      <c r="J11" s="14">
        <v>0.226098488860174</v>
      </c>
      <c r="K11" s="14">
        <v>0.36949603250782398</v>
      </c>
      <c r="L11" s="14">
        <v>0.14538742311324801</v>
      </c>
      <c r="M11" s="14"/>
      <c r="N11" s="14">
        <v>0.207775036458306</v>
      </c>
      <c r="O11" s="14">
        <v>0.27309420543768698</v>
      </c>
      <c r="P11" s="14">
        <v>0.18022089488649801</v>
      </c>
      <c r="Q11" s="14">
        <v>0.23066004655595601</v>
      </c>
      <c r="R11" s="14"/>
      <c r="S11" s="14">
        <v>0.13853020070996999</v>
      </c>
      <c r="T11" s="14">
        <v>0.23980339794533501</v>
      </c>
      <c r="U11" s="14">
        <v>0.25352677566459397</v>
      </c>
      <c r="V11" s="14">
        <v>0.32059503005947498</v>
      </c>
      <c r="W11" s="14">
        <v>0.28463313638571802</v>
      </c>
      <c r="X11" s="14">
        <v>0.14749461921867199</v>
      </c>
      <c r="Y11" s="14">
        <v>0.19878328951521401</v>
      </c>
      <c r="Z11" s="14">
        <v>0.272189713488875</v>
      </c>
      <c r="AA11" s="14">
        <v>0.213078483201535</v>
      </c>
      <c r="AB11" s="14"/>
      <c r="AC11" s="14">
        <v>0.30399720307237899</v>
      </c>
      <c r="AD11" s="14">
        <v>0.248393283254949</v>
      </c>
      <c r="AE11" s="14">
        <v>0.18685200115645001</v>
      </c>
      <c r="AF11" s="14">
        <v>0.19237560431571099</v>
      </c>
      <c r="AG11" s="14">
        <v>5.3295322849228201E-2</v>
      </c>
      <c r="AH11" s="14"/>
      <c r="AI11" s="14">
        <v>0.17407118945957001</v>
      </c>
      <c r="AJ11" s="14">
        <v>0.260887315711539</v>
      </c>
      <c r="AK11" s="14">
        <v>0.17012856890653599</v>
      </c>
      <c r="AL11" s="14">
        <v>0.24621033859349301</v>
      </c>
      <c r="AM11" s="14">
        <v>0.22177711512578899</v>
      </c>
      <c r="AN11" s="14">
        <v>0.21291311234907701</v>
      </c>
      <c r="AO11" s="14"/>
      <c r="AP11" s="14">
        <v>0.19878275579920901</v>
      </c>
      <c r="AQ11" s="14">
        <v>0.24222833063707799</v>
      </c>
      <c r="AR11" s="14"/>
      <c r="AS11" s="14" t="s">
        <v>88</v>
      </c>
      <c r="AT11" s="14" t="s">
        <v>88</v>
      </c>
      <c r="AU11" s="14">
        <v>0.21852888518279101</v>
      </c>
      <c r="AV11" s="14"/>
      <c r="AW11" s="14">
        <v>0.22693993003628701</v>
      </c>
      <c r="AX11" s="14">
        <v>0.17284343799722099</v>
      </c>
      <c r="AY11" s="14"/>
      <c r="AZ11" s="14">
        <v>0.21229005801944201</v>
      </c>
      <c r="BA11" s="14">
        <v>0.26375863963832802</v>
      </c>
    </row>
    <row r="12" spans="2:53" x14ac:dyDescent="0.35">
      <c r="B12" s="15" t="s">
        <v>229</v>
      </c>
      <c r="C12" s="14">
        <v>9.0405262382389703E-2</v>
      </c>
      <c r="D12" s="14">
        <v>5.8348093322091399E-2</v>
      </c>
      <c r="E12" s="14">
        <v>0.132162109460984</v>
      </c>
      <c r="F12" s="14"/>
      <c r="G12" s="14">
        <v>0</v>
      </c>
      <c r="H12" s="14">
        <v>6.5581585483353702E-2</v>
      </c>
      <c r="I12" s="14">
        <v>0.11101346317517199</v>
      </c>
      <c r="J12" s="14">
        <v>7.7900452581294799E-2</v>
      </c>
      <c r="K12" s="14">
        <v>9.6365974766690204E-2</v>
      </c>
      <c r="L12" s="14">
        <v>0</v>
      </c>
      <c r="M12" s="14"/>
      <c r="N12" s="14">
        <v>7.3808185143431002E-2</v>
      </c>
      <c r="O12" s="14">
        <v>8.1410469207974095E-2</v>
      </c>
      <c r="P12" s="14">
        <v>8.4295528384626395E-2</v>
      </c>
      <c r="Q12" s="14">
        <v>0.135134280559422</v>
      </c>
      <c r="R12" s="14"/>
      <c r="S12" s="14">
        <v>7.5445714544892101E-2</v>
      </c>
      <c r="T12" s="14">
        <v>9.4106294976602306E-2</v>
      </c>
      <c r="U12" s="14">
        <v>5.88656780993995E-2</v>
      </c>
      <c r="V12" s="14">
        <v>8.2182944163562199E-2</v>
      </c>
      <c r="W12" s="14">
        <v>0.123319965551794</v>
      </c>
      <c r="X12" s="14">
        <v>3.6687282975565103E-2</v>
      </c>
      <c r="Y12" s="14">
        <v>0.10027913043183</v>
      </c>
      <c r="Z12" s="14">
        <v>0.154572968624933</v>
      </c>
      <c r="AA12" s="14">
        <v>0.12609249416142501</v>
      </c>
      <c r="AB12" s="14"/>
      <c r="AC12" s="14">
        <v>0.137703326327515</v>
      </c>
      <c r="AD12" s="14">
        <v>8.0359634830251395E-2</v>
      </c>
      <c r="AE12" s="14">
        <v>5.7555441577065998E-2</v>
      </c>
      <c r="AF12" s="14">
        <v>8.9862090894218705E-2</v>
      </c>
      <c r="AG12" s="14">
        <v>0</v>
      </c>
      <c r="AH12" s="14"/>
      <c r="AI12" s="14">
        <v>7.5318819727377098E-2</v>
      </c>
      <c r="AJ12" s="14">
        <v>9.3362012066862204E-2</v>
      </c>
      <c r="AK12" s="14">
        <v>8.1063406651870007E-2</v>
      </c>
      <c r="AL12" s="14">
        <v>0.10558986096650801</v>
      </c>
      <c r="AM12" s="14">
        <v>0.123484963172719</v>
      </c>
      <c r="AN12" s="14">
        <v>3.4587349348023398E-2</v>
      </c>
      <c r="AO12" s="14"/>
      <c r="AP12" s="14">
        <v>6.3652582906543395E-2</v>
      </c>
      <c r="AQ12" s="14">
        <v>0.11658047824116501</v>
      </c>
      <c r="AR12" s="14"/>
      <c r="AS12" s="14" t="s">
        <v>88</v>
      </c>
      <c r="AT12" s="14" t="s">
        <v>88</v>
      </c>
      <c r="AU12" s="14">
        <v>9.0405262382389703E-2</v>
      </c>
      <c r="AV12" s="14"/>
      <c r="AW12" s="14">
        <v>9.0390933789396402E-2</v>
      </c>
      <c r="AX12" s="14">
        <v>2.8294930402674699E-2</v>
      </c>
      <c r="AY12" s="14"/>
      <c r="AZ12" s="14">
        <v>7.1537602474841894E-2</v>
      </c>
      <c r="BA12" s="14">
        <v>0.21906217469730899</v>
      </c>
    </row>
    <row r="13" spans="2:53" x14ac:dyDescent="0.35">
      <c r="B13" s="15" t="s">
        <v>116</v>
      </c>
      <c r="C13" s="23">
        <v>3.3112623390812397E-2</v>
      </c>
      <c r="D13" s="23">
        <v>2.2342400389067499E-2</v>
      </c>
      <c r="E13" s="23">
        <v>4.7152544229283999E-2</v>
      </c>
      <c r="F13" s="23"/>
      <c r="G13" s="23">
        <v>0</v>
      </c>
      <c r="H13" s="23">
        <v>0</v>
      </c>
      <c r="I13" s="23">
        <v>4.4040702492744499E-2</v>
      </c>
      <c r="J13" s="23">
        <v>3.8198611748240498E-2</v>
      </c>
      <c r="K13" s="23">
        <v>1.27397729298957E-2</v>
      </c>
      <c r="L13" s="23">
        <v>0</v>
      </c>
      <c r="M13" s="23"/>
      <c r="N13" s="23">
        <v>2.1735627953141899E-2</v>
      </c>
      <c r="O13" s="23">
        <v>3.2505303808655801E-2</v>
      </c>
      <c r="P13" s="23">
        <v>4.6564619401583997E-2</v>
      </c>
      <c r="Q13" s="23">
        <v>3.4572178396275903E-2</v>
      </c>
      <c r="R13" s="23"/>
      <c r="S13" s="23">
        <v>1.8524901843177601E-2</v>
      </c>
      <c r="T13" s="23">
        <v>9.1292470998996893E-3</v>
      </c>
      <c r="U13" s="23">
        <v>2.8872718241845698E-2</v>
      </c>
      <c r="V13" s="23">
        <v>6.5909984598582994E-2</v>
      </c>
      <c r="W13" s="23">
        <v>7.3747473663596699E-2</v>
      </c>
      <c r="X13" s="23">
        <v>7.6890429253473003E-2</v>
      </c>
      <c r="Y13" s="23">
        <v>0</v>
      </c>
      <c r="Z13" s="23">
        <v>3.4901926059860901E-2</v>
      </c>
      <c r="AA13" s="23">
        <v>2.2666211230106901E-2</v>
      </c>
      <c r="AB13" s="23"/>
      <c r="AC13" s="23">
        <v>4.1850685751755698E-2</v>
      </c>
      <c r="AD13" s="23">
        <v>4.9729364247219202E-2</v>
      </c>
      <c r="AE13" s="23">
        <v>2.9501260811593301E-2</v>
      </c>
      <c r="AF13" s="23">
        <v>6.3921099199378698E-3</v>
      </c>
      <c r="AG13" s="23">
        <v>2.8463948008548599E-2</v>
      </c>
      <c r="AH13" s="23"/>
      <c r="AI13" s="23">
        <v>2.7739813102426101E-2</v>
      </c>
      <c r="AJ13" s="23">
        <v>2.76227605547937E-2</v>
      </c>
      <c r="AK13" s="23">
        <v>2.65561737776672E-2</v>
      </c>
      <c r="AL13" s="23">
        <v>2.86112323168317E-2</v>
      </c>
      <c r="AM13" s="23">
        <v>0</v>
      </c>
      <c r="AN13" s="23">
        <v>0</v>
      </c>
      <c r="AO13" s="23"/>
      <c r="AP13" s="23">
        <v>3.6641295049098903E-2</v>
      </c>
      <c r="AQ13" s="23">
        <v>2.9232634177210198E-2</v>
      </c>
      <c r="AR13" s="23"/>
      <c r="AS13" s="23" t="s">
        <v>88</v>
      </c>
      <c r="AT13" s="23" t="s">
        <v>88</v>
      </c>
      <c r="AU13" s="23">
        <v>3.3112623390812397E-2</v>
      </c>
      <c r="AV13" s="23"/>
      <c r="AW13" s="23">
        <v>3.8427249270270102E-2</v>
      </c>
      <c r="AX13" s="23">
        <v>1.06832111147089E-2</v>
      </c>
      <c r="AY13" s="23"/>
      <c r="AZ13" s="23">
        <v>2.25633947579587E-2</v>
      </c>
      <c r="BA13" s="23">
        <v>0.104798472231377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B2:BA17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587</v>
      </c>
      <c r="D7" s="10">
        <v>278</v>
      </c>
      <c r="E7" s="10">
        <v>308</v>
      </c>
      <c r="F7" s="10"/>
      <c r="G7" s="10">
        <v>1</v>
      </c>
      <c r="H7" s="10">
        <v>54</v>
      </c>
      <c r="I7" s="10">
        <v>247</v>
      </c>
      <c r="J7" s="10">
        <v>202</v>
      </c>
      <c r="K7" s="10">
        <v>70</v>
      </c>
      <c r="L7" s="10">
        <v>13</v>
      </c>
      <c r="M7" s="10"/>
      <c r="N7" s="10">
        <v>293</v>
      </c>
      <c r="O7" s="10">
        <v>117</v>
      </c>
      <c r="P7" s="10">
        <v>96</v>
      </c>
      <c r="Q7" s="10">
        <v>80</v>
      </c>
      <c r="R7" s="10"/>
      <c r="S7" s="10">
        <v>133</v>
      </c>
      <c r="T7" s="10">
        <v>85</v>
      </c>
      <c r="U7" s="10">
        <v>42</v>
      </c>
      <c r="V7" s="10">
        <v>47</v>
      </c>
      <c r="W7" s="10">
        <v>36</v>
      </c>
      <c r="X7" s="10">
        <v>78</v>
      </c>
      <c r="Y7" s="10">
        <v>59</v>
      </c>
      <c r="Z7" s="10">
        <v>33</v>
      </c>
      <c r="AA7" s="10">
        <v>74</v>
      </c>
      <c r="AB7" s="10"/>
      <c r="AC7" s="10">
        <v>85</v>
      </c>
      <c r="AD7" s="10">
        <v>117</v>
      </c>
      <c r="AE7" s="10">
        <v>165</v>
      </c>
      <c r="AF7" s="10">
        <v>127</v>
      </c>
      <c r="AG7" s="10">
        <v>33</v>
      </c>
      <c r="AH7" s="10"/>
      <c r="AI7" s="10">
        <v>228</v>
      </c>
      <c r="AJ7" s="10">
        <v>134</v>
      </c>
      <c r="AK7" s="10">
        <v>57</v>
      </c>
      <c r="AL7" s="10">
        <v>76</v>
      </c>
      <c r="AM7" s="10">
        <v>25</v>
      </c>
      <c r="AN7" s="10">
        <v>28</v>
      </c>
      <c r="AO7" s="10"/>
      <c r="AP7" s="10">
        <v>322</v>
      </c>
      <c r="AQ7" s="10">
        <v>264</v>
      </c>
      <c r="AR7" s="10"/>
      <c r="AS7" s="10" t="s">
        <v>87</v>
      </c>
      <c r="AT7" s="10" t="s">
        <v>87</v>
      </c>
      <c r="AU7" s="10">
        <v>587</v>
      </c>
      <c r="AV7" s="10"/>
      <c r="AW7" s="10">
        <v>417</v>
      </c>
      <c r="AX7" s="10">
        <v>136</v>
      </c>
      <c r="AY7" s="10"/>
      <c r="AZ7" s="10">
        <v>516</v>
      </c>
      <c r="BA7" s="10">
        <v>70</v>
      </c>
    </row>
    <row r="8" spans="2:53" ht="30" customHeight="1" x14ac:dyDescent="0.35">
      <c r="B8" s="11" t="s">
        <v>19</v>
      </c>
      <c r="C8" s="11">
        <v>577</v>
      </c>
      <c r="D8" s="11">
        <v>324</v>
      </c>
      <c r="E8" s="11">
        <v>251</v>
      </c>
      <c r="F8" s="11"/>
      <c r="G8" s="11">
        <v>1</v>
      </c>
      <c r="H8" s="11">
        <v>47</v>
      </c>
      <c r="I8" s="11">
        <v>230</v>
      </c>
      <c r="J8" s="11">
        <v>210</v>
      </c>
      <c r="K8" s="11">
        <v>74</v>
      </c>
      <c r="L8" s="11">
        <v>14</v>
      </c>
      <c r="M8" s="11"/>
      <c r="N8" s="11">
        <v>184</v>
      </c>
      <c r="O8" s="11">
        <v>122</v>
      </c>
      <c r="P8" s="11">
        <v>152</v>
      </c>
      <c r="Q8" s="11">
        <v>116</v>
      </c>
      <c r="R8" s="11"/>
      <c r="S8" s="11">
        <v>106</v>
      </c>
      <c r="T8" s="11">
        <v>97</v>
      </c>
      <c r="U8" s="11">
        <v>53</v>
      </c>
      <c r="V8" s="11">
        <v>55</v>
      </c>
      <c r="W8" s="11">
        <v>46</v>
      </c>
      <c r="X8" s="11">
        <v>64</v>
      </c>
      <c r="Y8" s="11">
        <v>51</v>
      </c>
      <c r="Z8" s="11">
        <v>35</v>
      </c>
      <c r="AA8" s="11">
        <v>71</v>
      </c>
      <c r="AB8" s="11"/>
      <c r="AC8" s="11">
        <v>104</v>
      </c>
      <c r="AD8" s="11">
        <v>133</v>
      </c>
      <c r="AE8" s="11">
        <v>157</v>
      </c>
      <c r="AF8" s="11">
        <v>96</v>
      </c>
      <c r="AG8" s="11">
        <v>18</v>
      </c>
      <c r="AH8" s="11"/>
      <c r="AI8" s="11">
        <v>218</v>
      </c>
      <c r="AJ8" s="11">
        <v>121</v>
      </c>
      <c r="AK8" s="11">
        <v>51</v>
      </c>
      <c r="AL8" s="11">
        <v>84</v>
      </c>
      <c r="AM8" s="11">
        <v>26</v>
      </c>
      <c r="AN8" s="11">
        <v>32</v>
      </c>
      <c r="AO8" s="11"/>
      <c r="AP8" s="11">
        <v>307</v>
      </c>
      <c r="AQ8" s="11">
        <v>268</v>
      </c>
      <c r="AR8" s="11"/>
      <c r="AS8" s="11" t="s">
        <v>87</v>
      </c>
      <c r="AT8" s="11" t="s">
        <v>87</v>
      </c>
      <c r="AU8" s="11">
        <v>577</v>
      </c>
      <c r="AV8" s="11"/>
      <c r="AW8" s="11">
        <v>432</v>
      </c>
      <c r="AX8" s="11">
        <v>106</v>
      </c>
      <c r="AY8" s="11"/>
      <c r="AZ8" s="11">
        <v>501</v>
      </c>
      <c r="BA8" s="11">
        <v>74</v>
      </c>
    </row>
    <row r="9" spans="2:53" ht="29" x14ac:dyDescent="0.35">
      <c r="B9" s="15" t="s">
        <v>231</v>
      </c>
      <c r="C9" s="14">
        <v>0.10685305878207001</v>
      </c>
      <c r="D9" s="14">
        <v>9.6680805747503498E-2</v>
      </c>
      <c r="E9" s="14">
        <v>0.120414336923888</v>
      </c>
      <c r="F9" s="14"/>
      <c r="G9" s="14">
        <v>0</v>
      </c>
      <c r="H9" s="14">
        <v>0.123686480325325</v>
      </c>
      <c r="I9" s="14">
        <v>0.150730494364851</v>
      </c>
      <c r="J9" s="14">
        <v>8.7092239590652903E-2</v>
      </c>
      <c r="K9" s="14">
        <v>3.8380057417709099E-2</v>
      </c>
      <c r="L9" s="14">
        <v>0</v>
      </c>
      <c r="M9" s="14"/>
      <c r="N9" s="14">
        <v>7.6943036612680496E-2</v>
      </c>
      <c r="O9" s="14">
        <v>0.15116282565851999</v>
      </c>
      <c r="P9" s="14">
        <v>9.2870553142489903E-2</v>
      </c>
      <c r="Q9" s="14">
        <v>0.12707772207377599</v>
      </c>
      <c r="R9" s="14"/>
      <c r="S9" s="14">
        <v>0.15126406553925101</v>
      </c>
      <c r="T9" s="14">
        <v>5.91503290156144E-2</v>
      </c>
      <c r="U9" s="14">
        <v>0.19507333188387099</v>
      </c>
      <c r="V9" s="14">
        <v>6.9746276420513398E-2</v>
      </c>
      <c r="W9" s="14">
        <v>7.8164329473452296E-2</v>
      </c>
      <c r="X9" s="14">
        <v>8.1630157982520601E-2</v>
      </c>
      <c r="Y9" s="14">
        <v>0.10716899406607</v>
      </c>
      <c r="Z9" s="14">
        <v>0.116365086778073</v>
      </c>
      <c r="AA9" s="14">
        <v>0.10490783034609499</v>
      </c>
      <c r="AB9" s="14"/>
      <c r="AC9" s="14">
        <v>0.123922155964308</v>
      </c>
      <c r="AD9" s="14">
        <v>8.6391271639289197E-2</v>
      </c>
      <c r="AE9" s="14">
        <v>9.3896376450309793E-2</v>
      </c>
      <c r="AF9" s="14">
        <v>0.18810719409382301</v>
      </c>
      <c r="AG9" s="14">
        <v>2.7825707672343401E-2</v>
      </c>
      <c r="AH9" s="14"/>
      <c r="AI9" s="14">
        <v>0.116665620474259</v>
      </c>
      <c r="AJ9" s="14">
        <v>7.1357613946856802E-2</v>
      </c>
      <c r="AK9" s="14">
        <v>0.216171921125557</v>
      </c>
      <c r="AL9" s="14">
        <v>8.8106924759685998E-2</v>
      </c>
      <c r="AM9" s="14">
        <v>0.13663338011092199</v>
      </c>
      <c r="AN9" s="14">
        <v>0.12902140746041799</v>
      </c>
      <c r="AO9" s="14"/>
      <c r="AP9" s="14">
        <v>7.8320070925657695E-2</v>
      </c>
      <c r="AQ9" s="14">
        <v>0.140070381891403</v>
      </c>
      <c r="AR9" s="14"/>
      <c r="AS9" s="14" t="s">
        <v>88</v>
      </c>
      <c r="AT9" s="14" t="s">
        <v>88</v>
      </c>
      <c r="AU9" s="14">
        <v>0.10685305878207001</v>
      </c>
      <c r="AV9" s="14"/>
      <c r="AW9" s="14">
        <v>0.10136487261766799</v>
      </c>
      <c r="AX9" s="14">
        <v>0.124328122079967</v>
      </c>
      <c r="AY9" s="14"/>
      <c r="AZ9" s="14">
        <v>0.102911579143297</v>
      </c>
      <c r="BA9" s="14">
        <v>0.134983050075421</v>
      </c>
    </row>
    <row r="10" spans="2:53" ht="29" x14ac:dyDescent="0.35">
      <c r="B10" s="15" t="s">
        <v>232</v>
      </c>
      <c r="C10" s="14">
        <v>0.70036983134610797</v>
      </c>
      <c r="D10" s="14">
        <v>0.74694202950878996</v>
      </c>
      <c r="E10" s="14">
        <v>0.64301693345436395</v>
      </c>
      <c r="F10" s="14"/>
      <c r="G10" s="14">
        <v>0</v>
      </c>
      <c r="H10" s="14">
        <v>0.74020225861331701</v>
      </c>
      <c r="I10" s="14">
        <v>0.603623235432592</v>
      </c>
      <c r="J10" s="14">
        <v>0.76983427440851304</v>
      </c>
      <c r="K10" s="14">
        <v>0.75779283520859197</v>
      </c>
      <c r="L10" s="14">
        <v>0.859827213849095</v>
      </c>
      <c r="M10" s="14"/>
      <c r="N10" s="14">
        <v>0.76548747376461901</v>
      </c>
      <c r="O10" s="14">
        <v>0.66259935965248196</v>
      </c>
      <c r="P10" s="14">
        <v>0.662433662779365</v>
      </c>
      <c r="Q10" s="14">
        <v>0.68314757875394905</v>
      </c>
      <c r="R10" s="14"/>
      <c r="S10" s="14">
        <v>0.67434187528449896</v>
      </c>
      <c r="T10" s="14">
        <v>0.72791361745295502</v>
      </c>
      <c r="U10" s="14">
        <v>0.67793705903117796</v>
      </c>
      <c r="V10" s="14">
        <v>0.66449597012416095</v>
      </c>
      <c r="W10" s="14">
        <v>0.58292902231788601</v>
      </c>
      <c r="X10" s="14">
        <v>0.72541623844641001</v>
      </c>
      <c r="Y10" s="14">
        <v>0.82317703336596404</v>
      </c>
      <c r="Z10" s="14">
        <v>0.72027664399114</v>
      </c>
      <c r="AA10" s="14">
        <v>0.70187462577185</v>
      </c>
      <c r="AB10" s="14"/>
      <c r="AC10" s="14">
        <v>0.70086428905119702</v>
      </c>
      <c r="AD10" s="14">
        <v>0.70376535294434595</v>
      </c>
      <c r="AE10" s="14">
        <v>0.71638175424690897</v>
      </c>
      <c r="AF10" s="14">
        <v>0.64660985167698504</v>
      </c>
      <c r="AG10" s="14">
        <v>0.82757519474358199</v>
      </c>
      <c r="AH10" s="14"/>
      <c r="AI10" s="14">
        <v>0.69305436026380396</v>
      </c>
      <c r="AJ10" s="14">
        <v>0.72854111462986204</v>
      </c>
      <c r="AK10" s="14">
        <v>0.56911261475767405</v>
      </c>
      <c r="AL10" s="14">
        <v>0.71664859965254302</v>
      </c>
      <c r="AM10" s="14">
        <v>0.79322703089671598</v>
      </c>
      <c r="AN10" s="14">
        <v>0.836391243191559</v>
      </c>
      <c r="AO10" s="14"/>
      <c r="AP10" s="14">
        <v>0.74311676555642103</v>
      </c>
      <c r="AQ10" s="14">
        <v>0.65483964089121804</v>
      </c>
      <c r="AR10" s="14"/>
      <c r="AS10" s="14" t="s">
        <v>88</v>
      </c>
      <c r="AT10" s="14" t="s">
        <v>88</v>
      </c>
      <c r="AU10" s="14">
        <v>0.70036983134610797</v>
      </c>
      <c r="AV10" s="14"/>
      <c r="AW10" s="14">
        <v>0.70700862967204503</v>
      </c>
      <c r="AX10" s="14">
        <v>0.67906278893273597</v>
      </c>
      <c r="AY10" s="14"/>
      <c r="AZ10" s="14">
        <v>0.71487478675260396</v>
      </c>
      <c r="BA10" s="14">
        <v>0.59818285847772901</v>
      </c>
    </row>
    <row r="11" spans="2:53" ht="29" x14ac:dyDescent="0.35">
      <c r="B11" s="15" t="s">
        <v>233</v>
      </c>
      <c r="C11" s="14">
        <v>0.143176198623614</v>
      </c>
      <c r="D11" s="14">
        <v>0.127021347730807</v>
      </c>
      <c r="E11" s="14">
        <v>0.16062690457166301</v>
      </c>
      <c r="F11" s="14"/>
      <c r="G11" s="14">
        <v>0</v>
      </c>
      <c r="H11" s="14">
        <v>0.13611126106135699</v>
      </c>
      <c r="I11" s="14">
        <v>0.184060046806133</v>
      </c>
      <c r="J11" s="14">
        <v>9.0478181576237604E-2</v>
      </c>
      <c r="K11" s="14">
        <v>0.17264737811422701</v>
      </c>
      <c r="L11" s="14">
        <v>0.140172786150905</v>
      </c>
      <c r="M11" s="14"/>
      <c r="N11" s="14">
        <v>0.109851982054759</v>
      </c>
      <c r="O11" s="14">
        <v>0.124761509374522</v>
      </c>
      <c r="P11" s="14">
        <v>0.20813543002152801</v>
      </c>
      <c r="Q11" s="14">
        <v>0.13209315530503901</v>
      </c>
      <c r="R11" s="14"/>
      <c r="S11" s="14">
        <v>0.133497419071201</v>
      </c>
      <c r="T11" s="14">
        <v>0.15474491458083101</v>
      </c>
      <c r="U11" s="14">
        <v>0.11174085976012001</v>
      </c>
      <c r="V11" s="14">
        <v>0.175919318638107</v>
      </c>
      <c r="W11" s="14">
        <v>0.27967364040891701</v>
      </c>
      <c r="X11" s="14">
        <v>0.12703461984363501</v>
      </c>
      <c r="Y11" s="14">
        <v>5.8828762407296002E-2</v>
      </c>
      <c r="Z11" s="14">
        <v>0.147020819931341</v>
      </c>
      <c r="AA11" s="14">
        <v>0.124882346716402</v>
      </c>
      <c r="AB11" s="14"/>
      <c r="AC11" s="14">
        <v>0.13391614800278601</v>
      </c>
      <c r="AD11" s="14">
        <v>0.158469873724945</v>
      </c>
      <c r="AE11" s="14">
        <v>0.142959121774346</v>
      </c>
      <c r="AF11" s="14">
        <v>0.131184751761035</v>
      </c>
      <c r="AG11" s="14">
        <v>9.8130135485583095E-2</v>
      </c>
      <c r="AH11" s="14"/>
      <c r="AI11" s="14">
        <v>0.142544853133768</v>
      </c>
      <c r="AJ11" s="14">
        <v>0.17076072559995201</v>
      </c>
      <c r="AK11" s="14">
        <v>0.12881480042954899</v>
      </c>
      <c r="AL11" s="14">
        <v>0.15689399360376</v>
      </c>
      <c r="AM11" s="14">
        <v>4.5618355092065403E-2</v>
      </c>
      <c r="AN11" s="14">
        <v>0</v>
      </c>
      <c r="AO11" s="14"/>
      <c r="AP11" s="14">
        <v>0.13515900869523001</v>
      </c>
      <c r="AQ11" s="14">
        <v>0.15306645953814199</v>
      </c>
      <c r="AR11" s="14"/>
      <c r="AS11" s="14" t="s">
        <v>88</v>
      </c>
      <c r="AT11" s="14" t="s">
        <v>88</v>
      </c>
      <c r="AU11" s="14">
        <v>0.143176198623614</v>
      </c>
      <c r="AV11" s="14"/>
      <c r="AW11" s="14">
        <v>0.14077433006940199</v>
      </c>
      <c r="AX11" s="14">
        <v>0.15987321224854001</v>
      </c>
      <c r="AY11" s="14"/>
      <c r="AZ11" s="14">
        <v>0.14362324723280401</v>
      </c>
      <c r="BA11" s="14">
        <v>0.14219835879659801</v>
      </c>
    </row>
    <row r="12" spans="2:53" x14ac:dyDescent="0.35">
      <c r="B12" s="15" t="s">
        <v>116</v>
      </c>
      <c r="C12" s="23">
        <v>4.9600911248208097E-2</v>
      </c>
      <c r="D12" s="23">
        <v>2.9355817012899601E-2</v>
      </c>
      <c r="E12" s="23">
        <v>7.5941825050085898E-2</v>
      </c>
      <c r="F12" s="23"/>
      <c r="G12" s="23">
        <v>1</v>
      </c>
      <c r="H12" s="23">
        <v>0</v>
      </c>
      <c r="I12" s="23">
        <v>6.1586223396423299E-2</v>
      </c>
      <c r="J12" s="23">
        <v>5.2595304424596298E-2</v>
      </c>
      <c r="K12" s="23">
        <v>3.11797292594722E-2</v>
      </c>
      <c r="L12" s="23">
        <v>0</v>
      </c>
      <c r="M12" s="23"/>
      <c r="N12" s="23">
        <v>4.7717507567940902E-2</v>
      </c>
      <c r="O12" s="23">
        <v>6.1476305314476898E-2</v>
      </c>
      <c r="P12" s="23">
        <v>3.6560354056617603E-2</v>
      </c>
      <c r="Q12" s="23">
        <v>5.7681543867236201E-2</v>
      </c>
      <c r="R12" s="23"/>
      <c r="S12" s="23">
        <v>4.0896640105049203E-2</v>
      </c>
      <c r="T12" s="23">
        <v>5.8191138950599401E-2</v>
      </c>
      <c r="U12" s="23">
        <v>1.52487493248313E-2</v>
      </c>
      <c r="V12" s="23">
        <v>8.9838434817218898E-2</v>
      </c>
      <c r="W12" s="23">
        <v>5.9233007799743803E-2</v>
      </c>
      <c r="X12" s="23">
        <v>6.5918983727434502E-2</v>
      </c>
      <c r="Y12" s="23">
        <v>1.08252101606694E-2</v>
      </c>
      <c r="Z12" s="23">
        <v>1.6337449299446801E-2</v>
      </c>
      <c r="AA12" s="23">
        <v>6.8335197165653602E-2</v>
      </c>
      <c r="AB12" s="23"/>
      <c r="AC12" s="23">
        <v>4.1297406981708099E-2</v>
      </c>
      <c r="AD12" s="23">
        <v>5.1373501691420097E-2</v>
      </c>
      <c r="AE12" s="23">
        <v>4.67627475284359E-2</v>
      </c>
      <c r="AF12" s="23">
        <v>3.4098202468156799E-2</v>
      </c>
      <c r="AG12" s="23">
        <v>4.6468962098491301E-2</v>
      </c>
      <c r="AH12" s="23"/>
      <c r="AI12" s="23">
        <v>4.7735166128169297E-2</v>
      </c>
      <c r="AJ12" s="23">
        <v>2.9340545823328401E-2</v>
      </c>
      <c r="AK12" s="23">
        <v>8.5900663687220699E-2</v>
      </c>
      <c r="AL12" s="23">
        <v>3.8350481984011302E-2</v>
      </c>
      <c r="AM12" s="23">
        <v>2.4521233900296799E-2</v>
      </c>
      <c r="AN12" s="23">
        <v>3.4587349348023398E-2</v>
      </c>
      <c r="AO12" s="23"/>
      <c r="AP12" s="23">
        <v>4.3404154822690999E-2</v>
      </c>
      <c r="AQ12" s="23">
        <v>5.2023517679237803E-2</v>
      </c>
      <c r="AR12" s="23"/>
      <c r="AS12" s="23" t="s">
        <v>88</v>
      </c>
      <c r="AT12" s="23" t="s">
        <v>88</v>
      </c>
      <c r="AU12" s="23">
        <v>4.9600911248208097E-2</v>
      </c>
      <c r="AV12" s="23"/>
      <c r="AW12" s="23">
        <v>5.0852167640886001E-2</v>
      </c>
      <c r="AX12" s="23">
        <v>3.6735876738757597E-2</v>
      </c>
      <c r="AY12" s="23"/>
      <c r="AZ12" s="23">
        <v>3.8590386871294798E-2</v>
      </c>
      <c r="BA12" s="23">
        <v>0.124635732650252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587</v>
      </c>
      <c r="D7" s="10">
        <v>278</v>
      </c>
      <c r="E7" s="10">
        <v>308</v>
      </c>
      <c r="F7" s="10"/>
      <c r="G7" s="10">
        <v>1</v>
      </c>
      <c r="H7" s="10">
        <v>54</v>
      </c>
      <c r="I7" s="10">
        <v>247</v>
      </c>
      <c r="J7" s="10">
        <v>202</v>
      </c>
      <c r="K7" s="10">
        <v>70</v>
      </c>
      <c r="L7" s="10">
        <v>13</v>
      </c>
      <c r="M7" s="10"/>
      <c r="N7" s="10">
        <v>293</v>
      </c>
      <c r="O7" s="10">
        <v>117</v>
      </c>
      <c r="P7" s="10">
        <v>96</v>
      </c>
      <c r="Q7" s="10">
        <v>80</v>
      </c>
      <c r="R7" s="10"/>
      <c r="S7" s="10">
        <v>133</v>
      </c>
      <c r="T7" s="10">
        <v>85</v>
      </c>
      <c r="U7" s="10">
        <v>42</v>
      </c>
      <c r="V7" s="10">
        <v>47</v>
      </c>
      <c r="W7" s="10">
        <v>36</v>
      </c>
      <c r="X7" s="10">
        <v>78</v>
      </c>
      <c r="Y7" s="10">
        <v>59</v>
      </c>
      <c r="Z7" s="10">
        <v>33</v>
      </c>
      <c r="AA7" s="10">
        <v>74</v>
      </c>
      <c r="AB7" s="10"/>
      <c r="AC7" s="10">
        <v>85</v>
      </c>
      <c r="AD7" s="10">
        <v>117</v>
      </c>
      <c r="AE7" s="10">
        <v>165</v>
      </c>
      <c r="AF7" s="10">
        <v>127</v>
      </c>
      <c r="AG7" s="10">
        <v>33</v>
      </c>
      <c r="AH7" s="10"/>
      <c r="AI7" s="10">
        <v>228</v>
      </c>
      <c r="AJ7" s="10">
        <v>134</v>
      </c>
      <c r="AK7" s="10">
        <v>57</v>
      </c>
      <c r="AL7" s="10">
        <v>76</v>
      </c>
      <c r="AM7" s="10">
        <v>25</v>
      </c>
      <c r="AN7" s="10">
        <v>28</v>
      </c>
      <c r="AO7" s="10"/>
      <c r="AP7" s="10">
        <v>322</v>
      </c>
      <c r="AQ7" s="10">
        <v>264</v>
      </c>
      <c r="AR7" s="10"/>
      <c r="AS7" s="10" t="s">
        <v>87</v>
      </c>
      <c r="AT7" s="10" t="s">
        <v>87</v>
      </c>
      <c r="AU7" s="10">
        <v>587</v>
      </c>
      <c r="AV7" s="10"/>
      <c r="AW7" s="10">
        <v>417</v>
      </c>
      <c r="AX7" s="10">
        <v>136</v>
      </c>
      <c r="AY7" s="10"/>
      <c r="AZ7" s="10">
        <v>516</v>
      </c>
      <c r="BA7" s="10">
        <v>70</v>
      </c>
    </row>
    <row r="8" spans="2:53" ht="30" customHeight="1" x14ac:dyDescent="0.35">
      <c r="B8" s="11" t="s">
        <v>19</v>
      </c>
      <c r="C8" s="11">
        <v>577</v>
      </c>
      <c r="D8" s="11">
        <v>324</v>
      </c>
      <c r="E8" s="11">
        <v>251</v>
      </c>
      <c r="F8" s="11"/>
      <c r="G8" s="11">
        <v>1</v>
      </c>
      <c r="H8" s="11">
        <v>47</v>
      </c>
      <c r="I8" s="11">
        <v>230</v>
      </c>
      <c r="J8" s="11">
        <v>210</v>
      </c>
      <c r="K8" s="11">
        <v>74</v>
      </c>
      <c r="L8" s="11">
        <v>14</v>
      </c>
      <c r="M8" s="11"/>
      <c r="N8" s="11">
        <v>184</v>
      </c>
      <c r="O8" s="11">
        <v>122</v>
      </c>
      <c r="P8" s="11">
        <v>152</v>
      </c>
      <c r="Q8" s="11">
        <v>116</v>
      </c>
      <c r="R8" s="11"/>
      <c r="S8" s="11">
        <v>106</v>
      </c>
      <c r="T8" s="11">
        <v>97</v>
      </c>
      <c r="U8" s="11">
        <v>53</v>
      </c>
      <c r="V8" s="11">
        <v>55</v>
      </c>
      <c r="W8" s="11">
        <v>46</v>
      </c>
      <c r="X8" s="11">
        <v>64</v>
      </c>
      <c r="Y8" s="11">
        <v>51</v>
      </c>
      <c r="Z8" s="11">
        <v>35</v>
      </c>
      <c r="AA8" s="11">
        <v>71</v>
      </c>
      <c r="AB8" s="11"/>
      <c r="AC8" s="11">
        <v>104</v>
      </c>
      <c r="AD8" s="11">
        <v>133</v>
      </c>
      <c r="AE8" s="11">
        <v>157</v>
      </c>
      <c r="AF8" s="11">
        <v>96</v>
      </c>
      <c r="AG8" s="11">
        <v>18</v>
      </c>
      <c r="AH8" s="11"/>
      <c r="AI8" s="11">
        <v>218</v>
      </c>
      <c r="AJ8" s="11">
        <v>121</v>
      </c>
      <c r="AK8" s="11">
        <v>51</v>
      </c>
      <c r="AL8" s="11">
        <v>84</v>
      </c>
      <c r="AM8" s="11">
        <v>26</v>
      </c>
      <c r="AN8" s="11">
        <v>32</v>
      </c>
      <c r="AO8" s="11"/>
      <c r="AP8" s="11">
        <v>307</v>
      </c>
      <c r="AQ8" s="11">
        <v>268</v>
      </c>
      <c r="AR8" s="11"/>
      <c r="AS8" s="11" t="s">
        <v>87</v>
      </c>
      <c r="AT8" s="11" t="s">
        <v>87</v>
      </c>
      <c r="AU8" s="11">
        <v>577</v>
      </c>
      <c r="AV8" s="11"/>
      <c r="AW8" s="11">
        <v>432</v>
      </c>
      <c r="AX8" s="11">
        <v>106</v>
      </c>
      <c r="AY8" s="11"/>
      <c r="AZ8" s="11">
        <v>501</v>
      </c>
      <c r="BA8" s="11">
        <v>74</v>
      </c>
    </row>
    <row r="9" spans="2:53" x14ac:dyDescent="0.35">
      <c r="B9" s="15" t="s">
        <v>235</v>
      </c>
      <c r="C9" s="14">
        <v>0.47025700908727702</v>
      </c>
      <c r="D9" s="14">
        <v>0.47625253084990399</v>
      </c>
      <c r="E9" s="14">
        <v>0.46040591178876999</v>
      </c>
      <c r="F9" s="14"/>
      <c r="G9" s="14">
        <v>0</v>
      </c>
      <c r="H9" s="14">
        <v>0.37550421811747797</v>
      </c>
      <c r="I9" s="14">
        <v>0.43631161637523802</v>
      </c>
      <c r="J9" s="14">
        <v>0.48734805601515901</v>
      </c>
      <c r="K9" s="14">
        <v>0.53061588773505097</v>
      </c>
      <c r="L9" s="14">
        <v>0.798683422536975</v>
      </c>
      <c r="M9" s="14"/>
      <c r="N9" s="14">
        <v>0.52033618568578399</v>
      </c>
      <c r="O9" s="14">
        <v>0.42860901759386399</v>
      </c>
      <c r="P9" s="14">
        <v>0.42878507474835698</v>
      </c>
      <c r="Q9" s="14">
        <v>0.49420166691761402</v>
      </c>
      <c r="R9" s="14"/>
      <c r="S9" s="14">
        <v>0.545258790803549</v>
      </c>
      <c r="T9" s="14">
        <v>0.47734280415182601</v>
      </c>
      <c r="U9" s="14">
        <v>0.49352235707427899</v>
      </c>
      <c r="V9" s="14">
        <v>0.53138981944502295</v>
      </c>
      <c r="W9" s="14">
        <v>0.38179365585133901</v>
      </c>
      <c r="X9" s="14">
        <v>0.29044844801761699</v>
      </c>
      <c r="Y9" s="14">
        <v>0.48095422583189401</v>
      </c>
      <c r="Z9" s="14">
        <v>0.42736194562080698</v>
      </c>
      <c r="AA9" s="14">
        <v>0.51516034693497803</v>
      </c>
      <c r="AB9" s="14"/>
      <c r="AC9" s="14">
        <v>0.47110272576739998</v>
      </c>
      <c r="AD9" s="14">
        <v>0.46037365238417799</v>
      </c>
      <c r="AE9" s="14">
        <v>0.449932855772461</v>
      </c>
      <c r="AF9" s="14">
        <v>0.45463656584596202</v>
      </c>
      <c r="AG9" s="14">
        <v>0.61299285905484902</v>
      </c>
      <c r="AH9" s="14"/>
      <c r="AI9" s="14">
        <v>0.48119895891481601</v>
      </c>
      <c r="AJ9" s="14">
        <v>0.41875015024154999</v>
      </c>
      <c r="AK9" s="14">
        <v>0.42481381401982299</v>
      </c>
      <c r="AL9" s="14">
        <v>0.55055079728617495</v>
      </c>
      <c r="AM9" s="14">
        <v>0.453931821406859</v>
      </c>
      <c r="AN9" s="14">
        <v>0.50942291338054502</v>
      </c>
      <c r="AO9" s="14"/>
      <c r="AP9" s="14">
        <v>0.49571045095938998</v>
      </c>
      <c r="AQ9" s="14">
        <v>0.43848684811458499</v>
      </c>
      <c r="AR9" s="14"/>
      <c r="AS9" s="14" t="s">
        <v>88</v>
      </c>
      <c r="AT9" s="14" t="s">
        <v>88</v>
      </c>
      <c r="AU9" s="14">
        <v>0.47025700908727702</v>
      </c>
      <c r="AV9" s="14"/>
      <c r="AW9" s="14">
        <v>0.45914159895251999</v>
      </c>
      <c r="AX9" s="14">
        <v>0.53806079914239002</v>
      </c>
      <c r="AY9" s="14"/>
      <c r="AZ9" s="14">
        <v>0.47711011402731202</v>
      </c>
      <c r="BA9" s="14">
        <v>0.416446198843967</v>
      </c>
    </row>
    <row r="10" spans="2:53" x14ac:dyDescent="0.35">
      <c r="B10" s="15" t="s">
        <v>236</v>
      </c>
      <c r="C10" s="14">
        <v>0.45333266270658201</v>
      </c>
      <c r="D10" s="14">
        <v>0.45777211973110998</v>
      </c>
      <c r="E10" s="14">
        <v>0.44940439737193599</v>
      </c>
      <c r="F10" s="14"/>
      <c r="G10" s="14">
        <v>1</v>
      </c>
      <c r="H10" s="14">
        <v>0.47215133028330603</v>
      </c>
      <c r="I10" s="14">
        <v>0.47057076635015699</v>
      </c>
      <c r="J10" s="14">
        <v>0.48282461896238499</v>
      </c>
      <c r="K10" s="14">
        <v>0.34904215349850598</v>
      </c>
      <c r="L10" s="14">
        <v>0.18207518942784101</v>
      </c>
      <c r="M10" s="14"/>
      <c r="N10" s="14">
        <v>0.43953788792503001</v>
      </c>
      <c r="O10" s="14">
        <v>0.475673101800343</v>
      </c>
      <c r="P10" s="14">
        <v>0.48844522523834499</v>
      </c>
      <c r="Q10" s="14">
        <v>0.39968567211294997</v>
      </c>
      <c r="R10" s="14"/>
      <c r="S10" s="14">
        <v>0.39506778837747297</v>
      </c>
      <c r="T10" s="14">
        <v>0.41832671589180698</v>
      </c>
      <c r="U10" s="14">
        <v>0.47083529268824498</v>
      </c>
      <c r="V10" s="14">
        <v>0.38166198244319</v>
      </c>
      <c r="W10" s="14">
        <v>0.54187136678278103</v>
      </c>
      <c r="X10" s="14">
        <v>0.59002012393741599</v>
      </c>
      <c r="Y10" s="14">
        <v>0.51362602020148396</v>
      </c>
      <c r="Z10" s="14">
        <v>0.46445248978894799</v>
      </c>
      <c r="AA10" s="14">
        <v>0.40278969941453702</v>
      </c>
      <c r="AB10" s="14"/>
      <c r="AC10" s="14">
        <v>0.449881554059258</v>
      </c>
      <c r="AD10" s="14">
        <v>0.47108287283147399</v>
      </c>
      <c r="AE10" s="14">
        <v>0.47222027167661301</v>
      </c>
      <c r="AF10" s="14">
        <v>0.47139960811196302</v>
      </c>
      <c r="AG10" s="14">
        <v>0.29226572048111799</v>
      </c>
      <c r="AH10" s="14"/>
      <c r="AI10" s="14">
        <v>0.46211872512205698</v>
      </c>
      <c r="AJ10" s="14">
        <v>0.489910113196528</v>
      </c>
      <c r="AK10" s="14">
        <v>0.48267593939966102</v>
      </c>
      <c r="AL10" s="14">
        <v>0.359600819704958</v>
      </c>
      <c r="AM10" s="14">
        <v>0.500449817737744</v>
      </c>
      <c r="AN10" s="14">
        <v>0.42139533423221198</v>
      </c>
      <c r="AO10" s="14"/>
      <c r="AP10" s="14">
        <v>0.42651018637543903</v>
      </c>
      <c r="AQ10" s="14">
        <v>0.48629533995707303</v>
      </c>
      <c r="AR10" s="14"/>
      <c r="AS10" s="14" t="s">
        <v>88</v>
      </c>
      <c r="AT10" s="14" t="s">
        <v>88</v>
      </c>
      <c r="AU10" s="14">
        <v>0.45333266270658201</v>
      </c>
      <c r="AV10" s="14"/>
      <c r="AW10" s="14">
        <v>0.45855034611117101</v>
      </c>
      <c r="AX10" s="14">
        <v>0.41904962010836599</v>
      </c>
      <c r="AY10" s="14"/>
      <c r="AZ10" s="14">
        <v>0.44706399084012</v>
      </c>
      <c r="BA10" s="14">
        <v>0.50210945437129195</v>
      </c>
    </row>
    <row r="11" spans="2:53" x14ac:dyDescent="0.35">
      <c r="B11" s="15" t="s">
        <v>237</v>
      </c>
      <c r="C11" s="14">
        <v>5.24008317353203E-2</v>
      </c>
      <c r="D11" s="14">
        <v>4.2162835487731198E-2</v>
      </c>
      <c r="E11" s="14">
        <v>6.5830244753002795E-2</v>
      </c>
      <c r="F11" s="14"/>
      <c r="G11" s="14">
        <v>0</v>
      </c>
      <c r="H11" s="14">
        <v>0.11271141774604999</v>
      </c>
      <c r="I11" s="14">
        <v>5.8489714458345402E-2</v>
      </c>
      <c r="J11" s="14">
        <v>1.06880878417708E-2</v>
      </c>
      <c r="K11" s="14">
        <v>0.12034195876644301</v>
      </c>
      <c r="L11" s="14">
        <v>1.9241388035183601E-2</v>
      </c>
      <c r="M11" s="14"/>
      <c r="N11" s="14">
        <v>3.4710047563202E-2</v>
      </c>
      <c r="O11" s="14">
        <v>6.5636162859399605E-2</v>
      </c>
      <c r="P11" s="14">
        <v>5.5075816956161601E-2</v>
      </c>
      <c r="Q11" s="14">
        <v>6.3590275739939306E-2</v>
      </c>
      <c r="R11" s="14"/>
      <c r="S11" s="14">
        <v>5.1531499635155797E-2</v>
      </c>
      <c r="T11" s="14">
        <v>7.0634221470882705E-2</v>
      </c>
      <c r="U11" s="14">
        <v>3.5642350237475903E-2</v>
      </c>
      <c r="V11" s="14">
        <v>6.2594163843072106E-2</v>
      </c>
      <c r="W11" s="14">
        <v>7.6334977365880699E-2</v>
      </c>
      <c r="X11" s="14">
        <v>7.7077686183142993E-2</v>
      </c>
      <c r="Y11" s="14">
        <v>5.41975396662239E-3</v>
      </c>
      <c r="Z11" s="14">
        <v>5.05975093964839E-2</v>
      </c>
      <c r="AA11" s="14">
        <v>3.0313672808103698E-2</v>
      </c>
      <c r="AB11" s="14"/>
      <c r="AC11" s="14">
        <v>5.1975641967298702E-2</v>
      </c>
      <c r="AD11" s="14">
        <v>5.0690732930611097E-2</v>
      </c>
      <c r="AE11" s="14">
        <v>5.7392921402919399E-2</v>
      </c>
      <c r="AF11" s="14">
        <v>4.7870378874539897E-2</v>
      </c>
      <c r="AG11" s="14">
        <v>9.4741420464032305E-2</v>
      </c>
      <c r="AH11" s="14"/>
      <c r="AI11" s="14">
        <v>4.3175266184550698E-2</v>
      </c>
      <c r="AJ11" s="14">
        <v>8.3061828229065701E-2</v>
      </c>
      <c r="AK11" s="14">
        <v>6.5954072802848998E-2</v>
      </c>
      <c r="AL11" s="14">
        <v>3.1010934904462498E-2</v>
      </c>
      <c r="AM11" s="14">
        <v>4.5618360855396299E-2</v>
      </c>
      <c r="AN11" s="14">
        <v>6.9181752387243306E-2</v>
      </c>
      <c r="AO11" s="14"/>
      <c r="AP11" s="14">
        <v>4.5602636821140602E-2</v>
      </c>
      <c r="AQ11" s="14">
        <v>6.04476975656573E-2</v>
      </c>
      <c r="AR11" s="14"/>
      <c r="AS11" s="14" t="s">
        <v>88</v>
      </c>
      <c r="AT11" s="14" t="s">
        <v>88</v>
      </c>
      <c r="AU11" s="14">
        <v>5.24008317353203E-2</v>
      </c>
      <c r="AV11" s="14"/>
      <c r="AW11" s="14">
        <v>5.7694784184061099E-2</v>
      </c>
      <c r="AX11" s="14">
        <v>2.5372656411841499E-2</v>
      </c>
      <c r="AY11" s="14"/>
      <c r="AZ11" s="14">
        <v>5.0888028463910197E-2</v>
      </c>
      <c r="BA11" s="14">
        <v>6.3359847938872602E-2</v>
      </c>
    </row>
    <row r="12" spans="2:53" x14ac:dyDescent="0.35">
      <c r="B12" s="15" t="s">
        <v>238</v>
      </c>
      <c r="C12" s="14">
        <v>1.55757692084909E-2</v>
      </c>
      <c r="D12" s="14">
        <v>1.88248478518507E-2</v>
      </c>
      <c r="E12" s="14">
        <v>1.14420815333058E-2</v>
      </c>
      <c r="F12" s="14"/>
      <c r="G12" s="14">
        <v>0</v>
      </c>
      <c r="H12" s="14">
        <v>3.9633033853166202E-2</v>
      </c>
      <c r="I12" s="14">
        <v>1.3480049806063901E-2</v>
      </c>
      <c r="J12" s="14">
        <v>1.9139237180685002E-2</v>
      </c>
      <c r="K12" s="14">
        <v>0</v>
      </c>
      <c r="L12" s="14">
        <v>0</v>
      </c>
      <c r="M12" s="14"/>
      <c r="N12" s="14">
        <v>5.4158788259838601E-3</v>
      </c>
      <c r="O12" s="14">
        <v>2.3413678995601601E-2</v>
      </c>
      <c r="P12" s="14">
        <v>8.2199254652083591E-3</v>
      </c>
      <c r="Q12" s="14">
        <v>3.3199750665224403E-2</v>
      </c>
      <c r="R12" s="14"/>
      <c r="S12" s="14">
        <v>8.1419211838224294E-3</v>
      </c>
      <c r="T12" s="14">
        <v>3.3696258485484201E-2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5.7588055193760798E-2</v>
      </c>
      <c r="AA12" s="14">
        <v>4.0234893271930097E-2</v>
      </c>
      <c r="AB12" s="14"/>
      <c r="AC12" s="14">
        <v>1.9225341280049799E-2</v>
      </c>
      <c r="AD12" s="14">
        <v>5.7028028847869996E-3</v>
      </c>
      <c r="AE12" s="14">
        <v>1.1887687815122601E-2</v>
      </c>
      <c r="AF12" s="14">
        <v>2.60934471675353E-2</v>
      </c>
      <c r="AG12" s="14">
        <v>0</v>
      </c>
      <c r="AH12" s="14"/>
      <c r="AI12" s="14">
        <v>8.5248784994851196E-3</v>
      </c>
      <c r="AJ12" s="14">
        <v>8.2779083328567808E-3</v>
      </c>
      <c r="AK12" s="14">
        <v>0</v>
      </c>
      <c r="AL12" s="14">
        <v>4.90981984372241E-2</v>
      </c>
      <c r="AM12" s="14">
        <v>0</v>
      </c>
      <c r="AN12" s="14">
        <v>0</v>
      </c>
      <c r="AO12" s="14"/>
      <c r="AP12" s="14">
        <v>1.98799546409145E-2</v>
      </c>
      <c r="AQ12" s="14">
        <v>1.0720935241717701E-2</v>
      </c>
      <c r="AR12" s="14"/>
      <c r="AS12" s="14" t="s">
        <v>88</v>
      </c>
      <c r="AT12" s="14" t="s">
        <v>88</v>
      </c>
      <c r="AU12" s="14">
        <v>1.55757692084909E-2</v>
      </c>
      <c r="AV12" s="14"/>
      <c r="AW12" s="14">
        <v>1.6473201853127201E-2</v>
      </c>
      <c r="AX12" s="14">
        <v>1.7516924337402699E-2</v>
      </c>
      <c r="AY12" s="14"/>
      <c r="AZ12" s="14">
        <v>1.7915946935098799E-2</v>
      </c>
      <c r="BA12" s="14">
        <v>0</v>
      </c>
    </row>
    <row r="13" spans="2:53" x14ac:dyDescent="0.35">
      <c r="B13" s="15" t="s">
        <v>116</v>
      </c>
      <c r="C13" s="23">
        <v>8.4337272623298092E-3</v>
      </c>
      <c r="D13" s="23">
        <v>4.98766607940464E-3</v>
      </c>
      <c r="E13" s="23">
        <v>1.29173645529855E-2</v>
      </c>
      <c r="F13" s="23"/>
      <c r="G13" s="23">
        <v>0</v>
      </c>
      <c r="H13" s="23">
        <v>0</v>
      </c>
      <c r="I13" s="23">
        <v>2.1147853010195498E-2</v>
      </c>
      <c r="J13" s="23">
        <v>0</v>
      </c>
      <c r="K13" s="23">
        <v>0</v>
      </c>
      <c r="L13" s="23">
        <v>0</v>
      </c>
      <c r="M13" s="23"/>
      <c r="N13" s="23">
        <v>0</v>
      </c>
      <c r="O13" s="23">
        <v>6.6680387507912896E-3</v>
      </c>
      <c r="P13" s="23">
        <v>1.94739575919281E-2</v>
      </c>
      <c r="Q13" s="23">
        <v>9.3226345642723005E-3</v>
      </c>
      <c r="R13" s="23"/>
      <c r="S13" s="23">
        <v>0</v>
      </c>
      <c r="T13" s="23">
        <v>0</v>
      </c>
      <c r="U13" s="23">
        <v>0</v>
      </c>
      <c r="V13" s="23">
        <v>2.43540342687147E-2</v>
      </c>
      <c r="W13" s="23">
        <v>0</v>
      </c>
      <c r="X13" s="23">
        <v>4.24537418618239E-2</v>
      </c>
      <c r="Y13" s="23">
        <v>0</v>
      </c>
      <c r="Z13" s="23">
        <v>0</v>
      </c>
      <c r="AA13" s="23">
        <v>1.15013875704511E-2</v>
      </c>
      <c r="AB13" s="23"/>
      <c r="AC13" s="23">
        <v>7.8147369259927799E-3</v>
      </c>
      <c r="AD13" s="23">
        <v>1.2149938968949401E-2</v>
      </c>
      <c r="AE13" s="23">
        <v>8.5662633328837893E-3</v>
      </c>
      <c r="AF13" s="23">
        <v>0</v>
      </c>
      <c r="AG13" s="23">
        <v>0</v>
      </c>
      <c r="AH13" s="23"/>
      <c r="AI13" s="23">
        <v>4.9821712790909601E-3</v>
      </c>
      <c r="AJ13" s="23">
        <v>0</v>
      </c>
      <c r="AK13" s="23">
        <v>2.65561737776672E-2</v>
      </c>
      <c r="AL13" s="23">
        <v>9.7392496671796207E-3</v>
      </c>
      <c r="AM13" s="23">
        <v>0</v>
      </c>
      <c r="AN13" s="23">
        <v>0</v>
      </c>
      <c r="AO13" s="23"/>
      <c r="AP13" s="23">
        <v>1.22967712031163E-2</v>
      </c>
      <c r="AQ13" s="23">
        <v>4.0491791209666802E-3</v>
      </c>
      <c r="AR13" s="23"/>
      <c r="AS13" s="23" t="s">
        <v>88</v>
      </c>
      <c r="AT13" s="23" t="s">
        <v>88</v>
      </c>
      <c r="AU13" s="23">
        <v>8.4337272623298092E-3</v>
      </c>
      <c r="AV13" s="23"/>
      <c r="AW13" s="23">
        <v>8.1400688991205093E-3</v>
      </c>
      <c r="AX13" s="23">
        <v>0</v>
      </c>
      <c r="AY13" s="23"/>
      <c r="AZ13" s="23">
        <v>7.0219197335590804E-3</v>
      </c>
      <c r="BA13" s="23">
        <v>1.8084498845868199E-2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B2:BA19"/>
  <sheetViews>
    <sheetView showGridLines="0" workbookViewId="0">
      <pane xSplit="2" topLeftCell="C1" activePane="topRight" state="frozen"/>
      <selection pane="topRight" activeCell="AS11" sqref="AS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389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587</v>
      </c>
      <c r="D7" s="10">
        <v>278</v>
      </c>
      <c r="E7" s="10">
        <v>308</v>
      </c>
      <c r="F7" s="10"/>
      <c r="G7" s="10">
        <v>1</v>
      </c>
      <c r="H7" s="10">
        <v>54</v>
      </c>
      <c r="I7" s="10">
        <v>247</v>
      </c>
      <c r="J7" s="10">
        <v>202</v>
      </c>
      <c r="K7" s="10">
        <v>70</v>
      </c>
      <c r="L7" s="10">
        <v>13</v>
      </c>
      <c r="M7" s="10"/>
      <c r="N7" s="10">
        <v>293</v>
      </c>
      <c r="O7" s="10">
        <v>117</v>
      </c>
      <c r="P7" s="10">
        <v>96</v>
      </c>
      <c r="Q7" s="10">
        <v>80</v>
      </c>
      <c r="R7" s="10"/>
      <c r="S7" s="10">
        <v>133</v>
      </c>
      <c r="T7" s="10">
        <v>85</v>
      </c>
      <c r="U7" s="10">
        <v>42</v>
      </c>
      <c r="V7" s="10">
        <v>47</v>
      </c>
      <c r="W7" s="10">
        <v>36</v>
      </c>
      <c r="X7" s="10">
        <v>78</v>
      </c>
      <c r="Y7" s="10">
        <v>59</v>
      </c>
      <c r="Z7" s="10">
        <v>33</v>
      </c>
      <c r="AA7" s="10">
        <v>74</v>
      </c>
      <c r="AB7" s="10"/>
      <c r="AC7" s="10">
        <v>85</v>
      </c>
      <c r="AD7" s="10">
        <v>117</v>
      </c>
      <c r="AE7" s="10">
        <v>165</v>
      </c>
      <c r="AF7" s="10">
        <v>127</v>
      </c>
      <c r="AG7" s="10">
        <v>33</v>
      </c>
      <c r="AH7" s="10"/>
      <c r="AI7" s="10">
        <v>228</v>
      </c>
      <c r="AJ7" s="10">
        <v>134</v>
      </c>
      <c r="AK7" s="10">
        <v>57</v>
      </c>
      <c r="AL7" s="10">
        <v>76</v>
      </c>
      <c r="AM7" s="10">
        <v>25</v>
      </c>
      <c r="AN7" s="10">
        <v>28</v>
      </c>
      <c r="AO7" s="10"/>
      <c r="AP7" s="10">
        <v>322</v>
      </c>
      <c r="AQ7" s="10">
        <v>264</v>
      </c>
      <c r="AR7" s="10"/>
      <c r="AS7" s="10" t="s">
        <v>87</v>
      </c>
      <c r="AT7" s="10" t="s">
        <v>87</v>
      </c>
      <c r="AU7" s="10">
        <v>587</v>
      </c>
      <c r="AV7" s="10"/>
      <c r="AW7" s="10">
        <v>417</v>
      </c>
      <c r="AX7" s="10">
        <v>136</v>
      </c>
      <c r="AY7" s="10"/>
      <c r="AZ7" s="10">
        <v>516</v>
      </c>
      <c r="BA7" s="10">
        <v>70</v>
      </c>
    </row>
    <row r="8" spans="2:53" ht="30" customHeight="1" x14ac:dyDescent="0.35">
      <c r="B8" s="11" t="s">
        <v>19</v>
      </c>
      <c r="C8" s="11">
        <v>577</v>
      </c>
      <c r="D8" s="11">
        <v>324</v>
      </c>
      <c r="E8" s="11">
        <v>251</v>
      </c>
      <c r="F8" s="11"/>
      <c r="G8" s="11">
        <v>1</v>
      </c>
      <c r="H8" s="11">
        <v>47</v>
      </c>
      <c r="I8" s="11">
        <v>230</v>
      </c>
      <c r="J8" s="11">
        <v>210</v>
      </c>
      <c r="K8" s="11">
        <v>74</v>
      </c>
      <c r="L8" s="11">
        <v>14</v>
      </c>
      <c r="M8" s="11"/>
      <c r="N8" s="11">
        <v>184</v>
      </c>
      <c r="O8" s="11">
        <v>122</v>
      </c>
      <c r="P8" s="11">
        <v>152</v>
      </c>
      <c r="Q8" s="11">
        <v>116</v>
      </c>
      <c r="R8" s="11"/>
      <c r="S8" s="11">
        <v>106</v>
      </c>
      <c r="T8" s="11">
        <v>97</v>
      </c>
      <c r="U8" s="11">
        <v>53</v>
      </c>
      <c r="V8" s="11">
        <v>55</v>
      </c>
      <c r="W8" s="11">
        <v>46</v>
      </c>
      <c r="X8" s="11">
        <v>64</v>
      </c>
      <c r="Y8" s="11">
        <v>51</v>
      </c>
      <c r="Z8" s="11">
        <v>35</v>
      </c>
      <c r="AA8" s="11">
        <v>71</v>
      </c>
      <c r="AB8" s="11"/>
      <c r="AC8" s="11">
        <v>104</v>
      </c>
      <c r="AD8" s="11">
        <v>133</v>
      </c>
      <c r="AE8" s="11">
        <v>157</v>
      </c>
      <c r="AF8" s="11">
        <v>96</v>
      </c>
      <c r="AG8" s="11">
        <v>18</v>
      </c>
      <c r="AH8" s="11"/>
      <c r="AI8" s="11">
        <v>218</v>
      </c>
      <c r="AJ8" s="11">
        <v>121</v>
      </c>
      <c r="AK8" s="11">
        <v>51</v>
      </c>
      <c r="AL8" s="11">
        <v>84</v>
      </c>
      <c r="AM8" s="11">
        <v>26</v>
      </c>
      <c r="AN8" s="11">
        <v>32</v>
      </c>
      <c r="AO8" s="11"/>
      <c r="AP8" s="11">
        <v>307</v>
      </c>
      <c r="AQ8" s="11">
        <v>268</v>
      </c>
      <c r="AR8" s="11"/>
      <c r="AS8" s="11" t="s">
        <v>87</v>
      </c>
      <c r="AT8" s="11" t="s">
        <v>87</v>
      </c>
      <c r="AU8" s="11">
        <v>577</v>
      </c>
      <c r="AV8" s="11"/>
      <c r="AW8" s="11">
        <v>432</v>
      </c>
      <c r="AX8" s="11">
        <v>106</v>
      </c>
      <c r="AY8" s="11"/>
      <c r="AZ8" s="11">
        <v>501</v>
      </c>
      <c r="BA8" s="11">
        <v>74</v>
      </c>
    </row>
    <row r="9" spans="2:53" x14ac:dyDescent="0.35">
      <c r="B9" s="15" t="s">
        <v>220</v>
      </c>
      <c r="C9" s="14">
        <v>0.32764784312635498</v>
      </c>
      <c r="D9" s="14">
        <v>0.372778924617991</v>
      </c>
      <c r="E9" s="14">
        <v>0.266691420221984</v>
      </c>
      <c r="F9" s="14"/>
      <c r="G9" s="14">
        <v>1</v>
      </c>
      <c r="H9" s="14">
        <v>0.45000086259831201</v>
      </c>
      <c r="I9" s="14">
        <v>0.364679962481683</v>
      </c>
      <c r="J9" s="14">
        <v>0.26237577212586699</v>
      </c>
      <c r="K9" s="14">
        <v>0.32594930725211901</v>
      </c>
      <c r="L9" s="14">
        <v>0.24603747639648199</v>
      </c>
      <c r="M9" s="14"/>
      <c r="N9" s="14">
        <v>0.41924467625866002</v>
      </c>
      <c r="O9" s="14">
        <v>0.25208909475666103</v>
      </c>
      <c r="P9" s="14">
        <v>0.30178627673784603</v>
      </c>
      <c r="Q9" s="14">
        <v>0.29952866630404901</v>
      </c>
      <c r="R9" s="14"/>
      <c r="S9" s="14">
        <v>0.38339924057255398</v>
      </c>
      <c r="T9" s="14">
        <v>0.35365302692742001</v>
      </c>
      <c r="U9" s="14">
        <v>0.285394707390975</v>
      </c>
      <c r="V9" s="14">
        <v>0.34844717840656197</v>
      </c>
      <c r="W9" s="14">
        <v>0.37299295111324798</v>
      </c>
      <c r="X9" s="14">
        <v>0.29607015671563303</v>
      </c>
      <c r="Y9" s="14">
        <v>0.28372540214977499</v>
      </c>
      <c r="Z9" s="14">
        <v>0.22066248417711501</v>
      </c>
      <c r="AA9" s="14">
        <v>0.30691229839279499</v>
      </c>
      <c r="AB9" s="14"/>
      <c r="AC9" s="14">
        <v>0.23156700493794999</v>
      </c>
      <c r="AD9" s="14">
        <v>0.280508677177986</v>
      </c>
      <c r="AE9" s="14">
        <v>0.355572525405905</v>
      </c>
      <c r="AF9" s="14">
        <v>0.448143573081008</v>
      </c>
      <c r="AG9" s="14">
        <v>0.66038731451983601</v>
      </c>
      <c r="AH9" s="14"/>
      <c r="AI9" s="14">
        <v>0.37332879347005399</v>
      </c>
      <c r="AJ9" s="14">
        <v>0.28909521992973303</v>
      </c>
      <c r="AK9" s="14">
        <v>0.38153974328378198</v>
      </c>
      <c r="AL9" s="14">
        <v>0.33577373041922798</v>
      </c>
      <c r="AM9" s="14">
        <v>0.323634932549004</v>
      </c>
      <c r="AN9" s="14">
        <v>0.38107634863464102</v>
      </c>
      <c r="AO9" s="14"/>
      <c r="AP9" s="14">
        <v>0.336668380354395</v>
      </c>
      <c r="AQ9" s="14">
        <v>0.31892511149429797</v>
      </c>
      <c r="AR9" s="14"/>
      <c r="AS9" s="14" t="s">
        <v>88</v>
      </c>
      <c r="AT9" s="14" t="s">
        <v>88</v>
      </c>
      <c r="AU9" s="14">
        <v>0.32764784312635498</v>
      </c>
      <c r="AV9" s="14"/>
      <c r="AW9" s="14">
        <v>0.30566895254129001</v>
      </c>
      <c r="AX9" s="14">
        <v>0.47666346321131398</v>
      </c>
      <c r="AY9" s="14"/>
      <c r="AZ9" s="14">
        <v>0.359712343344048</v>
      </c>
      <c r="BA9" s="14">
        <v>0.101612025052672</v>
      </c>
    </row>
    <row r="10" spans="2:53" x14ac:dyDescent="0.35">
      <c r="B10" s="15" t="s">
        <v>221</v>
      </c>
      <c r="C10" s="14">
        <v>0.45808668544195402</v>
      </c>
      <c r="D10" s="14">
        <v>0.43470784961296199</v>
      </c>
      <c r="E10" s="14">
        <v>0.49010044359103899</v>
      </c>
      <c r="F10" s="14"/>
      <c r="G10" s="14">
        <v>0</v>
      </c>
      <c r="H10" s="14">
        <v>0.30759043073803499</v>
      </c>
      <c r="I10" s="14">
        <v>0.44203027341628698</v>
      </c>
      <c r="J10" s="14">
        <v>0.51135301446537895</v>
      </c>
      <c r="K10" s="14">
        <v>0.40771215723790899</v>
      </c>
      <c r="L10" s="14">
        <v>0.72582102694264605</v>
      </c>
      <c r="M10" s="14"/>
      <c r="N10" s="14">
        <v>0.43223126361185799</v>
      </c>
      <c r="O10" s="14">
        <v>0.49900587490665999</v>
      </c>
      <c r="P10" s="14">
        <v>0.44536136023308398</v>
      </c>
      <c r="Q10" s="14">
        <v>0.46651441507687202</v>
      </c>
      <c r="R10" s="14"/>
      <c r="S10" s="14">
        <v>0.44016119214712501</v>
      </c>
      <c r="T10" s="14">
        <v>0.43953541625669801</v>
      </c>
      <c r="U10" s="14">
        <v>0.30718462645476402</v>
      </c>
      <c r="V10" s="14">
        <v>0.488377778477882</v>
      </c>
      <c r="W10" s="14">
        <v>0.367842794046914</v>
      </c>
      <c r="X10" s="14">
        <v>0.53357809766909003</v>
      </c>
      <c r="Y10" s="14">
        <v>0.55890600404760105</v>
      </c>
      <c r="Z10" s="14">
        <v>0.57022554023382699</v>
      </c>
      <c r="AA10" s="14">
        <v>0.46200701418663198</v>
      </c>
      <c r="AB10" s="14"/>
      <c r="AC10" s="14">
        <v>0.457443300169113</v>
      </c>
      <c r="AD10" s="14">
        <v>0.52270408393668599</v>
      </c>
      <c r="AE10" s="14">
        <v>0.44515965779439798</v>
      </c>
      <c r="AF10" s="14">
        <v>0.38571057161004801</v>
      </c>
      <c r="AG10" s="14">
        <v>0.28497575629239502</v>
      </c>
      <c r="AH10" s="14"/>
      <c r="AI10" s="14">
        <v>0.459440445617676</v>
      </c>
      <c r="AJ10" s="14">
        <v>0.57258687167415501</v>
      </c>
      <c r="AK10" s="14">
        <v>0.37327804615408799</v>
      </c>
      <c r="AL10" s="14">
        <v>0.34140582340348302</v>
      </c>
      <c r="AM10" s="14">
        <v>0.41241895595147399</v>
      </c>
      <c r="AN10" s="14">
        <v>0.38560001185718701</v>
      </c>
      <c r="AO10" s="14"/>
      <c r="AP10" s="14">
        <v>0.45314893632814701</v>
      </c>
      <c r="AQ10" s="14">
        <v>0.465998496159997</v>
      </c>
      <c r="AR10" s="14"/>
      <c r="AS10" s="14" t="s">
        <v>88</v>
      </c>
      <c r="AT10" s="14" t="s">
        <v>88</v>
      </c>
      <c r="AU10" s="14">
        <v>0.45808668544195402</v>
      </c>
      <c r="AV10" s="14"/>
      <c r="AW10" s="14">
        <v>0.46033552217923202</v>
      </c>
      <c r="AX10" s="14">
        <v>0.43150968948792001</v>
      </c>
      <c r="AY10" s="14"/>
      <c r="AZ10" s="14">
        <v>0.47015169844114402</v>
      </c>
      <c r="BA10" s="14">
        <v>0.383167101041191</v>
      </c>
    </row>
    <row r="11" spans="2:53" x14ac:dyDescent="0.35">
      <c r="B11" s="15" t="s">
        <v>222</v>
      </c>
      <c r="C11" s="14">
        <v>9.3956756842396502E-2</v>
      </c>
      <c r="D11" s="14">
        <v>8.4337237947232302E-2</v>
      </c>
      <c r="E11" s="14">
        <v>0.106752925442313</v>
      </c>
      <c r="F11" s="14"/>
      <c r="G11" s="14">
        <v>0</v>
      </c>
      <c r="H11" s="14">
        <v>0.116865098851199</v>
      </c>
      <c r="I11" s="14">
        <v>9.6699694738342404E-2</v>
      </c>
      <c r="J11" s="14">
        <v>6.1892610525828597E-2</v>
      </c>
      <c r="K11" s="14">
        <v>0.17554112038105901</v>
      </c>
      <c r="L11" s="14">
        <v>2.8141496660872199E-2</v>
      </c>
      <c r="M11" s="14"/>
      <c r="N11" s="14">
        <v>5.7787600247033798E-2</v>
      </c>
      <c r="O11" s="14">
        <v>0.106842428753417</v>
      </c>
      <c r="P11" s="14">
        <v>9.6314925634498505E-2</v>
      </c>
      <c r="Q11" s="14">
        <v>0.13565054137452301</v>
      </c>
      <c r="R11" s="14"/>
      <c r="S11" s="14">
        <v>4.8272512236856399E-2</v>
      </c>
      <c r="T11" s="14">
        <v>6.94020778527836E-2</v>
      </c>
      <c r="U11" s="14">
        <v>0.23788579909039401</v>
      </c>
      <c r="V11" s="14">
        <v>6.6004868403636105E-2</v>
      </c>
      <c r="W11" s="14">
        <v>0.127497164580055</v>
      </c>
      <c r="X11" s="14">
        <v>3.0340307205255199E-2</v>
      </c>
      <c r="Y11" s="14">
        <v>6.7217640795460401E-2</v>
      </c>
      <c r="Z11" s="14">
        <v>0.166983405821442</v>
      </c>
      <c r="AA11" s="14">
        <v>0.12953525848969799</v>
      </c>
      <c r="AB11" s="14"/>
      <c r="AC11" s="14">
        <v>0.118059868429853</v>
      </c>
      <c r="AD11" s="14">
        <v>0.111303064546561</v>
      </c>
      <c r="AE11" s="14">
        <v>9.8377543053466104E-2</v>
      </c>
      <c r="AF11" s="14">
        <v>6.8180583077798396E-2</v>
      </c>
      <c r="AG11" s="14">
        <v>1.7645154165926401E-2</v>
      </c>
      <c r="AH11" s="14"/>
      <c r="AI11" s="14">
        <v>4.94539377431326E-2</v>
      </c>
      <c r="AJ11" s="14">
        <v>5.7687166839702E-2</v>
      </c>
      <c r="AK11" s="14">
        <v>0.15792024407368299</v>
      </c>
      <c r="AL11" s="14">
        <v>0.1519703647</v>
      </c>
      <c r="AM11" s="14">
        <v>0.144582090127819</v>
      </c>
      <c r="AN11" s="14">
        <v>9.5628576803102494E-2</v>
      </c>
      <c r="AO11" s="14"/>
      <c r="AP11" s="14">
        <v>8.7613781287640705E-2</v>
      </c>
      <c r="AQ11" s="14">
        <v>9.6765184998269901E-2</v>
      </c>
      <c r="AR11" s="14"/>
      <c r="AS11" s="14" t="s">
        <v>88</v>
      </c>
      <c r="AT11" s="14" t="s">
        <v>88</v>
      </c>
      <c r="AU11" s="14">
        <v>9.3956756842396502E-2</v>
      </c>
      <c r="AV11" s="14"/>
      <c r="AW11" s="14">
        <v>9.8805608579382101E-2</v>
      </c>
      <c r="AX11" s="14">
        <v>4.6056195387726401E-2</v>
      </c>
      <c r="AY11" s="14"/>
      <c r="AZ11" s="14">
        <v>6.7857634620467594E-2</v>
      </c>
      <c r="BA11" s="14">
        <v>0.27148127347074003</v>
      </c>
    </row>
    <row r="12" spans="2:53" x14ac:dyDescent="0.35">
      <c r="B12" s="15" t="s">
        <v>223</v>
      </c>
      <c r="C12" s="14">
        <v>3.71711136643589E-2</v>
      </c>
      <c r="D12" s="14">
        <v>2.20991357370433E-2</v>
      </c>
      <c r="E12" s="14">
        <v>5.6782253386790403E-2</v>
      </c>
      <c r="F12" s="14"/>
      <c r="G12" s="14">
        <v>0</v>
      </c>
      <c r="H12" s="14">
        <v>3.0093251899461101E-2</v>
      </c>
      <c r="I12" s="14">
        <v>3.6293315231786E-2</v>
      </c>
      <c r="J12" s="14">
        <v>4.9769121427695101E-2</v>
      </c>
      <c r="K12" s="14">
        <v>1.6475524764461E-2</v>
      </c>
      <c r="L12" s="14">
        <v>0</v>
      </c>
      <c r="M12" s="14"/>
      <c r="N12" s="14">
        <v>1.2704344361156901E-2</v>
      </c>
      <c r="O12" s="14">
        <v>1.7263738321188001E-2</v>
      </c>
      <c r="P12" s="14">
        <v>6.3922809860372201E-2</v>
      </c>
      <c r="Q12" s="14">
        <v>6.2327948274692603E-2</v>
      </c>
      <c r="R12" s="14"/>
      <c r="S12" s="14">
        <v>3.6170168493230903E-2</v>
      </c>
      <c r="T12" s="14">
        <v>7.5847804113739703E-2</v>
      </c>
      <c r="U12" s="14">
        <v>2.8368179449736901E-2</v>
      </c>
      <c r="V12" s="14">
        <v>0</v>
      </c>
      <c r="W12" s="14">
        <v>5.49647880110102E-2</v>
      </c>
      <c r="X12" s="14">
        <v>3.4708122858640701E-2</v>
      </c>
      <c r="Y12" s="14">
        <v>4.4351180427508297E-2</v>
      </c>
      <c r="Z12" s="14">
        <v>3.3949056839043902E-2</v>
      </c>
      <c r="AA12" s="14">
        <v>8.5998433829120608E-3</v>
      </c>
      <c r="AB12" s="14"/>
      <c r="AC12" s="14">
        <v>5.15132994230212E-2</v>
      </c>
      <c r="AD12" s="14">
        <v>3.8997567893434497E-2</v>
      </c>
      <c r="AE12" s="14">
        <v>2.4974014443770301E-2</v>
      </c>
      <c r="AF12" s="14">
        <v>3.4295675904791399E-2</v>
      </c>
      <c r="AG12" s="14">
        <v>0</v>
      </c>
      <c r="AH12" s="14"/>
      <c r="AI12" s="14">
        <v>3.5544602095912398E-2</v>
      </c>
      <c r="AJ12" s="14">
        <v>2.6466578224484099E-2</v>
      </c>
      <c r="AK12" s="14">
        <v>1.30526943843636E-2</v>
      </c>
      <c r="AL12" s="14">
        <v>5.6680875938310997E-2</v>
      </c>
      <c r="AM12" s="14">
        <v>0</v>
      </c>
      <c r="AN12" s="14">
        <v>0</v>
      </c>
      <c r="AO12" s="14"/>
      <c r="AP12" s="14">
        <v>3.6215428559795301E-2</v>
      </c>
      <c r="AQ12" s="14">
        <v>3.8449016149615697E-2</v>
      </c>
      <c r="AR12" s="14"/>
      <c r="AS12" s="14" t="s">
        <v>88</v>
      </c>
      <c r="AT12" s="14" t="s">
        <v>88</v>
      </c>
      <c r="AU12" s="14">
        <v>3.71711136643589E-2</v>
      </c>
      <c r="AV12" s="14"/>
      <c r="AW12" s="14">
        <v>4.4696436973437503E-2</v>
      </c>
      <c r="AX12" s="14">
        <v>5.7566408844264604E-3</v>
      </c>
      <c r="AY12" s="14"/>
      <c r="AZ12" s="14">
        <v>2.7418396661271102E-2</v>
      </c>
      <c r="BA12" s="14">
        <v>0.10353782573695799</v>
      </c>
    </row>
    <row r="13" spans="2:53" x14ac:dyDescent="0.35">
      <c r="B13" s="15" t="s">
        <v>116</v>
      </c>
      <c r="C13" s="18">
        <v>1.7780376748390898E-2</v>
      </c>
      <c r="D13" s="18">
        <v>1.5524872151513099E-2</v>
      </c>
      <c r="E13" s="18">
        <v>2.0763798073582501E-2</v>
      </c>
      <c r="F13" s="18"/>
      <c r="G13" s="18">
        <v>0</v>
      </c>
      <c r="H13" s="18">
        <v>0</v>
      </c>
      <c r="I13" s="18">
        <v>3.2986410423025803E-2</v>
      </c>
      <c r="J13" s="18">
        <v>1.2705059328746399E-2</v>
      </c>
      <c r="K13" s="18">
        <v>0</v>
      </c>
      <c r="L13" s="18">
        <v>0</v>
      </c>
      <c r="M13" s="18"/>
      <c r="N13" s="18">
        <v>1.0739695532320499E-3</v>
      </c>
      <c r="O13" s="18">
        <v>3.2991307194865697E-2</v>
      </c>
      <c r="P13" s="18">
        <v>1.94739575919281E-2</v>
      </c>
      <c r="Q13" s="18">
        <v>2.62259103074476E-2</v>
      </c>
      <c r="R13" s="18"/>
      <c r="S13" s="18">
        <v>2.03883571160841E-2</v>
      </c>
      <c r="T13" s="18">
        <v>0</v>
      </c>
      <c r="U13" s="18">
        <v>2.03936044952262E-2</v>
      </c>
      <c r="V13" s="18">
        <v>2.43540342687147E-2</v>
      </c>
      <c r="W13" s="18">
        <v>3.1750615076809499E-2</v>
      </c>
      <c r="X13" s="18">
        <v>5.3425187387862297E-2</v>
      </c>
      <c r="Y13" s="18">
        <v>0</v>
      </c>
      <c r="Z13" s="18">
        <v>0</v>
      </c>
      <c r="AA13" s="18">
        <v>1.15013875704511E-2</v>
      </c>
      <c r="AB13" s="18"/>
      <c r="AC13" s="18">
        <v>2.6655828216607901E-2</v>
      </c>
      <c r="AD13" s="18">
        <v>2.30375004682353E-2</v>
      </c>
      <c r="AE13" s="18">
        <v>1.9876494640123799E-2</v>
      </c>
      <c r="AF13" s="18">
        <v>2.0732834448379399E-3</v>
      </c>
      <c r="AG13" s="18">
        <v>0</v>
      </c>
      <c r="AH13" s="18"/>
      <c r="AI13" s="18">
        <v>1.4924249728811999E-2</v>
      </c>
      <c r="AJ13" s="18">
        <v>5.7924787772706404E-3</v>
      </c>
      <c r="AK13" s="18">
        <v>4.7802176550238697E-2</v>
      </c>
      <c r="AL13" s="18">
        <v>2.70351364213606E-2</v>
      </c>
      <c r="AM13" s="18">
        <v>0</v>
      </c>
      <c r="AN13" s="18">
        <v>0</v>
      </c>
      <c r="AO13" s="18"/>
      <c r="AP13" s="18">
        <v>1.7661303294431701E-2</v>
      </c>
      <c r="AQ13" s="18">
        <v>1.80043083714095E-2</v>
      </c>
      <c r="AR13" s="18"/>
      <c r="AS13" s="18" t="s">
        <v>88</v>
      </c>
      <c r="AT13" s="18" t="s">
        <v>88</v>
      </c>
      <c r="AU13" s="18">
        <v>1.7780376748390898E-2</v>
      </c>
      <c r="AV13" s="18"/>
      <c r="AW13" s="18">
        <v>2.0602949671193201E-2</v>
      </c>
      <c r="AX13" s="18">
        <v>0</v>
      </c>
      <c r="AY13" s="18"/>
      <c r="AZ13" s="18">
        <v>1.3451267599685899E-2</v>
      </c>
      <c r="BA13" s="18">
        <v>4.7257976727688097E-2</v>
      </c>
    </row>
    <row r="14" spans="2:53" x14ac:dyDescent="0.35">
      <c r="B14" s="26" t="s">
        <v>224</v>
      </c>
      <c r="C14" s="27">
        <v>0.78573452856830905</v>
      </c>
      <c r="D14" s="27">
        <v>0.80748677423095305</v>
      </c>
      <c r="E14" s="27">
        <v>0.75679186381302399</v>
      </c>
      <c r="F14" s="27"/>
      <c r="G14" s="27">
        <v>1</v>
      </c>
      <c r="H14" s="27">
        <v>0.757591293336347</v>
      </c>
      <c r="I14" s="27">
        <v>0.80671023589797097</v>
      </c>
      <c r="J14" s="27">
        <v>0.773728786591246</v>
      </c>
      <c r="K14" s="27">
        <v>0.733661464490029</v>
      </c>
      <c r="L14" s="27">
        <v>0.97185850333912804</v>
      </c>
      <c r="M14" s="27"/>
      <c r="N14" s="27">
        <v>0.85147593987051795</v>
      </c>
      <c r="O14" s="27">
        <v>0.75109496966332101</v>
      </c>
      <c r="P14" s="27">
        <v>0.74714763697093001</v>
      </c>
      <c r="Q14" s="27">
        <v>0.76604308138092103</v>
      </c>
      <c r="R14" s="27"/>
      <c r="S14" s="27">
        <v>0.82356043271967805</v>
      </c>
      <c r="T14" s="27">
        <v>0.79318844318411796</v>
      </c>
      <c r="U14" s="27">
        <v>0.59257933384573902</v>
      </c>
      <c r="V14" s="27">
        <v>0.83682495688444403</v>
      </c>
      <c r="W14" s="27">
        <v>0.74083574516016204</v>
      </c>
      <c r="X14" s="27">
        <v>0.82964825438472301</v>
      </c>
      <c r="Y14" s="27">
        <v>0.84263140619737598</v>
      </c>
      <c r="Z14" s="27">
        <v>0.79088802441094097</v>
      </c>
      <c r="AA14" s="27">
        <v>0.76891931257942803</v>
      </c>
      <c r="AB14" s="27"/>
      <c r="AC14" s="27">
        <v>0.68901030510706296</v>
      </c>
      <c r="AD14" s="27">
        <v>0.80321276111467199</v>
      </c>
      <c r="AE14" s="27">
        <v>0.80073218320030304</v>
      </c>
      <c r="AF14" s="27">
        <v>0.83385414469105701</v>
      </c>
      <c r="AG14" s="27">
        <v>0.94536307081223103</v>
      </c>
      <c r="AH14" s="27"/>
      <c r="AI14" s="27">
        <v>0.83276923908773004</v>
      </c>
      <c r="AJ14" s="27">
        <v>0.86168209160388698</v>
      </c>
      <c r="AK14" s="27">
        <v>0.75481778943786904</v>
      </c>
      <c r="AL14" s="27">
        <v>0.677179553822711</v>
      </c>
      <c r="AM14" s="27">
        <v>0.73605388850047804</v>
      </c>
      <c r="AN14" s="27">
        <v>0.76667636049182797</v>
      </c>
      <c r="AO14" s="27"/>
      <c r="AP14" s="27">
        <v>0.78981731668254096</v>
      </c>
      <c r="AQ14" s="27">
        <v>0.78492360765429503</v>
      </c>
      <c r="AR14" s="27"/>
      <c r="AS14" s="27" t="s">
        <v>88</v>
      </c>
      <c r="AT14" s="27" t="s">
        <v>88</v>
      </c>
      <c r="AU14" s="27">
        <v>0.78573452856830905</v>
      </c>
      <c r="AV14" s="27"/>
      <c r="AW14" s="27">
        <v>0.76600447472052202</v>
      </c>
      <c r="AX14" s="27">
        <v>0.90817315269923404</v>
      </c>
      <c r="AY14" s="27"/>
      <c r="AZ14" s="27">
        <v>0.82986404178519102</v>
      </c>
      <c r="BA14" s="27">
        <v>0.48477912609386298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B2:B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390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x14ac:dyDescent="0.35">
      <c r="B9" s="15" t="s">
        <v>154</v>
      </c>
      <c r="C9" s="14">
        <v>0.40193733395293302</v>
      </c>
      <c r="D9" s="14">
        <v>0.41789944172335097</v>
      </c>
      <c r="E9" s="14">
        <v>0.38673808290786599</v>
      </c>
      <c r="F9" s="14"/>
      <c r="G9" s="14">
        <v>0</v>
      </c>
      <c r="H9" s="14">
        <v>0.45311273312377198</v>
      </c>
      <c r="I9" s="14">
        <v>0.415800002799111</v>
      </c>
      <c r="J9" s="14">
        <v>0.382117172883437</v>
      </c>
      <c r="K9" s="14">
        <v>0.37219883176223401</v>
      </c>
      <c r="L9" s="14">
        <v>0.52574320809868802</v>
      </c>
      <c r="M9" s="14"/>
      <c r="N9" s="14">
        <v>0.414785575610017</v>
      </c>
      <c r="O9" s="14">
        <v>0.39374114558664403</v>
      </c>
      <c r="P9" s="14">
        <v>0.40253754611389803</v>
      </c>
      <c r="Q9" s="14">
        <v>0.38787244806480098</v>
      </c>
      <c r="R9" s="14"/>
      <c r="S9" s="14">
        <v>0.50038238318085904</v>
      </c>
      <c r="T9" s="14">
        <v>0.39486389276650802</v>
      </c>
      <c r="U9" s="14">
        <v>0.32370622890477602</v>
      </c>
      <c r="V9" s="14">
        <v>0.36488260806415601</v>
      </c>
      <c r="W9" s="14">
        <v>0.442304805511605</v>
      </c>
      <c r="X9" s="14">
        <v>0.437931308296931</v>
      </c>
      <c r="Y9" s="14">
        <v>0.322274573943164</v>
      </c>
      <c r="Z9" s="14">
        <v>0.45606593649813398</v>
      </c>
      <c r="AA9" s="14">
        <v>0.36870108233170501</v>
      </c>
      <c r="AB9" s="14"/>
      <c r="AC9" s="14">
        <v>0.33926086346342499</v>
      </c>
      <c r="AD9" s="14">
        <v>0.42031749348448499</v>
      </c>
      <c r="AE9" s="14">
        <v>0.41898269194607102</v>
      </c>
      <c r="AF9" s="14">
        <v>0.53174254163615398</v>
      </c>
      <c r="AG9" s="14">
        <v>0.485167225877976</v>
      </c>
      <c r="AH9" s="14"/>
      <c r="AI9" s="14">
        <v>0.42867111844164801</v>
      </c>
      <c r="AJ9" s="14">
        <v>0.43730524589548903</v>
      </c>
      <c r="AK9" s="14">
        <v>0.38492116387361303</v>
      </c>
      <c r="AL9" s="14">
        <v>0.36782533037445397</v>
      </c>
      <c r="AM9" s="14">
        <v>0.45783074592594197</v>
      </c>
      <c r="AN9" s="14">
        <v>0.234547940757354</v>
      </c>
      <c r="AO9" s="14"/>
      <c r="AP9" s="14">
        <v>0.433248880255583</v>
      </c>
      <c r="AQ9" s="14">
        <v>0.36710626506893801</v>
      </c>
      <c r="AR9" s="14"/>
      <c r="AS9" s="14" t="s">
        <v>88</v>
      </c>
      <c r="AT9" s="14" t="s">
        <v>88</v>
      </c>
      <c r="AU9" s="14">
        <v>0.40193733395293302</v>
      </c>
      <c r="AV9" s="14"/>
      <c r="AW9" s="14">
        <v>0.39665464151854701</v>
      </c>
      <c r="AX9" s="14">
        <v>0.49345906751762098</v>
      </c>
      <c r="AY9" s="14"/>
      <c r="AZ9" s="14">
        <v>0.420194744974138</v>
      </c>
      <c r="BA9" s="14">
        <v>0.33627374739794702</v>
      </c>
    </row>
    <row r="10" spans="2:53" x14ac:dyDescent="0.35">
      <c r="B10" s="15" t="s">
        <v>155</v>
      </c>
      <c r="C10" s="14">
        <v>0.32881763929082097</v>
      </c>
      <c r="D10" s="14">
        <v>0.36402550216642598</v>
      </c>
      <c r="E10" s="14">
        <v>0.29445050133774903</v>
      </c>
      <c r="F10" s="14"/>
      <c r="G10" s="14">
        <v>1</v>
      </c>
      <c r="H10" s="14">
        <v>0.36651857645068397</v>
      </c>
      <c r="I10" s="14">
        <v>0.33345777572921897</v>
      </c>
      <c r="J10" s="14">
        <v>0.31214488328850198</v>
      </c>
      <c r="K10" s="14">
        <v>0.336253299973231</v>
      </c>
      <c r="L10" s="14">
        <v>0.28877198637488799</v>
      </c>
      <c r="M10" s="14"/>
      <c r="N10" s="14">
        <v>0.368800021338409</v>
      </c>
      <c r="O10" s="14">
        <v>0.33456956093726897</v>
      </c>
      <c r="P10" s="14">
        <v>0.33201147917524299</v>
      </c>
      <c r="Q10" s="14">
        <v>0.27925785214849302</v>
      </c>
      <c r="R10" s="14"/>
      <c r="S10" s="14">
        <v>0.29141679945744497</v>
      </c>
      <c r="T10" s="14">
        <v>0.32284007156078098</v>
      </c>
      <c r="U10" s="14">
        <v>0.38386640265079602</v>
      </c>
      <c r="V10" s="14">
        <v>0.34461571230882099</v>
      </c>
      <c r="W10" s="14">
        <v>0.33377869349667599</v>
      </c>
      <c r="X10" s="14">
        <v>0.28475604768450602</v>
      </c>
      <c r="Y10" s="14">
        <v>0.37562529176753401</v>
      </c>
      <c r="Z10" s="14">
        <v>0.322319131892843</v>
      </c>
      <c r="AA10" s="14">
        <v>0.32096318511493499</v>
      </c>
      <c r="AB10" s="14"/>
      <c r="AC10" s="14">
        <v>0.31214795619935298</v>
      </c>
      <c r="AD10" s="14">
        <v>0.33466510676748901</v>
      </c>
      <c r="AE10" s="14">
        <v>0.33613584568819099</v>
      </c>
      <c r="AF10" s="14">
        <v>0.33724658238223698</v>
      </c>
      <c r="AG10" s="14">
        <v>0.39188628775950501</v>
      </c>
      <c r="AH10" s="14"/>
      <c r="AI10" s="14">
        <v>0.29860603229768101</v>
      </c>
      <c r="AJ10" s="14">
        <v>0.33376855972082398</v>
      </c>
      <c r="AK10" s="14">
        <v>0.36645111989093099</v>
      </c>
      <c r="AL10" s="14">
        <v>0.34346247741439401</v>
      </c>
      <c r="AM10" s="14">
        <v>0.36698961353905202</v>
      </c>
      <c r="AN10" s="14">
        <v>0.41947811398422502</v>
      </c>
      <c r="AO10" s="14"/>
      <c r="AP10" s="14">
        <v>0.30939165991809697</v>
      </c>
      <c r="AQ10" s="14">
        <v>0.35271785192080901</v>
      </c>
      <c r="AR10" s="14"/>
      <c r="AS10" s="14" t="s">
        <v>88</v>
      </c>
      <c r="AT10" s="14" t="s">
        <v>88</v>
      </c>
      <c r="AU10" s="14">
        <v>0.32881763929082097</v>
      </c>
      <c r="AV10" s="14"/>
      <c r="AW10" s="14">
        <v>0.32206133937846598</v>
      </c>
      <c r="AX10" s="14">
        <v>0.36004923276991502</v>
      </c>
      <c r="AY10" s="14"/>
      <c r="AZ10" s="14">
        <v>0.33948952617848499</v>
      </c>
      <c r="BA10" s="14">
        <v>0.29364923664556702</v>
      </c>
    </row>
    <row r="11" spans="2:53" x14ac:dyDescent="0.35">
      <c r="B11" s="15" t="s">
        <v>116</v>
      </c>
      <c r="C11" s="23">
        <v>0.26924502675624601</v>
      </c>
      <c r="D11" s="23">
        <v>0.21807505611022199</v>
      </c>
      <c r="E11" s="23">
        <v>0.31881141575438399</v>
      </c>
      <c r="F11" s="23"/>
      <c r="G11" s="23">
        <v>0</v>
      </c>
      <c r="H11" s="23">
        <v>0.18036869042554399</v>
      </c>
      <c r="I11" s="23">
        <v>0.25074222147167002</v>
      </c>
      <c r="J11" s="23">
        <v>0.30573794382806102</v>
      </c>
      <c r="K11" s="23">
        <v>0.29154786826453499</v>
      </c>
      <c r="L11" s="23">
        <v>0.18548480552642399</v>
      </c>
      <c r="M11" s="23"/>
      <c r="N11" s="23">
        <v>0.216414403051573</v>
      </c>
      <c r="O11" s="23">
        <v>0.271689293476087</v>
      </c>
      <c r="P11" s="23">
        <v>0.26545097471085899</v>
      </c>
      <c r="Q11" s="23">
        <v>0.332869699786707</v>
      </c>
      <c r="R11" s="23"/>
      <c r="S11" s="23">
        <v>0.20820081736169599</v>
      </c>
      <c r="T11" s="23">
        <v>0.28229603567271</v>
      </c>
      <c r="U11" s="23">
        <v>0.29242736844442802</v>
      </c>
      <c r="V11" s="23">
        <v>0.290501679627023</v>
      </c>
      <c r="W11" s="23">
        <v>0.223916500991718</v>
      </c>
      <c r="X11" s="23">
        <v>0.27731264401856298</v>
      </c>
      <c r="Y11" s="23">
        <v>0.30210013428930199</v>
      </c>
      <c r="Z11" s="23">
        <v>0.22161493160902301</v>
      </c>
      <c r="AA11" s="23">
        <v>0.31033573255336</v>
      </c>
      <c r="AB11" s="23"/>
      <c r="AC11" s="23">
        <v>0.34859118033722197</v>
      </c>
      <c r="AD11" s="23">
        <v>0.245017399748026</v>
      </c>
      <c r="AE11" s="23">
        <v>0.24488146236573899</v>
      </c>
      <c r="AF11" s="23">
        <v>0.13101087598160899</v>
      </c>
      <c r="AG11" s="23">
        <v>0.12294648636251899</v>
      </c>
      <c r="AH11" s="23"/>
      <c r="AI11" s="23">
        <v>0.27272284926067097</v>
      </c>
      <c r="AJ11" s="23">
        <v>0.228926194383688</v>
      </c>
      <c r="AK11" s="23">
        <v>0.24862771623545599</v>
      </c>
      <c r="AL11" s="23">
        <v>0.28871219221115202</v>
      </c>
      <c r="AM11" s="23">
        <v>0.17517964053500601</v>
      </c>
      <c r="AN11" s="23">
        <v>0.34597394525842101</v>
      </c>
      <c r="AO11" s="23"/>
      <c r="AP11" s="23">
        <v>0.25735945982632003</v>
      </c>
      <c r="AQ11" s="23">
        <v>0.28017588301025298</v>
      </c>
      <c r="AR11" s="23"/>
      <c r="AS11" s="23" t="s">
        <v>88</v>
      </c>
      <c r="AT11" s="23" t="s">
        <v>88</v>
      </c>
      <c r="AU11" s="23">
        <v>0.26924502675624601</v>
      </c>
      <c r="AV11" s="23"/>
      <c r="AW11" s="23">
        <v>0.281284019102987</v>
      </c>
      <c r="AX11" s="23">
        <v>0.14649169971246401</v>
      </c>
      <c r="AY11" s="23"/>
      <c r="AZ11" s="23">
        <v>0.24031572884737701</v>
      </c>
      <c r="BA11" s="23">
        <v>0.37007701595648601</v>
      </c>
    </row>
    <row r="12" spans="2:53" x14ac:dyDescent="0.35">
      <c r="B12" s="16" t="s">
        <v>101</v>
      </c>
    </row>
    <row r="13" spans="2:53" x14ac:dyDescent="0.35">
      <c r="B13" t="s">
        <v>84</v>
      </c>
    </row>
    <row r="14" spans="2:53" x14ac:dyDescent="0.35">
      <c r="B14" t="s">
        <v>85</v>
      </c>
    </row>
    <row r="16" spans="2:53" x14ac:dyDescent="0.35">
      <c r="B16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391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541</v>
      </c>
      <c r="D7" s="10">
        <v>234</v>
      </c>
      <c r="E7" s="10">
        <v>307</v>
      </c>
      <c r="F7" s="10"/>
      <c r="G7" s="10" t="s">
        <v>87</v>
      </c>
      <c r="H7" s="10">
        <v>55</v>
      </c>
      <c r="I7" s="10">
        <v>223</v>
      </c>
      <c r="J7" s="10">
        <v>191</v>
      </c>
      <c r="K7" s="10">
        <v>58</v>
      </c>
      <c r="L7" s="10">
        <v>14</v>
      </c>
      <c r="M7" s="10"/>
      <c r="N7" s="10">
        <v>248</v>
      </c>
      <c r="O7" s="10">
        <v>123</v>
      </c>
      <c r="P7" s="10">
        <v>79</v>
      </c>
      <c r="Q7" s="10">
        <v>87</v>
      </c>
      <c r="R7" s="10"/>
      <c r="S7" s="10">
        <v>120</v>
      </c>
      <c r="T7" s="10">
        <v>78</v>
      </c>
      <c r="U7" s="10">
        <v>35</v>
      </c>
      <c r="V7" s="10">
        <v>43</v>
      </c>
      <c r="W7" s="10">
        <v>46</v>
      </c>
      <c r="X7" s="10">
        <v>67</v>
      </c>
      <c r="Y7" s="10">
        <v>54</v>
      </c>
      <c r="Z7" s="10">
        <v>33</v>
      </c>
      <c r="AA7" s="10">
        <v>65</v>
      </c>
      <c r="AB7" s="10"/>
      <c r="AC7" s="10">
        <v>84</v>
      </c>
      <c r="AD7" s="10">
        <v>103</v>
      </c>
      <c r="AE7" s="10">
        <v>163</v>
      </c>
      <c r="AF7" s="10">
        <v>123</v>
      </c>
      <c r="AG7" s="10">
        <v>23</v>
      </c>
      <c r="AH7" s="10"/>
      <c r="AI7" s="10">
        <v>211</v>
      </c>
      <c r="AJ7" s="10">
        <v>106</v>
      </c>
      <c r="AK7" s="10">
        <v>53</v>
      </c>
      <c r="AL7" s="10">
        <v>72</v>
      </c>
      <c r="AM7" s="10">
        <v>30</v>
      </c>
      <c r="AN7" s="10">
        <v>22</v>
      </c>
      <c r="AO7" s="10"/>
      <c r="AP7" s="10">
        <v>312</v>
      </c>
      <c r="AQ7" s="10">
        <v>228</v>
      </c>
      <c r="AR7" s="10"/>
      <c r="AS7" s="10" t="s">
        <v>87</v>
      </c>
      <c r="AT7" s="10" t="s">
        <v>87</v>
      </c>
      <c r="AU7" s="10">
        <v>541</v>
      </c>
      <c r="AV7" s="10"/>
      <c r="AW7" s="10">
        <v>378</v>
      </c>
      <c r="AX7" s="10">
        <v>126</v>
      </c>
      <c r="AY7" s="10"/>
      <c r="AZ7" s="10">
        <v>452</v>
      </c>
      <c r="BA7" s="10">
        <v>88</v>
      </c>
    </row>
    <row r="8" spans="2:53" ht="30" customHeight="1" x14ac:dyDescent="0.35">
      <c r="B8" s="11" t="s">
        <v>19</v>
      </c>
      <c r="C8" s="11">
        <v>530</v>
      </c>
      <c r="D8" s="11">
        <v>274</v>
      </c>
      <c r="E8" s="11">
        <v>256</v>
      </c>
      <c r="F8" s="11"/>
      <c r="G8" s="11" t="s">
        <v>87</v>
      </c>
      <c r="H8" s="11">
        <v>49</v>
      </c>
      <c r="I8" s="11">
        <v>213</v>
      </c>
      <c r="J8" s="11">
        <v>193</v>
      </c>
      <c r="K8" s="11">
        <v>61</v>
      </c>
      <c r="L8" s="11">
        <v>15</v>
      </c>
      <c r="M8" s="11"/>
      <c r="N8" s="11">
        <v>151</v>
      </c>
      <c r="O8" s="11">
        <v>128</v>
      </c>
      <c r="P8" s="11">
        <v>123</v>
      </c>
      <c r="Q8" s="11">
        <v>124</v>
      </c>
      <c r="R8" s="11"/>
      <c r="S8" s="11">
        <v>101</v>
      </c>
      <c r="T8" s="11">
        <v>80</v>
      </c>
      <c r="U8" s="11">
        <v>42</v>
      </c>
      <c r="V8" s="11">
        <v>54</v>
      </c>
      <c r="W8" s="11">
        <v>57</v>
      </c>
      <c r="X8" s="11">
        <v>59</v>
      </c>
      <c r="Y8" s="11">
        <v>44</v>
      </c>
      <c r="Z8" s="11">
        <v>31</v>
      </c>
      <c r="AA8" s="11">
        <v>63</v>
      </c>
      <c r="AB8" s="11"/>
      <c r="AC8" s="11">
        <v>105</v>
      </c>
      <c r="AD8" s="11">
        <v>116</v>
      </c>
      <c r="AE8" s="11">
        <v>151</v>
      </c>
      <c r="AF8" s="11">
        <v>95</v>
      </c>
      <c r="AG8" s="11">
        <v>14</v>
      </c>
      <c r="AH8" s="11"/>
      <c r="AI8" s="11">
        <v>194</v>
      </c>
      <c r="AJ8" s="11">
        <v>103</v>
      </c>
      <c r="AK8" s="11">
        <v>47</v>
      </c>
      <c r="AL8" s="11">
        <v>80</v>
      </c>
      <c r="AM8" s="11">
        <v>30</v>
      </c>
      <c r="AN8" s="11">
        <v>23</v>
      </c>
      <c r="AO8" s="11"/>
      <c r="AP8" s="11">
        <v>304</v>
      </c>
      <c r="AQ8" s="11">
        <v>225</v>
      </c>
      <c r="AR8" s="11"/>
      <c r="AS8" s="11" t="s">
        <v>87</v>
      </c>
      <c r="AT8" s="11" t="s">
        <v>87</v>
      </c>
      <c r="AU8" s="11">
        <v>530</v>
      </c>
      <c r="AV8" s="11"/>
      <c r="AW8" s="11">
        <v>386</v>
      </c>
      <c r="AX8" s="11">
        <v>103</v>
      </c>
      <c r="AY8" s="11"/>
      <c r="AZ8" s="11">
        <v>434</v>
      </c>
      <c r="BA8" s="11">
        <v>96</v>
      </c>
    </row>
    <row r="9" spans="2:53" x14ac:dyDescent="0.35">
      <c r="B9" s="15" t="s">
        <v>214</v>
      </c>
      <c r="C9" s="14">
        <v>0.224954306957729</v>
      </c>
      <c r="D9" s="14">
        <v>0.27700728062983698</v>
      </c>
      <c r="E9" s="14">
        <v>0.169257328827779</v>
      </c>
      <c r="F9" s="14"/>
      <c r="G9" s="14" t="s">
        <v>88</v>
      </c>
      <c r="H9" s="14">
        <v>0.36563042542129298</v>
      </c>
      <c r="I9" s="14">
        <v>0.26364130704793298</v>
      </c>
      <c r="J9" s="14">
        <v>0.16325438057619199</v>
      </c>
      <c r="K9" s="14">
        <v>0.18726448036840601</v>
      </c>
      <c r="L9" s="14">
        <v>0.16680990241246399</v>
      </c>
      <c r="M9" s="14"/>
      <c r="N9" s="14">
        <v>0.27302125253077802</v>
      </c>
      <c r="O9" s="14">
        <v>0.14771579809949201</v>
      </c>
      <c r="P9" s="14">
        <v>0.22039316272945</v>
      </c>
      <c r="Q9" s="14">
        <v>0.25818467002451001</v>
      </c>
      <c r="R9" s="14"/>
      <c r="S9" s="14">
        <v>0.293302087292035</v>
      </c>
      <c r="T9" s="14">
        <v>0.23044523748762499</v>
      </c>
      <c r="U9" s="14">
        <v>0.25214979576248397</v>
      </c>
      <c r="V9" s="14">
        <v>0.22596853862661301</v>
      </c>
      <c r="W9" s="14">
        <v>0.175446282197491</v>
      </c>
      <c r="X9" s="14">
        <v>0.24042782668273199</v>
      </c>
      <c r="Y9" s="14">
        <v>0.14189575910900301</v>
      </c>
      <c r="Z9" s="14">
        <v>0.30509423063396302</v>
      </c>
      <c r="AA9" s="14">
        <v>0.13837163050165799</v>
      </c>
      <c r="AB9" s="14"/>
      <c r="AC9" s="14">
        <v>0.188461316674712</v>
      </c>
      <c r="AD9" s="14">
        <v>0.20703114678210799</v>
      </c>
      <c r="AE9" s="14">
        <v>0.19439641568531901</v>
      </c>
      <c r="AF9" s="14">
        <v>0.28162091291256203</v>
      </c>
      <c r="AG9" s="14">
        <v>0.43179682484366799</v>
      </c>
      <c r="AH9" s="14"/>
      <c r="AI9" s="14">
        <v>0.32891816435942201</v>
      </c>
      <c r="AJ9" s="14">
        <v>0.225107188063987</v>
      </c>
      <c r="AK9" s="14">
        <v>0.26985176932080401</v>
      </c>
      <c r="AL9" s="14">
        <v>0.12908603425664</v>
      </c>
      <c r="AM9" s="14">
        <v>0.123605345398108</v>
      </c>
      <c r="AN9" s="14">
        <v>0.10020477283967</v>
      </c>
      <c r="AO9" s="14"/>
      <c r="AP9" s="14">
        <v>0.23782790092473899</v>
      </c>
      <c r="AQ9" s="14">
        <v>0.20534704121577199</v>
      </c>
      <c r="AR9" s="14"/>
      <c r="AS9" s="14" t="s">
        <v>88</v>
      </c>
      <c r="AT9" s="14" t="s">
        <v>88</v>
      </c>
      <c r="AU9" s="14">
        <v>0.224954306957729</v>
      </c>
      <c r="AV9" s="14"/>
      <c r="AW9" s="14">
        <v>0.21722687138817401</v>
      </c>
      <c r="AX9" s="14">
        <v>0.29735653306965099</v>
      </c>
      <c r="AY9" s="14"/>
      <c r="AZ9" s="14">
        <v>0.25629455994468803</v>
      </c>
      <c r="BA9" s="14">
        <v>8.5081005607085994E-2</v>
      </c>
    </row>
    <row r="10" spans="2:53" x14ac:dyDescent="0.35">
      <c r="B10" s="15" t="s">
        <v>215</v>
      </c>
      <c r="C10" s="14">
        <v>0.48814113726020197</v>
      </c>
      <c r="D10" s="14">
        <v>0.50558432630981498</v>
      </c>
      <c r="E10" s="14">
        <v>0.46947682568536703</v>
      </c>
      <c r="F10" s="14"/>
      <c r="G10" s="14" t="s">
        <v>88</v>
      </c>
      <c r="H10" s="14">
        <v>0.31773295683847302</v>
      </c>
      <c r="I10" s="14">
        <v>0.48060908215400899</v>
      </c>
      <c r="J10" s="14">
        <v>0.49006097915076802</v>
      </c>
      <c r="K10" s="14">
        <v>0.58963193512316803</v>
      </c>
      <c r="L10" s="14">
        <v>0.71569176906547505</v>
      </c>
      <c r="M10" s="14"/>
      <c r="N10" s="14">
        <v>0.45065557054845901</v>
      </c>
      <c r="O10" s="14">
        <v>0.49763724422591399</v>
      </c>
      <c r="P10" s="14">
        <v>0.552089412006605</v>
      </c>
      <c r="Q10" s="14">
        <v>0.44272022663996402</v>
      </c>
      <c r="R10" s="14"/>
      <c r="S10" s="14">
        <v>0.52991483511823501</v>
      </c>
      <c r="T10" s="14">
        <v>0.54190384178219198</v>
      </c>
      <c r="U10" s="14">
        <v>0.38508919273200298</v>
      </c>
      <c r="V10" s="14">
        <v>0.42454699654307398</v>
      </c>
      <c r="W10" s="14">
        <v>0.38259095906575802</v>
      </c>
      <c r="X10" s="14">
        <v>0.47242141681286498</v>
      </c>
      <c r="Y10" s="14">
        <v>0.55696977880360699</v>
      </c>
      <c r="Z10" s="14">
        <v>0.42885084124113498</v>
      </c>
      <c r="AA10" s="14">
        <v>0.56638284801194205</v>
      </c>
      <c r="AB10" s="14"/>
      <c r="AC10" s="14">
        <v>0.52204294249504402</v>
      </c>
      <c r="AD10" s="14">
        <v>0.52067492173891405</v>
      </c>
      <c r="AE10" s="14">
        <v>0.48515381462694501</v>
      </c>
      <c r="AF10" s="14">
        <v>0.53597968527045603</v>
      </c>
      <c r="AG10" s="14">
        <v>0.30078147169465802</v>
      </c>
      <c r="AH10" s="14"/>
      <c r="AI10" s="14">
        <v>0.411489174574035</v>
      </c>
      <c r="AJ10" s="14">
        <v>0.54683938822084499</v>
      </c>
      <c r="AK10" s="14">
        <v>0.41535277712262803</v>
      </c>
      <c r="AL10" s="14">
        <v>0.58213646627511895</v>
      </c>
      <c r="AM10" s="14">
        <v>0.47445099445943301</v>
      </c>
      <c r="AN10" s="14">
        <v>0.64652507931889303</v>
      </c>
      <c r="AO10" s="14"/>
      <c r="AP10" s="14">
        <v>0.50061636117140595</v>
      </c>
      <c r="AQ10" s="14">
        <v>0.47269735713330702</v>
      </c>
      <c r="AR10" s="14"/>
      <c r="AS10" s="14" t="s">
        <v>88</v>
      </c>
      <c r="AT10" s="14" t="s">
        <v>88</v>
      </c>
      <c r="AU10" s="14">
        <v>0.48814113726020197</v>
      </c>
      <c r="AV10" s="14"/>
      <c r="AW10" s="14">
        <v>0.47022245221991099</v>
      </c>
      <c r="AX10" s="14">
        <v>0.54717251287734303</v>
      </c>
      <c r="AY10" s="14"/>
      <c r="AZ10" s="14">
        <v>0.48526303976003199</v>
      </c>
      <c r="BA10" s="14">
        <v>0.49554381162101002</v>
      </c>
    </row>
    <row r="11" spans="2:53" x14ac:dyDescent="0.35">
      <c r="B11" s="15" t="s">
        <v>216</v>
      </c>
      <c r="C11" s="14">
        <v>0.139892160982063</v>
      </c>
      <c r="D11" s="14">
        <v>9.7286299586949496E-2</v>
      </c>
      <c r="E11" s="14">
        <v>0.185480675199894</v>
      </c>
      <c r="F11" s="14"/>
      <c r="G11" s="14" t="s">
        <v>88</v>
      </c>
      <c r="H11" s="14">
        <v>0.162184783479632</v>
      </c>
      <c r="I11" s="14">
        <v>0.120072288423538</v>
      </c>
      <c r="J11" s="14">
        <v>0.179164772638084</v>
      </c>
      <c r="K11" s="14">
        <v>8.9761868815575893E-2</v>
      </c>
      <c r="L11" s="14">
        <v>4.4157271386964E-2</v>
      </c>
      <c r="M11" s="14"/>
      <c r="N11" s="14">
        <v>0.117186786687421</v>
      </c>
      <c r="O11" s="14">
        <v>0.20229639042559799</v>
      </c>
      <c r="P11" s="14">
        <v>0.13836400834388499</v>
      </c>
      <c r="Q11" s="14">
        <v>0.109625149077136</v>
      </c>
      <c r="R11" s="14"/>
      <c r="S11" s="14">
        <v>7.4557304957192899E-2</v>
      </c>
      <c r="T11" s="14">
        <v>0.111537469320191</v>
      </c>
      <c r="U11" s="14">
        <v>0.18768228492841399</v>
      </c>
      <c r="V11" s="14">
        <v>0.18223447546625199</v>
      </c>
      <c r="W11" s="14">
        <v>0.19953092488212701</v>
      </c>
      <c r="X11" s="14">
        <v>0.141921480908963</v>
      </c>
      <c r="Y11" s="14">
        <v>0.13077782740410299</v>
      </c>
      <c r="Z11" s="14">
        <v>0.12540660768832501</v>
      </c>
      <c r="AA11" s="14">
        <v>0.170655498049993</v>
      </c>
      <c r="AB11" s="14"/>
      <c r="AC11" s="14">
        <v>0.108112100192333</v>
      </c>
      <c r="AD11" s="14">
        <v>0.125069896320637</v>
      </c>
      <c r="AE11" s="14">
        <v>0.20356551009125901</v>
      </c>
      <c r="AF11" s="14">
        <v>6.8306027326156704E-2</v>
      </c>
      <c r="AG11" s="14">
        <v>0.19066585234522401</v>
      </c>
      <c r="AH11" s="14"/>
      <c r="AI11" s="14">
        <v>0.13136467792317599</v>
      </c>
      <c r="AJ11" s="14">
        <v>0.15158810225061201</v>
      </c>
      <c r="AK11" s="14">
        <v>0.18960842015092599</v>
      </c>
      <c r="AL11" s="14">
        <v>0.12994464232238501</v>
      </c>
      <c r="AM11" s="14">
        <v>9.1878036814736802E-2</v>
      </c>
      <c r="AN11" s="14">
        <v>0.120065596986664</v>
      </c>
      <c r="AO11" s="14"/>
      <c r="AP11" s="14">
        <v>0.14176972434167201</v>
      </c>
      <c r="AQ11" s="14">
        <v>0.13775847276119799</v>
      </c>
      <c r="AR11" s="14"/>
      <c r="AS11" s="14" t="s">
        <v>88</v>
      </c>
      <c r="AT11" s="14" t="s">
        <v>88</v>
      </c>
      <c r="AU11" s="14">
        <v>0.139892160982063</v>
      </c>
      <c r="AV11" s="14"/>
      <c r="AW11" s="14">
        <v>0.148874892051028</v>
      </c>
      <c r="AX11" s="14">
        <v>7.8045701342130805E-2</v>
      </c>
      <c r="AY11" s="14"/>
      <c r="AZ11" s="14">
        <v>0.134438551071354</v>
      </c>
      <c r="BA11" s="14">
        <v>0.16621563453744501</v>
      </c>
    </row>
    <row r="12" spans="2:53" x14ac:dyDescent="0.35">
      <c r="B12" s="15" t="s">
        <v>217</v>
      </c>
      <c r="C12" s="14">
        <v>4.33663087072238E-2</v>
      </c>
      <c r="D12" s="14">
        <v>1.4694094994145399E-2</v>
      </c>
      <c r="E12" s="14">
        <v>7.4045740590867506E-2</v>
      </c>
      <c r="F12" s="14"/>
      <c r="G12" s="14" t="s">
        <v>88</v>
      </c>
      <c r="H12" s="14">
        <v>2.8365454309450401E-2</v>
      </c>
      <c r="I12" s="14">
        <v>5.7195908155346697E-2</v>
      </c>
      <c r="J12" s="14">
        <v>4.8829343548746199E-2</v>
      </c>
      <c r="K12" s="14">
        <v>0</v>
      </c>
      <c r="L12" s="14">
        <v>0</v>
      </c>
      <c r="M12" s="14"/>
      <c r="N12" s="14">
        <v>4.4415396341412998E-2</v>
      </c>
      <c r="O12" s="14">
        <v>2.6998991378985399E-2</v>
      </c>
      <c r="P12" s="14">
        <v>3.9113524363052501E-2</v>
      </c>
      <c r="Q12" s="14">
        <v>6.4735264960514502E-2</v>
      </c>
      <c r="R12" s="14"/>
      <c r="S12" s="14">
        <v>8.5980097635174006E-3</v>
      </c>
      <c r="T12" s="14">
        <v>4.5793730582884697E-2</v>
      </c>
      <c r="U12" s="14">
        <v>1.92952625582378E-2</v>
      </c>
      <c r="V12" s="14">
        <v>9.0217098193984699E-2</v>
      </c>
      <c r="W12" s="14">
        <v>3.5937755855527297E-2</v>
      </c>
      <c r="X12" s="14">
        <v>4.3468696746881003E-2</v>
      </c>
      <c r="Y12" s="14">
        <v>4.04214640129157E-2</v>
      </c>
      <c r="Z12" s="14">
        <v>8.2089568937105006E-2</v>
      </c>
      <c r="AA12" s="14">
        <v>6.1185896601113801E-2</v>
      </c>
      <c r="AB12" s="14"/>
      <c r="AC12" s="14">
        <v>4.5762203184112102E-2</v>
      </c>
      <c r="AD12" s="14">
        <v>6.4080620436085894E-2</v>
      </c>
      <c r="AE12" s="14">
        <v>4.3827177369465398E-2</v>
      </c>
      <c r="AF12" s="14">
        <v>3.2215296814615602E-2</v>
      </c>
      <c r="AG12" s="14">
        <v>0</v>
      </c>
      <c r="AH12" s="14"/>
      <c r="AI12" s="14">
        <v>5.0866310553206999E-2</v>
      </c>
      <c r="AJ12" s="14">
        <v>4.6001723149680901E-2</v>
      </c>
      <c r="AK12" s="14">
        <v>2.7282704489478199E-2</v>
      </c>
      <c r="AL12" s="14">
        <v>1.4589050682352601E-2</v>
      </c>
      <c r="AM12" s="14">
        <v>4.46036539600983E-2</v>
      </c>
      <c r="AN12" s="14">
        <v>0</v>
      </c>
      <c r="AO12" s="14"/>
      <c r="AP12" s="14">
        <v>2.4583708715807302E-2</v>
      </c>
      <c r="AQ12" s="14">
        <v>6.8852232004073102E-2</v>
      </c>
      <c r="AR12" s="14"/>
      <c r="AS12" s="14" t="s">
        <v>88</v>
      </c>
      <c r="AT12" s="14" t="s">
        <v>88</v>
      </c>
      <c r="AU12" s="14">
        <v>4.33663087072238E-2</v>
      </c>
      <c r="AV12" s="14"/>
      <c r="AW12" s="14">
        <v>4.9278182832468702E-2</v>
      </c>
      <c r="AX12" s="14">
        <v>2.9733768245702999E-3</v>
      </c>
      <c r="AY12" s="14"/>
      <c r="AZ12" s="14">
        <v>2.9275345281102701E-2</v>
      </c>
      <c r="BA12" s="14">
        <v>0.107856201721151</v>
      </c>
    </row>
    <row r="13" spans="2:53" x14ac:dyDescent="0.35">
      <c r="B13" s="15" t="s">
        <v>116</v>
      </c>
      <c r="C13" s="23">
        <v>2.9375513800395301E-2</v>
      </c>
      <c r="D13" s="23">
        <v>7.3570026574079003E-3</v>
      </c>
      <c r="E13" s="23">
        <v>5.2935446059214998E-2</v>
      </c>
      <c r="F13" s="23"/>
      <c r="G13" s="23" t="s">
        <v>88</v>
      </c>
      <c r="H13" s="23">
        <v>3.6748152978079998E-2</v>
      </c>
      <c r="I13" s="23">
        <v>1.37231153150673E-2</v>
      </c>
      <c r="J13" s="23">
        <v>4.0250721371750897E-2</v>
      </c>
      <c r="K13" s="23">
        <v>3.3153540494780399E-2</v>
      </c>
      <c r="L13" s="23">
        <v>7.3341057135097004E-2</v>
      </c>
      <c r="M13" s="23"/>
      <c r="N13" s="23">
        <v>1.5000753758145099E-2</v>
      </c>
      <c r="O13" s="23">
        <v>4.0984089606434501E-2</v>
      </c>
      <c r="P13" s="23">
        <v>8.7181380771315098E-3</v>
      </c>
      <c r="Q13" s="23">
        <v>5.6631366932019499E-2</v>
      </c>
      <c r="R13" s="23"/>
      <c r="S13" s="23">
        <v>2.1957256888239299E-2</v>
      </c>
      <c r="T13" s="23">
        <v>2.5173292034355301E-3</v>
      </c>
      <c r="U13" s="23">
        <v>4.5100650293189798E-2</v>
      </c>
      <c r="V13" s="23">
        <v>4.2227857332163499E-2</v>
      </c>
      <c r="W13" s="23">
        <v>7.2864232933355005E-2</v>
      </c>
      <c r="X13" s="23">
        <v>3.0278246415060502E-2</v>
      </c>
      <c r="Y13" s="23">
        <v>2.8700821276886699E-2</v>
      </c>
      <c r="Z13" s="23">
        <v>5.8558751499471998E-2</v>
      </c>
      <c r="AA13" s="23">
        <v>0</v>
      </c>
      <c r="AB13" s="23"/>
      <c r="AC13" s="23">
        <v>5.2132798656658597E-2</v>
      </c>
      <c r="AD13" s="23">
        <v>1.4001477612476099E-2</v>
      </c>
      <c r="AE13" s="23">
        <v>3.1582697937945103E-2</v>
      </c>
      <c r="AF13" s="23">
        <v>3.8972726792667199E-3</v>
      </c>
      <c r="AG13" s="23">
        <v>0</v>
      </c>
      <c r="AH13" s="23"/>
      <c r="AI13" s="23">
        <v>9.0485548062298297E-3</v>
      </c>
      <c r="AJ13" s="23">
        <v>5.33584646822533E-3</v>
      </c>
      <c r="AK13" s="23">
        <v>3.7412587668058703E-2</v>
      </c>
      <c r="AL13" s="23">
        <v>1.3398159901951E-2</v>
      </c>
      <c r="AM13" s="23">
        <v>3.5444587945671603E-2</v>
      </c>
      <c r="AN13" s="23">
        <v>7.0368209092870504E-2</v>
      </c>
      <c r="AO13" s="23"/>
      <c r="AP13" s="23">
        <v>2.47424525399472E-2</v>
      </c>
      <c r="AQ13" s="23">
        <v>3.5715679200366002E-2</v>
      </c>
      <c r="AR13" s="23"/>
      <c r="AS13" s="23" t="s">
        <v>88</v>
      </c>
      <c r="AT13" s="23" t="s">
        <v>88</v>
      </c>
      <c r="AU13" s="23">
        <v>2.9375513800395301E-2</v>
      </c>
      <c r="AV13" s="23"/>
      <c r="AW13" s="23">
        <v>3.4958272085797902E-2</v>
      </c>
      <c r="AX13" s="23">
        <v>0</v>
      </c>
      <c r="AY13" s="23"/>
      <c r="AZ13" s="23">
        <v>1.6577568768547601E-2</v>
      </c>
      <c r="BA13" s="23">
        <v>8.7836744609655695E-2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B2:BA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392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541</v>
      </c>
      <c r="D7" s="10">
        <v>234</v>
      </c>
      <c r="E7" s="10">
        <v>307</v>
      </c>
      <c r="F7" s="10"/>
      <c r="G7" s="10" t="s">
        <v>87</v>
      </c>
      <c r="H7" s="10">
        <v>55</v>
      </c>
      <c r="I7" s="10">
        <v>223</v>
      </c>
      <c r="J7" s="10">
        <v>191</v>
      </c>
      <c r="K7" s="10">
        <v>58</v>
      </c>
      <c r="L7" s="10">
        <v>14</v>
      </c>
      <c r="M7" s="10"/>
      <c r="N7" s="10">
        <v>248</v>
      </c>
      <c r="O7" s="10">
        <v>123</v>
      </c>
      <c r="P7" s="10">
        <v>79</v>
      </c>
      <c r="Q7" s="10">
        <v>87</v>
      </c>
      <c r="R7" s="10"/>
      <c r="S7" s="10">
        <v>120</v>
      </c>
      <c r="T7" s="10">
        <v>78</v>
      </c>
      <c r="U7" s="10">
        <v>35</v>
      </c>
      <c r="V7" s="10">
        <v>43</v>
      </c>
      <c r="W7" s="10">
        <v>46</v>
      </c>
      <c r="X7" s="10">
        <v>67</v>
      </c>
      <c r="Y7" s="10">
        <v>54</v>
      </c>
      <c r="Z7" s="10">
        <v>33</v>
      </c>
      <c r="AA7" s="10">
        <v>65</v>
      </c>
      <c r="AB7" s="10"/>
      <c r="AC7" s="10">
        <v>84</v>
      </c>
      <c r="AD7" s="10">
        <v>103</v>
      </c>
      <c r="AE7" s="10">
        <v>163</v>
      </c>
      <c r="AF7" s="10">
        <v>123</v>
      </c>
      <c r="AG7" s="10">
        <v>23</v>
      </c>
      <c r="AH7" s="10"/>
      <c r="AI7" s="10">
        <v>211</v>
      </c>
      <c r="AJ7" s="10">
        <v>106</v>
      </c>
      <c r="AK7" s="10">
        <v>53</v>
      </c>
      <c r="AL7" s="10">
        <v>72</v>
      </c>
      <c r="AM7" s="10">
        <v>30</v>
      </c>
      <c r="AN7" s="10">
        <v>22</v>
      </c>
      <c r="AO7" s="10"/>
      <c r="AP7" s="10">
        <v>312</v>
      </c>
      <c r="AQ7" s="10">
        <v>228</v>
      </c>
      <c r="AR7" s="10"/>
      <c r="AS7" s="10" t="s">
        <v>87</v>
      </c>
      <c r="AT7" s="10" t="s">
        <v>87</v>
      </c>
      <c r="AU7" s="10">
        <v>541</v>
      </c>
      <c r="AV7" s="10"/>
      <c r="AW7" s="10">
        <v>378</v>
      </c>
      <c r="AX7" s="10">
        <v>126</v>
      </c>
      <c r="AY7" s="10"/>
      <c r="AZ7" s="10">
        <v>452</v>
      </c>
      <c r="BA7" s="10">
        <v>88</v>
      </c>
    </row>
    <row r="8" spans="2:53" ht="30" customHeight="1" x14ac:dyDescent="0.35">
      <c r="B8" s="11" t="s">
        <v>19</v>
      </c>
      <c r="C8" s="11">
        <v>530</v>
      </c>
      <c r="D8" s="11">
        <v>274</v>
      </c>
      <c r="E8" s="11">
        <v>256</v>
      </c>
      <c r="F8" s="11"/>
      <c r="G8" s="11" t="s">
        <v>87</v>
      </c>
      <c r="H8" s="11">
        <v>49</v>
      </c>
      <c r="I8" s="11">
        <v>213</v>
      </c>
      <c r="J8" s="11">
        <v>193</v>
      </c>
      <c r="K8" s="11">
        <v>61</v>
      </c>
      <c r="L8" s="11">
        <v>15</v>
      </c>
      <c r="M8" s="11"/>
      <c r="N8" s="11">
        <v>151</v>
      </c>
      <c r="O8" s="11">
        <v>128</v>
      </c>
      <c r="P8" s="11">
        <v>123</v>
      </c>
      <c r="Q8" s="11">
        <v>124</v>
      </c>
      <c r="R8" s="11"/>
      <c r="S8" s="11">
        <v>101</v>
      </c>
      <c r="T8" s="11">
        <v>80</v>
      </c>
      <c r="U8" s="11">
        <v>42</v>
      </c>
      <c r="V8" s="11">
        <v>54</v>
      </c>
      <c r="W8" s="11">
        <v>57</v>
      </c>
      <c r="X8" s="11">
        <v>59</v>
      </c>
      <c r="Y8" s="11">
        <v>44</v>
      </c>
      <c r="Z8" s="11">
        <v>31</v>
      </c>
      <c r="AA8" s="11">
        <v>63</v>
      </c>
      <c r="AB8" s="11"/>
      <c r="AC8" s="11">
        <v>105</v>
      </c>
      <c r="AD8" s="11">
        <v>116</v>
      </c>
      <c r="AE8" s="11">
        <v>151</v>
      </c>
      <c r="AF8" s="11">
        <v>95</v>
      </c>
      <c r="AG8" s="11">
        <v>14</v>
      </c>
      <c r="AH8" s="11"/>
      <c r="AI8" s="11">
        <v>194</v>
      </c>
      <c r="AJ8" s="11">
        <v>103</v>
      </c>
      <c r="AK8" s="11">
        <v>47</v>
      </c>
      <c r="AL8" s="11">
        <v>80</v>
      </c>
      <c r="AM8" s="11">
        <v>30</v>
      </c>
      <c r="AN8" s="11">
        <v>23</v>
      </c>
      <c r="AO8" s="11"/>
      <c r="AP8" s="11">
        <v>304</v>
      </c>
      <c r="AQ8" s="11">
        <v>225</v>
      </c>
      <c r="AR8" s="11"/>
      <c r="AS8" s="11" t="s">
        <v>87</v>
      </c>
      <c r="AT8" s="11" t="s">
        <v>87</v>
      </c>
      <c r="AU8" s="11">
        <v>530</v>
      </c>
      <c r="AV8" s="11"/>
      <c r="AW8" s="11">
        <v>386</v>
      </c>
      <c r="AX8" s="11">
        <v>103</v>
      </c>
      <c r="AY8" s="11"/>
      <c r="AZ8" s="11">
        <v>434</v>
      </c>
      <c r="BA8" s="11">
        <v>96</v>
      </c>
    </row>
    <row r="9" spans="2:53" x14ac:dyDescent="0.35">
      <c r="B9" s="15" t="s">
        <v>220</v>
      </c>
      <c r="C9" s="14">
        <v>0.23881711286174601</v>
      </c>
      <c r="D9" s="14">
        <v>0.27217978652255698</v>
      </c>
      <c r="E9" s="14">
        <v>0.20311886213455499</v>
      </c>
      <c r="F9" s="14"/>
      <c r="G9" s="14" t="s">
        <v>88</v>
      </c>
      <c r="H9" s="14">
        <v>0.34134051736995003</v>
      </c>
      <c r="I9" s="14">
        <v>0.24202595744854599</v>
      </c>
      <c r="J9" s="14">
        <v>0.20084243393333101</v>
      </c>
      <c r="K9" s="14">
        <v>0.23623100759690399</v>
      </c>
      <c r="L9" s="14">
        <v>0.364162912406432</v>
      </c>
      <c r="M9" s="14"/>
      <c r="N9" s="14">
        <v>0.32660426019609601</v>
      </c>
      <c r="O9" s="14">
        <v>0.20854350892186599</v>
      </c>
      <c r="P9" s="14">
        <v>0.16953803998366601</v>
      </c>
      <c r="Q9" s="14">
        <v>0.23991323186480301</v>
      </c>
      <c r="R9" s="14"/>
      <c r="S9" s="14">
        <v>0.34406961573099498</v>
      </c>
      <c r="T9" s="14">
        <v>0.228043016437978</v>
      </c>
      <c r="U9" s="14">
        <v>0.117533128269927</v>
      </c>
      <c r="V9" s="14">
        <v>0.161315280707715</v>
      </c>
      <c r="W9" s="14">
        <v>0.24133662425278801</v>
      </c>
      <c r="X9" s="14">
        <v>0.24809497774637901</v>
      </c>
      <c r="Y9" s="14">
        <v>0.17595819302837801</v>
      </c>
      <c r="Z9" s="14">
        <v>0.28787422443973298</v>
      </c>
      <c r="AA9" s="14">
        <v>0.239356316678389</v>
      </c>
      <c r="AB9" s="14"/>
      <c r="AC9" s="14">
        <v>0.175439654871269</v>
      </c>
      <c r="AD9" s="14">
        <v>0.21668203426727001</v>
      </c>
      <c r="AE9" s="14">
        <v>0.194445433648613</v>
      </c>
      <c r="AF9" s="14">
        <v>0.35968444702289798</v>
      </c>
      <c r="AG9" s="14">
        <v>0.53132898701702802</v>
      </c>
      <c r="AH9" s="14"/>
      <c r="AI9" s="14">
        <v>0.281304126375235</v>
      </c>
      <c r="AJ9" s="14">
        <v>0.25375200179407598</v>
      </c>
      <c r="AK9" s="14">
        <v>0.37549603431406903</v>
      </c>
      <c r="AL9" s="14">
        <v>0.15619805276082599</v>
      </c>
      <c r="AM9" s="14">
        <v>0.18748157663521001</v>
      </c>
      <c r="AN9" s="14">
        <v>8.4792120219356504E-2</v>
      </c>
      <c r="AO9" s="14"/>
      <c r="AP9" s="14">
        <v>0.29358050516902401</v>
      </c>
      <c r="AQ9" s="14">
        <v>0.162687382005204</v>
      </c>
      <c r="AR9" s="14"/>
      <c r="AS9" s="14" t="s">
        <v>88</v>
      </c>
      <c r="AT9" s="14" t="s">
        <v>88</v>
      </c>
      <c r="AU9" s="14">
        <v>0.23881711286174601</v>
      </c>
      <c r="AV9" s="14"/>
      <c r="AW9" s="14">
        <v>0.20840082867901</v>
      </c>
      <c r="AX9" s="14">
        <v>0.38971134978489902</v>
      </c>
      <c r="AY9" s="14"/>
      <c r="AZ9" s="14">
        <v>0.27819422460584498</v>
      </c>
      <c r="BA9" s="14">
        <v>6.2589294975665205E-2</v>
      </c>
    </row>
    <row r="10" spans="2:53" x14ac:dyDescent="0.35">
      <c r="B10" s="15" t="s">
        <v>221</v>
      </c>
      <c r="C10" s="14">
        <v>0.477102941800638</v>
      </c>
      <c r="D10" s="14">
        <v>0.54136842800682705</v>
      </c>
      <c r="E10" s="14">
        <v>0.40833850574201902</v>
      </c>
      <c r="F10" s="14"/>
      <c r="G10" s="14" t="s">
        <v>88</v>
      </c>
      <c r="H10" s="14">
        <v>0.46577705584636597</v>
      </c>
      <c r="I10" s="14">
        <v>0.44536981796567099</v>
      </c>
      <c r="J10" s="14">
        <v>0.48668474638568998</v>
      </c>
      <c r="K10" s="14">
        <v>0.55076570282481496</v>
      </c>
      <c r="L10" s="14">
        <v>0.543723627426002</v>
      </c>
      <c r="M10" s="14"/>
      <c r="N10" s="14">
        <v>0.44683823458827898</v>
      </c>
      <c r="O10" s="14">
        <v>0.459928383013743</v>
      </c>
      <c r="P10" s="14">
        <v>0.591638288270664</v>
      </c>
      <c r="Q10" s="14">
        <v>0.406488532693285</v>
      </c>
      <c r="R10" s="14"/>
      <c r="S10" s="14">
        <v>0.52328512893535195</v>
      </c>
      <c r="T10" s="14">
        <v>0.48388985911197002</v>
      </c>
      <c r="U10" s="14">
        <v>0.52982803799106104</v>
      </c>
      <c r="V10" s="14">
        <v>0.57553033222060801</v>
      </c>
      <c r="W10" s="14">
        <v>0.36789272825476299</v>
      </c>
      <c r="X10" s="14">
        <v>0.45990219810996802</v>
      </c>
      <c r="Y10" s="14">
        <v>0.45199218605836999</v>
      </c>
      <c r="Z10" s="14">
        <v>0.46145067071219797</v>
      </c>
      <c r="AA10" s="14">
        <v>0.41577109497940801</v>
      </c>
      <c r="AB10" s="14"/>
      <c r="AC10" s="14">
        <v>0.49425281515050001</v>
      </c>
      <c r="AD10" s="14">
        <v>0.45288519998417098</v>
      </c>
      <c r="AE10" s="14">
        <v>0.542286143122654</v>
      </c>
      <c r="AF10" s="14">
        <v>0.425204648485349</v>
      </c>
      <c r="AG10" s="14">
        <v>0.41648539606778101</v>
      </c>
      <c r="AH10" s="14"/>
      <c r="AI10" s="14">
        <v>0.47827209635363099</v>
      </c>
      <c r="AJ10" s="14">
        <v>0.50526947680381795</v>
      </c>
      <c r="AK10" s="14">
        <v>0.34554464365860899</v>
      </c>
      <c r="AL10" s="14">
        <v>0.52082759710614301</v>
      </c>
      <c r="AM10" s="14">
        <v>0.46444354544585298</v>
      </c>
      <c r="AN10" s="14">
        <v>0.48384757635395997</v>
      </c>
      <c r="AO10" s="14"/>
      <c r="AP10" s="14">
        <v>0.47263400946044898</v>
      </c>
      <c r="AQ10" s="14">
        <v>0.484506550961115</v>
      </c>
      <c r="AR10" s="14"/>
      <c r="AS10" s="14" t="s">
        <v>88</v>
      </c>
      <c r="AT10" s="14" t="s">
        <v>88</v>
      </c>
      <c r="AU10" s="14">
        <v>0.477102941800638</v>
      </c>
      <c r="AV10" s="14"/>
      <c r="AW10" s="14">
        <v>0.49813317240444299</v>
      </c>
      <c r="AX10" s="14">
        <v>0.427554732257385</v>
      </c>
      <c r="AY10" s="14"/>
      <c r="AZ10" s="14">
        <v>0.469326731190082</v>
      </c>
      <c r="BA10" s="14">
        <v>0.50663340989754702</v>
      </c>
    </row>
    <row r="11" spans="2:53" x14ac:dyDescent="0.35">
      <c r="B11" s="15" t="s">
        <v>222</v>
      </c>
      <c r="C11" s="14">
        <v>0.18427553345529599</v>
      </c>
      <c r="D11" s="14">
        <v>0.119341310130908</v>
      </c>
      <c r="E11" s="14">
        <v>0.253755522037036</v>
      </c>
      <c r="F11" s="14"/>
      <c r="G11" s="14" t="s">
        <v>88</v>
      </c>
      <c r="H11" s="14">
        <v>0.100574873701789</v>
      </c>
      <c r="I11" s="14">
        <v>0.208713515826673</v>
      </c>
      <c r="J11" s="14">
        <v>0.18408203911891199</v>
      </c>
      <c r="K11" s="14">
        <v>0.188322791258031</v>
      </c>
      <c r="L11" s="14">
        <v>9.2113460167565206E-2</v>
      </c>
      <c r="M11" s="14"/>
      <c r="N11" s="14">
        <v>0.12718317617227101</v>
      </c>
      <c r="O11" s="14">
        <v>0.21163074768658599</v>
      </c>
      <c r="P11" s="14">
        <v>0.15763327522493301</v>
      </c>
      <c r="Q11" s="14">
        <v>0.25199044091302703</v>
      </c>
      <c r="R11" s="14"/>
      <c r="S11" s="14">
        <v>6.6978802280288796E-2</v>
      </c>
      <c r="T11" s="14">
        <v>0.22271764376305</v>
      </c>
      <c r="U11" s="14">
        <v>0.27224603036035</v>
      </c>
      <c r="V11" s="14">
        <v>0.15325786263442501</v>
      </c>
      <c r="W11" s="14">
        <v>0.21369869057500601</v>
      </c>
      <c r="X11" s="14">
        <v>0.17961303800959</v>
      </c>
      <c r="Y11" s="14">
        <v>0.221598649599656</v>
      </c>
      <c r="Z11" s="14">
        <v>0.14339340863399</v>
      </c>
      <c r="AA11" s="14">
        <v>0.26303283921294301</v>
      </c>
      <c r="AB11" s="14"/>
      <c r="AC11" s="14">
        <v>0.25123889494535201</v>
      </c>
      <c r="AD11" s="14">
        <v>0.23970005042471901</v>
      </c>
      <c r="AE11" s="14">
        <v>0.15857149159988301</v>
      </c>
      <c r="AF11" s="14">
        <v>0.13804363016827301</v>
      </c>
      <c r="AG11" s="14">
        <v>3.8630315383246801E-2</v>
      </c>
      <c r="AH11" s="14"/>
      <c r="AI11" s="14">
        <v>0.17042126489832901</v>
      </c>
      <c r="AJ11" s="14">
        <v>0.14458441034869901</v>
      </c>
      <c r="AK11" s="14">
        <v>0.108564054613402</v>
      </c>
      <c r="AL11" s="14">
        <v>0.21104541623110701</v>
      </c>
      <c r="AM11" s="14">
        <v>0.23475541169154099</v>
      </c>
      <c r="AN11" s="14">
        <v>0.34471881058015702</v>
      </c>
      <c r="AO11" s="14"/>
      <c r="AP11" s="14">
        <v>0.14498443367278299</v>
      </c>
      <c r="AQ11" s="14">
        <v>0.23785776538200801</v>
      </c>
      <c r="AR11" s="14"/>
      <c r="AS11" s="14" t="s">
        <v>88</v>
      </c>
      <c r="AT11" s="14" t="s">
        <v>88</v>
      </c>
      <c r="AU11" s="14">
        <v>0.18427553345529599</v>
      </c>
      <c r="AV11" s="14"/>
      <c r="AW11" s="14">
        <v>0.188161790729896</v>
      </c>
      <c r="AX11" s="14">
        <v>0.12140399985049199</v>
      </c>
      <c r="AY11" s="14"/>
      <c r="AZ11" s="14">
        <v>0.17166484127822801</v>
      </c>
      <c r="BA11" s="14">
        <v>0.24360242393329001</v>
      </c>
    </row>
    <row r="12" spans="2:53" x14ac:dyDescent="0.35">
      <c r="B12" s="15" t="s">
        <v>223</v>
      </c>
      <c r="C12" s="14">
        <v>3.4733853442939201E-2</v>
      </c>
      <c r="D12" s="14">
        <v>8.8116343918535692E-3</v>
      </c>
      <c r="E12" s="14">
        <v>6.24707753844745E-2</v>
      </c>
      <c r="F12" s="14"/>
      <c r="G12" s="14" t="s">
        <v>88</v>
      </c>
      <c r="H12" s="14">
        <v>1.43898228097244E-2</v>
      </c>
      <c r="I12" s="14">
        <v>4.5861898238791103E-2</v>
      </c>
      <c r="J12" s="14">
        <v>3.7798583573846502E-2</v>
      </c>
      <c r="K12" s="14">
        <v>1.06335419397159E-2</v>
      </c>
      <c r="L12" s="14">
        <v>0</v>
      </c>
      <c r="M12" s="14"/>
      <c r="N12" s="14">
        <v>2.1112443717139801E-2</v>
      </c>
      <c r="O12" s="14">
        <v>5.5245657606741702E-2</v>
      </c>
      <c r="P12" s="14">
        <v>1.9607213144532901E-2</v>
      </c>
      <c r="Q12" s="14">
        <v>4.6535847359622101E-2</v>
      </c>
      <c r="R12" s="14"/>
      <c r="S12" s="14">
        <v>2.36249425095779E-2</v>
      </c>
      <c r="T12" s="14">
        <v>1.9222963161808899E-2</v>
      </c>
      <c r="U12" s="14">
        <v>0</v>
      </c>
      <c r="V12" s="14">
        <v>6.7231732493188506E-2</v>
      </c>
      <c r="W12" s="14">
        <v>2.1721056094906401E-2</v>
      </c>
      <c r="X12" s="14">
        <v>4.6770804909815798E-2</v>
      </c>
      <c r="Y12" s="14">
        <v>8.5349699438605903E-2</v>
      </c>
      <c r="Z12" s="14">
        <v>7.3967108839825102E-2</v>
      </c>
      <c r="AA12" s="14">
        <v>1.2967941218635299E-2</v>
      </c>
      <c r="AB12" s="14"/>
      <c r="AC12" s="14">
        <v>1.1775005958065099E-2</v>
      </c>
      <c r="AD12" s="14">
        <v>4.6064028217441301E-2</v>
      </c>
      <c r="AE12" s="14">
        <v>4.6816989023936703E-2</v>
      </c>
      <c r="AF12" s="14">
        <v>2.4834717549568199E-2</v>
      </c>
      <c r="AG12" s="14">
        <v>0</v>
      </c>
      <c r="AH12" s="14"/>
      <c r="AI12" s="14">
        <v>2.42012771683481E-2</v>
      </c>
      <c r="AJ12" s="14">
        <v>5.1473749275378997E-2</v>
      </c>
      <c r="AK12" s="14">
        <v>5.4918766816274903E-2</v>
      </c>
      <c r="AL12" s="14">
        <v>4.2993989379322702E-2</v>
      </c>
      <c r="AM12" s="14">
        <v>9.1338704019366702E-3</v>
      </c>
      <c r="AN12" s="14">
        <v>0</v>
      </c>
      <c r="AO12" s="14"/>
      <c r="AP12" s="14">
        <v>2.53445118739891E-2</v>
      </c>
      <c r="AQ12" s="14">
        <v>4.7511628633825E-2</v>
      </c>
      <c r="AR12" s="14"/>
      <c r="AS12" s="14" t="s">
        <v>88</v>
      </c>
      <c r="AT12" s="14" t="s">
        <v>88</v>
      </c>
      <c r="AU12" s="14">
        <v>3.4733853442939201E-2</v>
      </c>
      <c r="AV12" s="14"/>
      <c r="AW12" s="14">
        <v>3.62610368613107E-2</v>
      </c>
      <c r="AX12" s="14">
        <v>2.675389711026E-3</v>
      </c>
      <c r="AY12" s="14"/>
      <c r="AZ12" s="14">
        <v>2.8310416916485601E-2</v>
      </c>
      <c r="BA12" s="14">
        <v>6.4297706789762099E-2</v>
      </c>
    </row>
    <row r="13" spans="2:53" x14ac:dyDescent="0.35">
      <c r="B13" s="15" t="s">
        <v>116</v>
      </c>
      <c r="C13" s="18">
        <v>1.4442144153307799E-2</v>
      </c>
      <c r="D13" s="18">
        <v>0</v>
      </c>
      <c r="E13" s="18">
        <v>2.98953206062674E-2</v>
      </c>
      <c r="F13" s="18"/>
      <c r="G13" s="18" t="s">
        <v>88</v>
      </c>
      <c r="H13" s="18">
        <v>2.7422635757803598E-2</v>
      </c>
      <c r="I13" s="18">
        <v>1.05817056317532E-2</v>
      </c>
      <c r="J13" s="18">
        <v>2.1075150083516101E-2</v>
      </c>
      <c r="K13" s="18">
        <v>0</v>
      </c>
      <c r="L13" s="18">
        <v>0</v>
      </c>
      <c r="M13" s="18"/>
      <c r="N13" s="18">
        <v>5.2499373581834799E-3</v>
      </c>
      <c r="O13" s="18">
        <v>1.3377615085604399E-2</v>
      </c>
      <c r="P13" s="18">
        <v>1.0889075269416199E-2</v>
      </c>
      <c r="Q13" s="18">
        <v>3.0853099194742498E-2</v>
      </c>
      <c r="R13" s="18"/>
      <c r="S13" s="18">
        <v>0</v>
      </c>
      <c r="T13" s="18">
        <v>0</v>
      </c>
      <c r="U13" s="18">
        <v>4.1802278262186701E-2</v>
      </c>
      <c r="V13" s="18">
        <v>4.2664791944064501E-2</v>
      </c>
      <c r="W13" s="18">
        <v>2.1721055756794699E-2</v>
      </c>
      <c r="X13" s="18">
        <v>1.8421906283849401E-2</v>
      </c>
      <c r="Y13" s="18">
        <v>1.2445653628494801E-2</v>
      </c>
      <c r="Z13" s="18">
        <v>2.4240163798144601E-2</v>
      </c>
      <c r="AA13" s="18">
        <v>0</v>
      </c>
      <c r="AB13" s="18"/>
      <c r="AC13" s="18">
        <v>2.83951620489311E-2</v>
      </c>
      <c r="AD13" s="18">
        <v>0</v>
      </c>
      <c r="AE13" s="18">
        <v>1.5810678124288699E-2</v>
      </c>
      <c r="AF13" s="18">
        <v>0</v>
      </c>
      <c r="AG13" s="18">
        <v>0</v>
      </c>
      <c r="AH13" s="18"/>
      <c r="AI13" s="18">
        <v>1.2690825582140899E-3</v>
      </c>
      <c r="AJ13" s="18">
        <v>1.30455414142571E-2</v>
      </c>
      <c r="AK13" s="18">
        <v>5.2172871650906498E-2</v>
      </c>
      <c r="AL13" s="18">
        <v>0</v>
      </c>
      <c r="AM13" s="18">
        <v>0</v>
      </c>
      <c r="AN13" s="18">
        <v>2.38051510846236E-2</v>
      </c>
      <c r="AO13" s="18"/>
      <c r="AP13" s="18">
        <v>1.09602814962274E-2</v>
      </c>
      <c r="AQ13" s="18">
        <v>1.9185026872699001E-2</v>
      </c>
      <c r="AR13" s="18"/>
      <c r="AS13" s="18" t="s">
        <v>88</v>
      </c>
      <c r="AT13" s="18" t="s">
        <v>88</v>
      </c>
      <c r="AU13" s="18">
        <v>1.4442144153307799E-2</v>
      </c>
      <c r="AV13" s="18"/>
      <c r="AW13" s="18">
        <v>1.7230169916466899E-2</v>
      </c>
      <c r="AX13" s="18">
        <v>2.3922495009836599E-3</v>
      </c>
      <c r="AY13" s="18"/>
      <c r="AZ13" s="18">
        <v>4.0197482475625703E-3</v>
      </c>
      <c r="BA13" s="18">
        <v>6.1946781216091699E-2</v>
      </c>
    </row>
    <row r="14" spans="2:53" x14ac:dyDescent="0.35">
      <c r="B14" s="26" t="s">
        <v>224</v>
      </c>
      <c r="C14" s="27">
        <v>0.71592005466238395</v>
      </c>
      <c r="D14" s="27">
        <v>0.81354821452938397</v>
      </c>
      <c r="E14" s="27">
        <v>0.61145736787657401</v>
      </c>
      <c r="F14" s="27"/>
      <c r="G14" s="27" t="s">
        <v>88</v>
      </c>
      <c r="H14" s="27">
        <v>0.80711757321631605</v>
      </c>
      <c r="I14" s="27">
        <v>0.68739577541421704</v>
      </c>
      <c r="J14" s="27">
        <v>0.68752718031902105</v>
      </c>
      <c r="K14" s="27">
        <v>0.78699671042171904</v>
      </c>
      <c r="L14" s="27">
        <v>0.90788653983243495</v>
      </c>
      <c r="M14" s="27"/>
      <c r="N14" s="27">
        <v>0.77344249478437499</v>
      </c>
      <c r="O14" s="27">
        <v>0.66847189193560896</v>
      </c>
      <c r="P14" s="27">
        <v>0.76117632825433001</v>
      </c>
      <c r="Q14" s="27">
        <v>0.64640176455808795</v>
      </c>
      <c r="R14" s="27"/>
      <c r="S14" s="27">
        <v>0.86735474466634699</v>
      </c>
      <c r="T14" s="27">
        <v>0.711932875549949</v>
      </c>
      <c r="U14" s="27">
        <v>0.64736116626098705</v>
      </c>
      <c r="V14" s="27">
        <v>0.73684561292832196</v>
      </c>
      <c r="W14" s="27">
        <v>0.60922935250755095</v>
      </c>
      <c r="X14" s="27">
        <v>0.70799717585634703</v>
      </c>
      <c r="Y14" s="27">
        <v>0.627950379086748</v>
      </c>
      <c r="Z14" s="27">
        <v>0.74932489515193101</v>
      </c>
      <c r="AA14" s="27">
        <v>0.65512741165779698</v>
      </c>
      <c r="AB14" s="27"/>
      <c r="AC14" s="27">
        <v>0.66969247002176902</v>
      </c>
      <c r="AD14" s="27">
        <v>0.66956723425144105</v>
      </c>
      <c r="AE14" s="27">
        <v>0.73673157677126599</v>
      </c>
      <c r="AF14" s="27">
        <v>0.78488909550824804</v>
      </c>
      <c r="AG14" s="27">
        <v>0.94781438308480903</v>
      </c>
      <c r="AH14" s="27"/>
      <c r="AI14" s="27">
        <v>0.75957622272886505</v>
      </c>
      <c r="AJ14" s="27">
        <v>0.75902147859789304</v>
      </c>
      <c r="AK14" s="27">
        <v>0.72104067797267801</v>
      </c>
      <c r="AL14" s="27">
        <v>0.677025649866969</v>
      </c>
      <c r="AM14" s="27">
        <v>0.65192512208106301</v>
      </c>
      <c r="AN14" s="27">
        <v>0.56863969657331603</v>
      </c>
      <c r="AO14" s="27"/>
      <c r="AP14" s="27">
        <v>0.76621451462947199</v>
      </c>
      <c r="AQ14" s="27">
        <v>0.647193932966319</v>
      </c>
      <c r="AR14" s="27"/>
      <c r="AS14" s="27" t="s">
        <v>88</v>
      </c>
      <c r="AT14" s="27" t="s">
        <v>88</v>
      </c>
      <c r="AU14" s="27">
        <v>0.71592005466238395</v>
      </c>
      <c r="AV14" s="27"/>
      <c r="AW14" s="27">
        <v>0.70653400108345299</v>
      </c>
      <c r="AX14" s="27">
        <v>0.81726608204228401</v>
      </c>
      <c r="AY14" s="27"/>
      <c r="AZ14" s="27">
        <v>0.74752095579592703</v>
      </c>
      <c r="BA14" s="27">
        <v>0.56922270487321203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393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541</v>
      </c>
      <c r="D7" s="10">
        <v>234</v>
      </c>
      <c r="E7" s="10">
        <v>307</v>
      </c>
      <c r="F7" s="10"/>
      <c r="G7" s="10" t="s">
        <v>87</v>
      </c>
      <c r="H7" s="10">
        <v>55</v>
      </c>
      <c r="I7" s="10">
        <v>223</v>
      </c>
      <c r="J7" s="10">
        <v>191</v>
      </c>
      <c r="K7" s="10">
        <v>58</v>
      </c>
      <c r="L7" s="10">
        <v>14</v>
      </c>
      <c r="M7" s="10"/>
      <c r="N7" s="10">
        <v>248</v>
      </c>
      <c r="O7" s="10">
        <v>123</v>
      </c>
      <c r="P7" s="10">
        <v>79</v>
      </c>
      <c r="Q7" s="10">
        <v>87</v>
      </c>
      <c r="R7" s="10"/>
      <c r="S7" s="10">
        <v>120</v>
      </c>
      <c r="T7" s="10">
        <v>78</v>
      </c>
      <c r="U7" s="10">
        <v>35</v>
      </c>
      <c r="V7" s="10">
        <v>43</v>
      </c>
      <c r="W7" s="10">
        <v>46</v>
      </c>
      <c r="X7" s="10">
        <v>67</v>
      </c>
      <c r="Y7" s="10">
        <v>54</v>
      </c>
      <c r="Z7" s="10">
        <v>33</v>
      </c>
      <c r="AA7" s="10">
        <v>65</v>
      </c>
      <c r="AB7" s="10"/>
      <c r="AC7" s="10">
        <v>84</v>
      </c>
      <c r="AD7" s="10">
        <v>103</v>
      </c>
      <c r="AE7" s="10">
        <v>163</v>
      </c>
      <c r="AF7" s="10">
        <v>123</v>
      </c>
      <c r="AG7" s="10">
        <v>23</v>
      </c>
      <c r="AH7" s="10"/>
      <c r="AI7" s="10">
        <v>211</v>
      </c>
      <c r="AJ7" s="10">
        <v>106</v>
      </c>
      <c r="AK7" s="10">
        <v>53</v>
      </c>
      <c r="AL7" s="10">
        <v>72</v>
      </c>
      <c r="AM7" s="10">
        <v>30</v>
      </c>
      <c r="AN7" s="10">
        <v>22</v>
      </c>
      <c r="AO7" s="10"/>
      <c r="AP7" s="10">
        <v>312</v>
      </c>
      <c r="AQ7" s="10">
        <v>228</v>
      </c>
      <c r="AR7" s="10"/>
      <c r="AS7" s="10" t="s">
        <v>87</v>
      </c>
      <c r="AT7" s="10" t="s">
        <v>87</v>
      </c>
      <c r="AU7" s="10">
        <v>541</v>
      </c>
      <c r="AV7" s="10"/>
      <c r="AW7" s="10">
        <v>378</v>
      </c>
      <c r="AX7" s="10">
        <v>126</v>
      </c>
      <c r="AY7" s="10"/>
      <c r="AZ7" s="10">
        <v>452</v>
      </c>
      <c r="BA7" s="10">
        <v>88</v>
      </c>
    </row>
    <row r="8" spans="2:53" ht="30" customHeight="1" x14ac:dyDescent="0.35">
      <c r="B8" s="11" t="s">
        <v>19</v>
      </c>
      <c r="C8" s="11">
        <v>530</v>
      </c>
      <c r="D8" s="11">
        <v>274</v>
      </c>
      <c r="E8" s="11">
        <v>256</v>
      </c>
      <c r="F8" s="11"/>
      <c r="G8" s="11" t="s">
        <v>87</v>
      </c>
      <c r="H8" s="11">
        <v>49</v>
      </c>
      <c r="I8" s="11">
        <v>213</v>
      </c>
      <c r="J8" s="11">
        <v>193</v>
      </c>
      <c r="K8" s="11">
        <v>61</v>
      </c>
      <c r="L8" s="11">
        <v>15</v>
      </c>
      <c r="M8" s="11"/>
      <c r="N8" s="11">
        <v>151</v>
      </c>
      <c r="O8" s="11">
        <v>128</v>
      </c>
      <c r="P8" s="11">
        <v>123</v>
      </c>
      <c r="Q8" s="11">
        <v>124</v>
      </c>
      <c r="R8" s="11"/>
      <c r="S8" s="11">
        <v>101</v>
      </c>
      <c r="T8" s="11">
        <v>80</v>
      </c>
      <c r="U8" s="11">
        <v>42</v>
      </c>
      <c r="V8" s="11">
        <v>54</v>
      </c>
      <c r="W8" s="11">
        <v>57</v>
      </c>
      <c r="X8" s="11">
        <v>59</v>
      </c>
      <c r="Y8" s="11">
        <v>44</v>
      </c>
      <c r="Z8" s="11">
        <v>31</v>
      </c>
      <c r="AA8" s="11">
        <v>63</v>
      </c>
      <c r="AB8" s="11"/>
      <c r="AC8" s="11">
        <v>105</v>
      </c>
      <c r="AD8" s="11">
        <v>116</v>
      </c>
      <c r="AE8" s="11">
        <v>151</v>
      </c>
      <c r="AF8" s="11">
        <v>95</v>
      </c>
      <c r="AG8" s="11">
        <v>14</v>
      </c>
      <c r="AH8" s="11"/>
      <c r="AI8" s="11">
        <v>194</v>
      </c>
      <c r="AJ8" s="11">
        <v>103</v>
      </c>
      <c r="AK8" s="11">
        <v>47</v>
      </c>
      <c r="AL8" s="11">
        <v>80</v>
      </c>
      <c r="AM8" s="11">
        <v>30</v>
      </c>
      <c r="AN8" s="11">
        <v>23</v>
      </c>
      <c r="AO8" s="11"/>
      <c r="AP8" s="11">
        <v>304</v>
      </c>
      <c r="AQ8" s="11">
        <v>225</v>
      </c>
      <c r="AR8" s="11"/>
      <c r="AS8" s="11" t="s">
        <v>87</v>
      </c>
      <c r="AT8" s="11" t="s">
        <v>87</v>
      </c>
      <c r="AU8" s="11">
        <v>530</v>
      </c>
      <c r="AV8" s="11"/>
      <c r="AW8" s="11">
        <v>386</v>
      </c>
      <c r="AX8" s="11">
        <v>103</v>
      </c>
      <c r="AY8" s="11"/>
      <c r="AZ8" s="11">
        <v>434</v>
      </c>
      <c r="BA8" s="11">
        <v>96</v>
      </c>
    </row>
    <row r="9" spans="2:53" x14ac:dyDescent="0.35">
      <c r="B9" s="15" t="s">
        <v>226</v>
      </c>
      <c r="C9" s="14">
        <v>0.24016069413560701</v>
      </c>
      <c r="D9" s="14">
        <v>0.29349833329477998</v>
      </c>
      <c r="E9" s="14">
        <v>0.18308911662180499</v>
      </c>
      <c r="F9" s="14"/>
      <c r="G9" s="14" t="s">
        <v>88</v>
      </c>
      <c r="H9" s="14">
        <v>0.25672770648264398</v>
      </c>
      <c r="I9" s="14">
        <v>0.22500992265848699</v>
      </c>
      <c r="J9" s="14">
        <v>0.23938627826800499</v>
      </c>
      <c r="K9" s="14">
        <v>0.26466250812370401</v>
      </c>
      <c r="L9" s="14">
        <v>0.314016908448701</v>
      </c>
      <c r="M9" s="14"/>
      <c r="N9" s="14">
        <v>0.32926208887180802</v>
      </c>
      <c r="O9" s="14">
        <v>0.22787171924041599</v>
      </c>
      <c r="P9" s="14">
        <v>0.215947743249253</v>
      </c>
      <c r="Q9" s="14">
        <v>0.17614394300712799</v>
      </c>
      <c r="R9" s="14"/>
      <c r="S9" s="14">
        <v>0.31180851863877201</v>
      </c>
      <c r="T9" s="14">
        <v>0.245884378594868</v>
      </c>
      <c r="U9" s="14">
        <v>0.14273451255831701</v>
      </c>
      <c r="V9" s="14">
        <v>0.26875231091412699</v>
      </c>
      <c r="W9" s="14">
        <v>0.130994993505855</v>
      </c>
      <c r="X9" s="14">
        <v>0.28514952869945598</v>
      </c>
      <c r="Y9" s="14">
        <v>0.12819108384695199</v>
      </c>
      <c r="Z9" s="14">
        <v>0.268177957587032</v>
      </c>
      <c r="AA9" s="14">
        <v>0.2792650101286</v>
      </c>
      <c r="AB9" s="14"/>
      <c r="AC9" s="14">
        <v>0.19355865537045</v>
      </c>
      <c r="AD9" s="14">
        <v>0.21699232367318</v>
      </c>
      <c r="AE9" s="14">
        <v>0.169290519219673</v>
      </c>
      <c r="AF9" s="14">
        <v>0.34521384162097302</v>
      </c>
      <c r="AG9" s="14">
        <v>0.660146278294097</v>
      </c>
      <c r="AH9" s="14"/>
      <c r="AI9" s="14">
        <v>0.25901604401885397</v>
      </c>
      <c r="AJ9" s="14">
        <v>0.26240643526468199</v>
      </c>
      <c r="AK9" s="14">
        <v>0.38416486358211099</v>
      </c>
      <c r="AL9" s="14">
        <v>0.195030600295309</v>
      </c>
      <c r="AM9" s="14">
        <v>0.167958617574546</v>
      </c>
      <c r="AN9" s="14">
        <v>0.10375885213771199</v>
      </c>
      <c r="AO9" s="14"/>
      <c r="AP9" s="14">
        <v>0.29289882627708502</v>
      </c>
      <c r="AQ9" s="14">
        <v>0.16963963993801501</v>
      </c>
      <c r="AR9" s="14"/>
      <c r="AS9" s="14" t="s">
        <v>88</v>
      </c>
      <c r="AT9" s="14" t="s">
        <v>88</v>
      </c>
      <c r="AU9" s="14">
        <v>0.24016069413560701</v>
      </c>
      <c r="AV9" s="14"/>
      <c r="AW9" s="14">
        <v>0.22957148031475599</v>
      </c>
      <c r="AX9" s="14">
        <v>0.347928630181561</v>
      </c>
      <c r="AY9" s="14"/>
      <c r="AZ9" s="14">
        <v>0.27657747116953901</v>
      </c>
      <c r="BA9" s="14">
        <v>7.7395335204146903E-2</v>
      </c>
    </row>
    <row r="10" spans="2:53" x14ac:dyDescent="0.35">
      <c r="B10" s="15" t="s">
        <v>227</v>
      </c>
      <c r="C10" s="14">
        <v>0.40888959810733599</v>
      </c>
      <c r="D10" s="14">
        <v>0.42562086184188502</v>
      </c>
      <c r="E10" s="14">
        <v>0.39098705067210998</v>
      </c>
      <c r="F10" s="14"/>
      <c r="G10" s="14" t="s">
        <v>88</v>
      </c>
      <c r="H10" s="14">
        <v>0.42971479069889501</v>
      </c>
      <c r="I10" s="14">
        <v>0.42648343672181399</v>
      </c>
      <c r="J10" s="14">
        <v>0.38664828507724602</v>
      </c>
      <c r="K10" s="14">
        <v>0.404974130220562</v>
      </c>
      <c r="L10" s="14">
        <v>0.39378040772960099</v>
      </c>
      <c r="M10" s="14"/>
      <c r="N10" s="14">
        <v>0.39888457532322003</v>
      </c>
      <c r="O10" s="14">
        <v>0.373774910699114</v>
      </c>
      <c r="P10" s="14">
        <v>0.421390134363265</v>
      </c>
      <c r="Q10" s="14">
        <v>0.43143250122022297</v>
      </c>
      <c r="R10" s="14"/>
      <c r="S10" s="14">
        <v>0.51483011161054204</v>
      </c>
      <c r="T10" s="14">
        <v>0.40587514861745999</v>
      </c>
      <c r="U10" s="14">
        <v>0.45077482270946301</v>
      </c>
      <c r="V10" s="14">
        <v>0.291257909052202</v>
      </c>
      <c r="W10" s="14">
        <v>0.38463163468733902</v>
      </c>
      <c r="X10" s="14">
        <v>0.42825709553491498</v>
      </c>
      <c r="Y10" s="14">
        <v>0.430180373467967</v>
      </c>
      <c r="Z10" s="14">
        <v>0.36547219877716802</v>
      </c>
      <c r="AA10" s="14">
        <v>0.32649373654737901</v>
      </c>
      <c r="AB10" s="14"/>
      <c r="AC10" s="14">
        <v>0.38029916244435102</v>
      </c>
      <c r="AD10" s="14">
        <v>0.39927034043461401</v>
      </c>
      <c r="AE10" s="14">
        <v>0.47748290327044701</v>
      </c>
      <c r="AF10" s="14">
        <v>0.39567793235682402</v>
      </c>
      <c r="AG10" s="14">
        <v>0.237663078174397</v>
      </c>
      <c r="AH10" s="14"/>
      <c r="AI10" s="14">
        <v>0.458688217817737</v>
      </c>
      <c r="AJ10" s="14">
        <v>0.436785364462696</v>
      </c>
      <c r="AK10" s="14">
        <v>0.290189127506221</v>
      </c>
      <c r="AL10" s="14">
        <v>0.36033829229825698</v>
      </c>
      <c r="AM10" s="14">
        <v>0.30678784070128301</v>
      </c>
      <c r="AN10" s="14">
        <v>0.49360582754406401</v>
      </c>
      <c r="AO10" s="14"/>
      <c r="AP10" s="14">
        <v>0.44854292902024001</v>
      </c>
      <c r="AQ10" s="14">
        <v>0.35365056705661102</v>
      </c>
      <c r="AR10" s="14"/>
      <c r="AS10" s="14" t="s">
        <v>88</v>
      </c>
      <c r="AT10" s="14" t="s">
        <v>88</v>
      </c>
      <c r="AU10" s="14">
        <v>0.40888959810733599</v>
      </c>
      <c r="AV10" s="14"/>
      <c r="AW10" s="14">
        <v>0.41040667085951699</v>
      </c>
      <c r="AX10" s="14">
        <v>0.41207946220590902</v>
      </c>
      <c r="AY10" s="14"/>
      <c r="AZ10" s="14">
        <v>0.42043350988007699</v>
      </c>
      <c r="BA10" s="14">
        <v>0.34990097193566899</v>
      </c>
    </row>
    <row r="11" spans="2:53" x14ac:dyDescent="0.35">
      <c r="B11" s="15" t="s">
        <v>228</v>
      </c>
      <c r="C11" s="14">
        <v>0.22817630688760401</v>
      </c>
      <c r="D11" s="14">
        <v>0.20961471637374399</v>
      </c>
      <c r="E11" s="14">
        <v>0.24803731439545301</v>
      </c>
      <c r="F11" s="14"/>
      <c r="G11" s="14" t="s">
        <v>88</v>
      </c>
      <c r="H11" s="14">
        <v>0.221899059380641</v>
      </c>
      <c r="I11" s="14">
        <v>0.22103833315063601</v>
      </c>
      <c r="J11" s="14">
        <v>0.23082812311066001</v>
      </c>
      <c r="K11" s="14">
        <v>0.2519967911946</v>
      </c>
      <c r="L11" s="14">
        <v>0.2188616266866</v>
      </c>
      <c r="M11" s="14"/>
      <c r="N11" s="14">
        <v>0.123976252553832</v>
      </c>
      <c r="O11" s="14">
        <v>0.28430457900067202</v>
      </c>
      <c r="P11" s="14">
        <v>0.27105270139649301</v>
      </c>
      <c r="Q11" s="14">
        <v>0.26301595179513898</v>
      </c>
      <c r="R11" s="14"/>
      <c r="S11" s="14">
        <v>7.7016300977992197E-2</v>
      </c>
      <c r="T11" s="14">
        <v>0.27248235184761099</v>
      </c>
      <c r="U11" s="14">
        <v>0.211660797347097</v>
      </c>
      <c r="V11" s="14">
        <v>0.33172500063327998</v>
      </c>
      <c r="W11" s="14">
        <v>0.28916808757736101</v>
      </c>
      <c r="X11" s="14">
        <v>0.153691457184705</v>
      </c>
      <c r="Y11" s="14">
        <v>0.26910315205079599</v>
      </c>
      <c r="Z11" s="14">
        <v>0.233823983296503</v>
      </c>
      <c r="AA11" s="14">
        <v>0.31908929703843703</v>
      </c>
      <c r="AB11" s="14"/>
      <c r="AC11" s="14">
        <v>0.34691970071117501</v>
      </c>
      <c r="AD11" s="14">
        <v>0.27161496331955798</v>
      </c>
      <c r="AE11" s="14">
        <v>0.20589206043463501</v>
      </c>
      <c r="AF11" s="14">
        <v>0.15641560206736899</v>
      </c>
      <c r="AG11" s="14">
        <v>3.8151166171265898E-2</v>
      </c>
      <c r="AH11" s="14"/>
      <c r="AI11" s="14">
        <v>0.179266169880371</v>
      </c>
      <c r="AJ11" s="14">
        <v>0.172919320570211</v>
      </c>
      <c r="AK11" s="14">
        <v>0.21085206232102899</v>
      </c>
      <c r="AL11" s="14">
        <v>0.37266504804554501</v>
      </c>
      <c r="AM11" s="14">
        <v>0.234788103111539</v>
      </c>
      <c r="AN11" s="14">
        <v>0.245737534555379</v>
      </c>
      <c r="AO11" s="14"/>
      <c r="AP11" s="14">
        <v>0.15546170850577501</v>
      </c>
      <c r="AQ11" s="14">
        <v>0.32701506300634098</v>
      </c>
      <c r="AR11" s="14"/>
      <c r="AS11" s="14" t="s">
        <v>88</v>
      </c>
      <c r="AT11" s="14" t="s">
        <v>88</v>
      </c>
      <c r="AU11" s="14">
        <v>0.22817630688760401</v>
      </c>
      <c r="AV11" s="14"/>
      <c r="AW11" s="14">
        <v>0.23310714066966201</v>
      </c>
      <c r="AX11" s="14">
        <v>0.19883005674960899</v>
      </c>
      <c r="AY11" s="14"/>
      <c r="AZ11" s="14">
        <v>0.19388237093424801</v>
      </c>
      <c r="BA11" s="14">
        <v>0.38648759153235801</v>
      </c>
    </row>
    <row r="12" spans="2:53" x14ac:dyDescent="0.35">
      <c r="B12" s="15" t="s">
        <v>229</v>
      </c>
      <c r="C12" s="14">
        <v>6.7105708513491805E-2</v>
      </c>
      <c r="D12" s="14">
        <v>2.1080115417519502E-2</v>
      </c>
      <c r="E12" s="14">
        <v>0.116353355117357</v>
      </c>
      <c r="F12" s="14"/>
      <c r="G12" s="14" t="s">
        <v>88</v>
      </c>
      <c r="H12" s="14">
        <v>1.3650423078174601E-2</v>
      </c>
      <c r="I12" s="14">
        <v>9.2678047041061903E-2</v>
      </c>
      <c r="J12" s="14">
        <v>6.7573059484943604E-2</v>
      </c>
      <c r="K12" s="14">
        <v>1.72451394494068E-2</v>
      </c>
      <c r="L12" s="14">
        <v>7.3341057135097004E-2</v>
      </c>
      <c r="M12" s="14"/>
      <c r="N12" s="14">
        <v>8.5581895206256295E-2</v>
      </c>
      <c r="O12" s="14">
        <v>6.4318583179906394E-2</v>
      </c>
      <c r="P12" s="14">
        <v>4.9348384082689503E-2</v>
      </c>
      <c r="Q12" s="14">
        <v>6.0421178552142601E-2</v>
      </c>
      <c r="R12" s="14"/>
      <c r="S12" s="14">
        <v>3.71578964553545E-2</v>
      </c>
      <c r="T12" s="14">
        <v>6.7534023664892306E-2</v>
      </c>
      <c r="U12" s="14">
        <v>0.10995244139440501</v>
      </c>
      <c r="V12" s="14">
        <v>8.3697844187026096E-2</v>
      </c>
      <c r="W12" s="14">
        <v>6.9334526234122507E-2</v>
      </c>
      <c r="X12" s="14">
        <v>4.8008736114204399E-2</v>
      </c>
      <c r="Y12" s="14">
        <v>0.107835913220689</v>
      </c>
      <c r="Z12" s="14">
        <v>0.108285696541153</v>
      </c>
      <c r="AA12" s="14">
        <v>3.8753444272604499E-2</v>
      </c>
      <c r="AB12" s="14"/>
      <c r="AC12" s="14">
        <v>2.4599309583490901E-2</v>
      </c>
      <c r="AD12" s="14">
        <v>8.0425844170372102E-2</v>
      </c>
      <c r="AE12" s="14">
        <v>7.3324744051825694E-2</v>
      </c>
      <c r="AF12" s="14">
        <v>5.2771883695534698E-2</v>
      </c>
      <c r="AG12" s="14">
        <v>6.4039477360239502E-2</v>
      </c>
      <c r="AH12" s="14"/>
      <c r="AI12" s="14">
        <v>5.19894208777614E-2</v>
      </c>
      <c r="AJ12" s="14">
        <v>9.3889866209818096E-2</v>
      </c>
      <c r="AK12" s="14">
        <v>9.76380288043492E-2</v>
      </c>
      <c r="AL12" s="14">
        <v>2.8877158161497399E-2</v>
      </c>
      <c r="AM12" s="14">
        <v>6.0448057190679499E-2</v>
      </c>
      <c r="AN12" s="14">
        <v>0.13309263467822099</v>
      </c>
      <c r="AO12" s="14"/>
      <c r="AP12" s="14">
        <v>4.3756951136422001E-2</v>
      </c>
      <c r="AQ12" s="14">
        <v>9.8825282673380102E-2</v>
      </c>
      <c r="AR12" s="14"/>
      <c r="AS12" s="14" t="s">
        <v>88</v>
      </c>
      <c r="AT12" s="14" t="s">
        <v>88</v>
      </c>
      <c r="AU12" s="14">
        <v>6.7105708513491805E-2</v>
      </c>
      <c r="AV12" s="14"/>
      <c r="AW12" s="14">
        <v>6.5159491902686703E-2</v>
      </c>
      <c r="AX12" s="14">
        <v>2.7722014133312701E-2</v>
      </c>
      <c r="AY12" s="14"/>
      <c r="AZ12" s="14">
        <v>5.9332355148081099E-2</v>
      </c>
      <c r="BA12" s="14">
        <v>0.103160349801032</v>
      </c>
    </row>
    <row r="13" spans="2:53" x14ac:dyDescent="0.35">
      <c r="B13" s="15" t="s">
        <v>116</v>
      </c>
      <c r="C13" s="23">
        <v>1.35261204695203E-2</v>
      </c>
      <c r="D13" s="23">
        <v>0</v>
      </c>
      <c r="E13" s="23">
        <v>2.7999146366551798E-2</v>
      </c>
      <c r="F13" s="23"/>
      <c r="G13" s="23" t="s">
        <v>88</v>
      </c>
      <c r="H13" s="23">
        <v>3.6748152978079998E-2</v>
      </c>
      <c r="I13" s="23">
        <v>3.5653446248545802E-3</v>
      </c>
      <c r="J13" s="23">
        <v>2.0522179774658499E-2</v>
      </c>
      <c r="K13" s="23">
        <v>1.08953509569071E-2</v>
      </c>
      <c r="L13" s="23">
        <v>0</v>
      </c>
      <c r="M13" s="23"/>
      <c r="N13" s="23">
        <v>8.0024080851525004E-3</v>
      </c>
      <c r="O13" s="23">
        <v>1.8196741890104E-2</v>
      </c>
      <c r="P13" s="23">
        <v>0</v>
      </c>
      <c r="Q13" s="23">
        <v>2.9436658148819701E-2</v>
      </c>
      <c r="R13" s="23"/>
      <c r="S13" s="23">
        <v>8.5980097635174006E-3</v>
      </c>
      <c r="T13" s="23">
        <v>0</v>
      </c>
      <c r="U13" s="23">
        <v>0</v>
      </c>
      <c r="V13" s="23">
        <v>2.4566935213364598E-2</v>
      </c>
      <c r="W13" s="23">
        <v>3.3396775327470402E-2</v>
      </c>
      <c r="X13" s="23">
        <v>3.0278246415060502E-2</v>
      </c>
      <c r="Y13" s="23">
        <v>1.2445653628494801E-2</v>
      </c>
      <c r="Z13" s="23">
        <v>2.4240163798144601E-2</v>
      </c>
      <c r="AA13" s="23">
        <v>0</v>
      </c>
      <c r="AB13" s="23"/>
      <c r="AC13" s="23">
        <v>1.1775005774774401E-2</v>
      </c>
      <c r="AD13" s="23">
        <v>0</v>
      </c>
      <c r="AE13" s="23">
        <v>3.05139433346031E-2</v>
      </c>
      <c r="AF13" s="23">
        <v>0</v>
      </c>
      <c r="AG13" s="23">
        <v>0</v>
      </c>
      <c r="AH13" s="23"/>
      <c r="AI13" s="23">
        <v>3.6059974701493501E-3</v>
      </c>
      <c r="AJ13" s="23">
        <v>6.4386107443468099E-3</v>
      </c>
      <c r="AK13" s="23">
        <v>0</v>
      </c>
      <c r="AL13" s="23">
        <v>1.0780500166941801E-2</v>
      </c>
      <c r="AM13" s="23">
        <v>0</v>
      </c>
      <c r="AN13" s="23">
        <v>2.38051510846236E-2</v>
      </c>
      <c r="AO13" s="23"/>
      <c r="AP13" s="23">
        <v>1.1021318352342499E-2</v>
      </c>
      <c r="AQ13" s="23">
        <v>1.6947085120864399E-2</v>
      </c>
      <c r="AR13" s="23"/>
      <c r="AS13" s="23" t="s">
        <v>88</v>
      </c>
      <c r="AT13" s="23" t="s">
        <v>88</v>
      </c>
      <c r="AU13" s="23">
        <v>1.35261204695203E-2</v>
      </c>
      <c r="AV13" s="23"/>
      <c r="AW13" s="23">
        <v>1.31922358651887E-2</v>
      </c>
      <c r="AX13" s="23">
        <v>0</v>
      </c>
      <c r="AY13" s="23"/>
      <c r="AZ13" s="23">
        <v>7.9129758823940008E-3</v>
      </c>
      <c r="BA13" s="23">
        <v>3.9174174880672097E-2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B2:BA17"/>
  <sheetViews>
    <sheetView showGridLines="0" topLeftCell="A6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394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541</v>
      </c>
      <c r="D7" s="10">
        <v>234</v>
      </c>
      <c r="E7" s="10">
        <v>307</v>
      </c>
      <c r="F7" s="10"/>
      <c r="G7" s="10" t="s">
        <v>87</v>
      </c>
      <c r="H7" s="10">
        <v>55</v>
      </c>
      <c r="I7" s="10">
        <v>223</v>
      </c>
      <c r="J7" s="10">
        <v>191</v>
      </c>
      <c r="K7" s="10">
        <v>58</v>
      </c>
      <c r="L7" s="10">
        <v>14</v>
      </c>
      <c r="M7" s="10"/>
      <c r="N7" s="10">
        <v>248</v>
      </c>
      <c r="O7" s="10">
        <v>123</v>
      </c>
      <c r="P7" s="10">
        <v>79</v>
      </c>
      <c r="Q7" s="10">
        <v>87</v>
      </c>
      <c r="R7" s="10"/>
      <c r="S7" s="10">
        <v>120</v>
      </c>
      <c r="T7" s="10">
        <v>78</v>
      </c>
      <c r="U7" s="10">
        <v>35</v>
      </c>
      <c r="V7" s="10">
        <v>43</v>
      </c>
      <c r="W7" s="10">
        <v>46</v>
      </c>
      <c r="X7" s="10">
        <v>67</v>
      </c>
      <c r="Y7" s="10">
        <v>54</v>
      </c>
      <c r="Z7" s="10">
        <v>33</v>
      </c>
      <c r="AA7" s="10">
        <v>65</v>
      </c>
      <c r="AB7" s="10"/>
      <c r="AC7" s="10">
        <v>84</v>
      </c>
      <c r="AD7" s="10">
        <v>103</v>
      </c>
      <c r="AE7" s="10">
        <v>163</v>
      </c>
      <c r="AF7" s="10">
        <v>123</v>
      </c>
      <c r="AG7" s="10">
        <v>23</v>
      </c>
      <c r="AH7" s="10"/>
      <c r="AI7" s="10">
        <v>211</v>
      </c>
      <c r="AJ7" s="10">
        <v>106</v>
      </c>
      <c r="AK7" s="10">
        <v>53</v>
      </c>
      <c r="AL7" s="10">
        <v>72</v>
      </c>
      <c r="AM7" s="10">
        <v>30</v>
      </c>
      <c r="AN7" s="10">
        <v>22</v>
      </c>
      <c r="AO7" s="10"/>
      <c r="AP7" s="10">
        <v>312</v>
      </c>
      <c r="AQ7" s="10">
        <v>228</v>
      </c>
      <c r="AR7" s="10"/>
      <c r="AS7" s="10" t="s">
        <v>87</v>
      </c>
      <c r="AT7" s="10" t="s">
        <v>87</v>
      </c>
      <c r="AU7" s="10">
        <v>541</v>
      </c>
      <c r="AV7" s="10"/>
      <c r="AW7" s="10">
        <v>378</v>
      </c>
      <c r="AX7" s="10">
        <v>126</v>
      </c>
      <c r="AY7" s="10"/>
      <c r="AZ7" s="10">
        <v>452</v>
      </c>
      <c r="BA7" s="10">
        <v>88</v>
      </c>
    </row>
    <row r="8" spans="2:53" ht="30" customHeight="1" x14ac:dyDescent="0.35">
      <c r="B8" s="11" t="s">
        <v>19</v>
      </c>
      <c r="C8" s="11">
        <v>530</v>
      </c>
      <c r="D8" s="11">
        <v>274</v>
      </c>
      <c r="E8" s="11">
        <v>256</v>
      </c>
      <c r="F8" s="11"/>
      <c r="G8" s="11" t="s">
        <v>87</v>
      </c>
      <c r="H8" s="11">
        <v>49</v>
      </c>
      <c r="I8" s="11">
        <v>213</v>
      </c>
      <c r="J8" s="11">
        <v>193</v>
      </c>
      <c r="K8" s="11">
        <v>61</v>
      </c>
      <c r="L8" s="11">
        <v>15</v>
      </c>
      <c r="M8" s="11"/>
      <c r="N8" s="11">
        <v>151</v>
      </c>
      <c r="O8" s="11">
        <v>128</v>
      </c>
      <c r="P8" s="11">
        <v>123</v>
      </c>
      <c r="Q8" s="11">
        <v>124</v>
      </c>
      <c r="R8" s="11"/>
      <c r="S8" s="11">
        <v>101</v>
      </c>
      <c r="T8" s="11">
        <v>80</v>
      </c>
      <c r="U8" s="11">
        <v>42</v>
      </c>
      <c r="V8" s="11">
        <v>54</v>
      </c>
      <c r="W8" s="11">
        <v>57</v>
      </c>
      <c r="X8" s="11">
        <v>59</v>
      </c>
      <c r="Y8" s="11">
        <v>44</v>
      </c>
      <c r="Z8" s="11">
        <v>31</v>
      </c>
      <c r="AA8" s="11">
        <v>63</v>
      </c>
      <c r="AB8" s="11"/>
      <c r="AC8" s="11">
        <v>105</v>
      </c>
      <c r="AD8" s="11">
        <v>116</v>
      </c>
      <c r="AE8" s="11">
        <v>151</v>
      </c>
      <c r="AF8" s="11">
        <v>95</v>
      </c>
      <c r="AG8" s="11">
        <v>14</v>
      </c>
      <c r="AH8" s="11"/>
      <c r="AI8" s="11">
        <v>194</v>
      </c>
      <c r="AJ8" s="11">
        <v>103</v>
      </c>
      <c r="AK8" s="11">
        <v>47</v>
      </c>
      <c r="AL8" s="11">
        <v>80</v>
      </c>
      <c r="AM8" s="11">
        <v>30</v>
      </c>
      <c r="AN8" s="11">
        <v>23</v>
      </c>
      <c r="AO8" s="11"/>
      <c r="AP8" s="11">
        <v>304</v>
      </c>
      <c r="AQ8" s="11">
        <v>225</v>
      </c>
      <c r="AR8" s="11"/>
      <c r="AS8" s="11" t="s">
        <v>87</v>
      </c>
      <c r="AT8" s="11" t="s">
        <v>87</v>
      </c>
      <c r="AU8" s="11">
        <v>530</v>
      </c>
      <c r="AV8" s="11"/>
      <c r="AW8" s="11">
        <v>386</v>
      </c>
      <c r="AX8" s="11">
        <v>103</v>
      </c>
      <c r="AY8" s="11"/>
      <c r="AZ8" s="11">
        <v>434</v>
      </c>
      <c r="BA8" s="11">
        <v>96</v>
      </c>
    </row>
    <row r="9" spans="2:53" ht="29" x14ac:dyDescent="0.35">
      <c r="B9" s="15" t="s">
        <v>231</v>
      </c>
      <c r="C9" s="14">
        <v>0.10248322770995801</v>
      </c>
      <c r="D9" s="14">
        <v>0.12205226911608</v>
      </c>
      <c r="E9" s="14">
        <v>8.1544242012683302E-2</v>
      </c>
      <c r="F9" s="14"/>
      <c r="G9" s="14" t="s">
        <v>88</v>
      </c>
      <c r="H9" s="14">
        <v>0.130769305842594</v>
      </c>
      <c r="I9" s="14">
        <v>0.13339846504480399</v>
      </c>
      <c r="J9" s="14">
        <v>6.91481629962101E-2</v>
      </c>
      <c r="K9" s="14">
        <v>6.2715651628951305E-2</v>
      </c>
      <c r="L9" s="14">
        <v>0.164211830627081</v>
      </c>
      <c r="M9" s="14"/>
      <c r="N9" s="14">
        <v>0.10242801759813901</v>
      </c>
      <c r="O9" s="14">
        <v>4.7247044592404197E-2</v>
      </c>
      <c r="P9" s="14">
        <v>0.16884688004675599</v>
      </c>
      <c r="Q9" s="14">
        <v>9.6941418877076593E-2</v>
      </c>
      <c r="R9" s="14"/>
      <c r="S9" s="14">
        <v>0.16840429022082101</v>
      </c>
      <c r="T9" s="14">
        <v>7.6808749604910798E-2</v>
      </c>
      <c r="U9" s="14">
        <v>6.9418318247723002E-2</v>
      </c>
      <c r="V9" s="14">
        <v>0.10812940170039299</v>
      </c>
      <c r="W9" s="14">
        <v>5.6313968336517597E-2</v>
      </c>
      <c r="X9" s="14">
        <v>9.9521778931956406E-2</v>
      </c>
      <c r="Y9" s="14">
        <v>0.107752397214784</v>
      </c>
      <c r="Z9" s="14">
        <v>0.147843579993471</v>
      </c>
      <c r="AA9" s="14">
        <v>6.5042723388935506E-2</v>
      </c>
      <c r="AB9" s="14"/>
      <c r="AC9" s="14">
        <v>9.2833974347518694E-2</v>
      </c>
      <c r="AD9" s="14">
        <v>8.2054244075575294E-2</v>
      </c>
      <c r="AE9" s="14">
        <v>8.9408317583705502E-2</v>
      </c>
      <c r="AF9" s="14">
        <v>0.178321359890944</v>
      </c>
      <c r="AG9" s="14">
        <v>3.6103445911323001E-2</v>
      </c>
      <c r="AH9" s="14"/>
      <c r="AI9" s="14">
        <v>0.10614525138660701</v>
      </c>
      <c r="AJ9" s="14">
        <v>0.10955851676613899</v>
      </c>
      <c r="AK9" s="14">
        <v>0.11668035959368001</v>
      </c>
      <c r="AL9" s="14">
        <v>5.8947162816499699E-2</v>
      </c>
      <c r="AM9" s="14">
        <v>0.18763411623238399</v>
      </c>
      <c r="AN9" s="14">
        <v>0</v>
      </c>
      <c r="AO9" s="14"/>
      <c r="AP9" s="14">
        <v>8.8132688441518101E-2</v>
      </c>
      <c r="AQ9" s="14">
        <v>0.122154378983086</v>
      </c>
      <c r="AR9" s="14"/>
      <c r="AS9" s="14" t="s">
        <v>88</v>
      </c>
      <c r="AT9" s="14" t="s">
        <v>88</v>
      </c>
      <c r="AU9" s="14">
        <v>0.10248322770995801</v>
      </c>
      <c r="AV9" s="14"/>
      <c r="AW9" s="14">
        <v>9.1476057633458896E-2</v>
      </c>
      <c r="AX9" s="14">
        <v>0.16889534146923299</v>
      </c>
      <c r="AY9" s="14"/>
      <c r="AZ9" s="14">
        <v>0.109760480471687</v>
      </c>
      <c r="BA9" s="14">
        <v>7.0561188557104498E-2</v>
      </c>
    </row>
    <row r="10" spans="2:53" ht="29" x14ac:dyDescent="0.35">
      <c r="B10" s="15" t="s">
        <v>232</v>
      </c>
      <c r="C10" s="14">
        <v>0.70131851766018805</v>
      </c>
      <c r="D10" s="14">
        <v>0.69064120362430004</v>
      </c>
      <c r="E10" s="14">
        <v>0.71274330445699097</v>
      </c>
      <c r="F10" s="14"/>
      <c r="G10" s="14" t="s">
        <v>88</v>
      </c>
      <c r="H10" s="14">
        <v>0.64537466446922298</v>
      </c>
      <c r="I10" s="14">
        <v>0.66642829798971703</v>
      </c>
      <c r="J10" s="14">
        <v>0.73685062749688301</v>
      </c>
      <c r="K10" s="14">
        <v>0.78323295889686695</v>
      </c>
      <c r="L10" s="14">
        <v>0.58504831000814606</v>
      </c>
      <c r="M10" s="14"/>
      <c r="N10" s="14">
        <v>0.68959864949939997</v>
      </c>
      <c r="O10" s="14">
        <v>0.73898515294964895</v>
      </c>
      <c r="P10" s="14">
        <v>0.63192380138446902</v>
      </c>
      <c r="Q10" s="14">
        <v>0.74263198911087402</v>
      </c>
      <c r="R10" s="14"/>
      <c r="S10" s="14">
        <v>0.69802071118922804</v>
      </c>
      <c r="T10" s="14">
        <v>0.72857052321099702</v>
      </c>
      <c r="U10" s="14">
        <v>0.75504707692539197</v>
      </c>
      <c r="V10" s="14">
        <v>0.62560251185590299</v>
      </c>
      <c r="W10" s="14">
        <v>0.62736748015761801</v>
      </c>
      <c r="X10" s="14">
        <v>0.73590933131252001</v>
      </c>
      <c r="Y10" s="14">
        <v>0.72245160181456602</v>
      </c>
      <c r="Z10" s="14">
        <v>0.63256887403894102</v>
      </c>
      <c r="AA10" s="14">
        <v>0.75460847757541505</v>
      </c>
      <c r="AB10" s="14"/>
      <c r="AC10" s="14">
        <v>0.70667580912363004</v>
      </c>
      <c r="AD10" s="14">
        <v>0.68880821208313303</v>
      </c>
      <c r="AE10" s="14">
        <v>0.71559763813536803</v>
      </c>
      <c r="AF10" s="14">
        <v>0.62970320177427097</v>
      </c>
      <c r="AG10" s="14">
        <v>0.68919237616446005</v>
      </c>
      <c r="AH10" s="14"/>
      <c r="AI10" s="14">
        <v>0.716055700870319</v>
      </c>
      <c r="AJ10" s="14">
        <v>0.68472757498704195</v>
      </c>
      <c r="AK10" s="14">
        <v>0.70819013848770596</v>
      </c>
      <c r="AL10" s="14">
        <v>0.71991847184290203</v>
      </c>
      <c r="AM10" s="14">
        <v>0.63143356549025698</v>
      </c>
      <c r="AN10" s="14">
        <v>0.82105223533698901</v>
      </c>
      <c r="AO10" s="14"/>
      <c r="AP10" s="14">
        <v>0.72329046292554999</v>
      </c>
      <c r="AQ10" s="14">
        <v>0.67079333670543795</v>
      </c>
      <c r="AR10" s="14"/>
      <c r="AS10" s="14" t="s">
        <v>88</v>
      </c>
      <c r="AT10" s="14" t="s">
        <v>88</v>
      </c>
      <c r="AU10" s="14">
        <v>0.70131851766018805</v>
      </c>
      <c r="AV10" s="14"/>
      <c r="AW10" s="14">
        <v>0.74441301700754103</v>
      </c>
      <c r="AX10" s="14">
        <v>0.57966225558267903</v>
      </c>
      <c r="AY10" s="14"/>
      <c r="AZ10" s="14">
        <v>0.68784787890810495</v>
      </c>
      <c r="BA10" s="14">
        <v>0.75920068887456504</v>
      </c>
    </row>
    <row r="11" spans="2:53" ht="29" x14ac:dyDescent="0.35">
      <c r="B11" s="15" t="s">
        <v>233</v>
      </c>
      <c r="C11" s="14">
        <v>0.14243049151232801</v>
      </c>
      <c r="D11" s="14">
        <v>0.143244864156052</v>
      </c>
      <c r="E11" s="14">
        <v>0.14155910814789599</v>
      </c>
      <c r="F11" s="14"/>
      <c r="G11" s="14" t="s">
        <v>88</v>
      </c>
      <c r="H11" s="14">
        <v>0.166543686710416</v>
      </c>
      <c r="I11" s="14">
        <v>0.15479889759044099</v>
      </c>
      <c r="J11" s="14">
        <v>0.13976760791847501</v>
      </c>
      <c r="K11" s="14">
        <v>8.6528872403753898E-2</v>
      </c>
      <c r="L11" s="14">
        <v>0.14994321969640101</v>
      </c>
      <c r="M11" s="14"/>
      <c r="N11" s="14">
        <v>0.14316111119234301</v>
      </c>
      <c r="O11" s="14">
        <v>0.12814062554136599</v>
      </c>
      <c r="P11" s="14">
        <v>0.19051118049164401</v>
      </c>
      <c r="Q11" s="14">
        <v>0.113254910232519</v>
      </c>
      <c r="R11" s="14"/>
      <c r="S11" s="14">
        <v>0.107982215398336</v>
      </c>
      <c r="T11" s="14">
        <v>0.16588895647055901</v>
      </c>
      <c r="U11" s="14">
        <v>8.4877426220347496E-2</v>
      </c>
      <c r="V11" s="14">
        <v>0.21097840429048001</v>
      </c>
      <c r="W11" s="14">
        <v>0.18714034815498701</v>
      </c>
      <c r="X11" s="14">
        <v>0.122434303660162</v>
      </c>
      <c r="Y11" s="14">
        <v>0.15354083332225801</v>
      </c>
      <c r="Z11" s="14">
        <v>0.11230583981113899</v>
      </c>
      <c r="AA11" s="14">
        <v>0.13276884627663099</v>
      </c>
      <c r="AB11" s="14"/>
      <c r="AC11" s="14">
        <v>0.15607932224502399</v>
      </c>
      <c r="AD11" s="14">
        <v>0.17829603206344599</v>
      </c>
      <c r="AE11" s="14">
        <v>0.118335313178901</v>
      </c>
      <c r="AF11" s="14">
        <v>0.15329471258890001</v>
      </c>
      <c r="AG11" s="14">
        <v>0.27470417792421697</v>
      </c>
      <c r="AH11" s="14"/>
      <c r="AI11" s="14">
        <v>0.13603549180198901</v>
      </c>
      <c r="AJ11" s="14">
        <v>0.175946086579919</v>
      </c>
      <c r="AK11" s="14">
        <v>0.116230301397497</v>
      </c>
      <c r="AL11" s="14">
        <v>0.15619710746370999</v>
      </c>
      <c r="AM11" s="14">
        <v>0.174221785448714</v>
      </c>
      <c r="AN11" s="14">
        <v>9.5073964434479893E-2</v>
      </c>
      <c r="AO11" s="14"/>
      <c r="AP11" s="14">
        <v>0.143486565503436</v>
      </c>
      <c r="AQ11" s="14">
        <v>0.14141331565127499</v>
      </c>
      <c r="AR11" s="14"/>
      <c r="AS11" s="14" t="s">
        <v>88</v>
      </c>
      <c r="AT11" s="14" t="s">
        <v>88</v>
      </c>
      <c r="AU11" s="14">
        <v>0.14243049151232801</v>
      </c>
      <c r="AV11" s="14"/>
      <c r="AW11" s="14">
        <v>0.111431390427884</v>
      </c>
      <c r="AX11" s="14">
        <v>0.22125972254780299</v>
      </c>
      <c r="AY11" s="14"/>
      <c r="AZ11" s="14">
        <v>0.15955432685246199</v>
      </c>
      <c r="BA11" s="14">
        <v>6.6222123752340697E-2</v>
      </c>
    </row>
    <row r="12" spans="2:53" x14ac:dyDescent="0.35">
      <c r="B12" s="15" t="s">
        <v>116</v>
      </c>
      <c r="C12" s="23">
        <v>5.3767763117526297E-2</v>
      </c>
      <c r="D12" s="23">
        <v>4.4061663103568099E-2</v>
      </c>
      <c r="E12" s="23">
        <v>6.4153345382429602E-2</v>
      </c>
      <c r="F12" s="23"/>
      <c r="G12" s="23" t="s">
        <v>88</v>
      </c>
      <c r="H12" s="23">
        <v>5.7312342977767397E-2</v>
      </c>
      <c r="I12" s="23">
        <v>4.5374339375038299E-2</v>
      </c>
      <c r="J12" s="23">
        <v>5.4233601588432101E-2</v>
      </c>
      <c r="K12" s="23">
        <v>6.7522517070427807E-2</v>
      </c>
      <c r="L12" s="23">
        <v>0.100796639668372</v>
      </c>
      <c r="M12" s="23"/>
      <c r="N12" s="23">
        <v>6.4812221710118301E-2</v>
      </c>
      <c r="O12" s="23">
        <v>8.56271769165807E-2</v>
      </c>
      <c r="P12" s="23">
        <v>8.7181380771315098E-3</v>
      </c>
      <c r="Q12" s="23">
        <v>4.7171681779530399E-2</v>
      </c>
      <c r="R12" s="23"/>
      <c r="S12" s="23">
        <v>2.55927831916163E-2</v>
      </c>
      <c r="T12" s="23">
        <v>2.8731770713533701E-2</v>
      </c>
      <c r="U12" s="23">
        <v>9.0657178606538005E-2</v>
      </c>
      <c r="V12" s="23">
        <v>5.5289682153224502E-2</v>
      </c>
      <c r="W12" s="23">
        <v>0.12917820335087801</v>
      </c>
      <c r="X12" s="23">
        <v>4.2134586095360999E-2</v>
      </c>
      <c r="Y12" s="23">
        <v>1.62551676483919E-2</v>
      </c>
      <c r="Z12" s="23">
        <v>0.107281706156449</v>
      </c>
      <c r="AA12" s="23">
        <v>4.75799527590186E-2</v>
      </c>
      <c r="AB12" s="23"/>
      <c r="AC12" s="23">
        <v>4.4410894283826899E-2</v>
      </c>
      <c r="AD12" s="23">
        <v>5.0841511777845801E-2</v>
      </c>
      <c r="AE12" s="23">
        <v>7.6658731102025396E-2</v>
      </c>
      <c r="AF12" s="23">
        <v>3.86807257458847E-2</v>
      </c>
      <c r="AG12" s="23">
        <v>0</v>
      </c>
      <c r="AH12" s="23"/>
      <c r="AI12" s="23">
        <v>4.1763555941085002E-2</v>
      </c>
      <c r="AJ12" s="23">
        <v>2.9767821666900399E-2</v>
      </c>
      <c r="AK12" s="23">
        <v>5.8899200521117898E-2</v>
      </c>
      <c r="AL12" s="23">
        <v>6.4937257876888199E-2</v>
      </c>
      <c r="AM12" s="23">
        <v>6.7105328286444698E-3</v>
      </c>
      <c r="AN12" s="23">
        <v>8.38738002285314E-2</v>
      </c>
      <c r="AO12" s="23"/>
      <c r="AP12" s="23">
        <v>4.5090283129495798E-2</v>
      </c>
      <c r="AQ12" s="23">
        <v>6.5638968660200595E-2</v>
      </c>
      <c r="AR12" s="23"/>
      <c r="AS12" s="23" t="s">
        <v>88</v>
      </c>
      <c r="AT12" s="23" t="s">
        <v>88</v>
      </c>
      <c r="AU12" s="23">
        <v>5.3767763117526297E-2</v>
      </c>
      <c r="AV12" s="23"/>
      <c r="AW12" s="23">
        <v>5.2679534931116698E-2</v>
      </c>
      <c r="AX12" s="23">
        <v>3.0182680400284299E-2</v>
      </c>
      <c r="AY12" s="23"/>
      <c r="AZ12" s="23">
        <v>4.2837313767746299E-2</v>
      </c>
      <c r="BA12" s="23">
        <v>0.10401599881599</v>
      </c>
    </row>
    <row r="13" spans="2:53" x14ac:dyDescent="0.35">
      <c r="B13" s="16" t="s">
        <v>463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B2:BA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395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541</v>
      </c>
      <c r="D7" s="10">
        <v>234</v>
      </c>
      <c r="E7" s="10">
        <v>307</v>
      </c>
      <c r="F7" s="10"/>
      <c r="G7" s="10" t="s">
        <v>87</v>
      </c>
      <c r="H7" s="10">
        <v>55</v>
      </c>
      <c r="I7" s="10">
        <v>223</v>
      </c>
      <c r="J7" s="10">
        <v>191</v>
      </c>
      <c r="K7" s="10">
        <v>58</v>
      </c>
      <c r="L7" s="10">
        <v>14</v>
      </c>
      <c r="M7" s="10"/>
      <c r="N7" s="10">
        <v>248</v>
      </c>
      <c r="O7" s="10">
        <v>123</v>
      </c>
      <c r="P7" s="10">
        <v>79</v>
      </c>
      <c r="Q7" s="10">
        <v>87</v>
      </c>
      <c r="R7" s="10"/>
      <c r="S7" s="10">
        <v>120</v>
      </c>
      <c r="T7" s="10">
        <v>78</v>
      </c>
      <c r="U7" s="10">
        <v>35</v>
      </c>
      <c r="V7" s="10">
        <v>43</v>
      </c>
      <c r="W7" s="10">
        <v>46</v>
      </c>
      <c r="X7" s="10">
        <v>67</v>
      </c>
      <c r="Y7" s="10">
        <v>54</v>
      </c>
      <c r="Z7" s="10">
        <v>33</v>
      </c>
      <c r="AA7" s="10">
        <v>65</v>
      </c>
      <c r="AB7" s="10"/>
      <c r="AC7" s="10">
        <v>84</v>
      </c>
      <c r="AD7" s="10">
        <v>103</v>
      </c>
      <c r="AE7" s="10">
        <v>163</v>
      </c>
      <c r="AF7" s="10">
        <v>123</v>
      </c>
      <c r="AG7" s="10">
        <v>23</v>
      </c>
      <c r="AH7" s="10"/>
      <c r="AI7" s="10">
        <v>211</v>
      </c>
      <c r="AJ7" s="10">
        <v>106</v>
      </c>
      <c r="AK7" s="10">
        <v>53</v>
      </c>
      <c r="AL7" s="10">
        <v>72</v>
      </c>
      <c r="AM7" s="10">
        <v>30</v>
      </c>
      <c r="AN7" s="10">
        <v>22</v>
      </c>
      <c r="AO7" s="10"/>
      <c r="AP7" s="10">
        <v>312</v>
      </c>
      <c r="AQ7" s="10">
        <v>228</v>
      </c>
      <c r="AR7" s="10"/>
      <c r="AS7" s="10" t="s">
        <v>87</v>
      </c>
      <c r="AT7" s="10" t="s">
        <v>87</v>
      </c>
      <c r="AU7" s="10">
        <v>541</v>
      </c>
      <c r="AV7" s="10"/>
      <c r="AW7" s="10">
        <v>378</v>
      </c>
      <c r="AX7" s="10">
        <v>126</v>
      </c>
      <c r="AY7" s="10"/>
      <c r="AZ7" s="10">
        <v>452</v>
      </c>
      <c r="BA7" s="10">
        <v>88</v>
      </c>
    </row>
    <row r="8" spans="2:53" ht="30" customHeight="1" x14ac:dyDescent="0.35">
      <c r="B8" s="11" t="s">
        <v>19</v>
      </c>
      <c r="C8" s="11">
        <v>530</v>
      </c>
      <c r="D8" s="11">
        <v>274</v>
      </c>
      <c r="E8" s="11">
        <v>256</v>
      </c>
      <c r="F8" s="11"/>
      <c r="G8" s="11" t="s">
        <v>87</v>
      </c>
      <c r="H8" s="11">
        <v>49</v>
      </c>
      <c r="I8" s="11">
        <v>213</v>
      </c>
      <c r="J8" s="11">
        <v>193</v>
      </c>
      <c r="K8" s="11">
        <v>61</v>
      </c>
      <c r="L8" s="11">
        <v>15</v>
      </c>
      <c r="M8" s="11"/>
      <c r="N8" s="11">
        <v>151</v>
      </c>
      <c r="O8" s="11">
        <v>128</v>
      </c>
      <c r="P8" s="11">
        <v>123</v>
      </c>
      <c r="Q8" s="11">
        <v>124</v>
      </c>
      <c r="R8" s="11"/>
      <c r="S8" s="11">
        <v>101</v>
      </c>
      <c r="T8" s="11">
        <v>80</v>
      </c>
      <c r="U8" s="11">
        <v>42</v>
      </c>
      <c r="V8" s="11">
        <v>54</v>
      </c>
      <c r="W8" s="11">
        <v>57</v>
      </c>
      <c r="X8" s="11">
        <v>59</v>
      </c>
      <c r="Y8" s="11">
        <v>44</v>
      </c>
      <c r="Z8" s="11">
        <v>31</v>
      </c>
      <c r="AA8" s="11">
        <v>63</v>
      </c>
      <c r="AB8" s="11"/>
      <c r="AC8" s="11">
        <v>105</v>
      </c>
      <c r="AD8" s="11">
        <v>116</v>
      </c>
      <c r="AE8" s="11">
        <v>151</v>
      </c>
      <c r="AF8" s="11">
        <v>95</v>
      </c>
      <c r="AG8" s="11">
        <v>14</v>
      </c>
      <c r="AH8" s="11"/>
      <c r="AI8" s="11">
        <v>194</v>
      </c>
      <c r="AJ8" s="11">
        <v>103</v>
      </c>
      <c r="AK8" s="11">
        <v>47</v>
      </c>
      <c r="AL8" s="11">
        <v>80</v>
      </c>
      <c r="AM8" s="11">
        <v>30</v>
      </c>
      <c r="AN8" s="11">
        <v>23</v>
      </c>
      <c r="AO8" s="11"/>
      <c r="AP8" s="11">
        <v>304</v>
      </c>
      <c r="AQ8" s="11">
        <v>225</v>
      </c>
      <c r="AR8" s="11"/>
      <c r="AS8" s="11" t="s">
        <v>87</v>
      </c>
      <c r="AT8" s="11" t="s">
        <v>87</v>
      </c>
      <c r="AU8" s="11">
        <v>530</v>
      </c>
      <c r="AV8" s="11"/>
      <c r="AW8" s="11">
        <v>386</v>
      </c>
      <c r="AX8" s="11">
        <v>103</v>
      </c>
      <c r="AY8" s="11"/>
      <c r="AZ8" s="11">
        <v>434</v>
      </c>
      <c r="BA8" s="11">
        <v>96</v>
      </c>
    </row>
    <row r="9" spans="2:53" x14ac:dyDescent="0.35">
      <c r="B9" s="15" t="s">
        <v>235</v>
      </c>
      <c r="C9" s="14">
        <v>0.31776054746176302</v>
      </c>
      <c r="D9" s="14">
        <v>0.35169361578688302</v>
      </c>
      <c r="E9" s="14">
        <v>0.28145197119690601</v>
      </c>
      <c r="F9" s="14"/>
      <c r="G9" s="14" t="s">
        <v>88</v>
      </c>
      <c r="H9" s="14">
        <v>0.32684181236491</v>
      </c>
      <c r="I9" s="14">
        <v>0.30166377448946602</v>
      </c>
      <c r="J9" s="14">
        <v>0.29288191092257398</v>
      </c>
      <c r="K9" s="14">
        <v>0.38116146031098802</v>
      </c>
      <c r="L9" s="14">
        <v>0.58670669226088001</v>
      </c>
      <c r="M9" s="14"/>
      <c r="N9" s="14">
        <v>0.41643870150274398</v>
      </c>
      <c r="O9" s="14">
        <v>0.307272795084925</v>
      </c>
      <c r="P9" s="14">
        <v>0.20893035698738899</v>
      </c>
      <c r="Q9" s="14">
        <v>0.32078982247909099</v>
      </c>
      <c r="R9" s="14"/>
      <c r="S9" s="14">
        <v>0.44099911968905398</v>
      </c>
      <c r="T9" s="14">
        <v>0.27266124697656002</v>
      </c>
      <c r="U9" s="14">
        <v>0.223756805930203</v>
      </c>
      <c r="V9" s="14">
        <v>0.25946995641852999</v>
      </c>
      <c r="W9" s="14">
        <v>0.31612129634903002</v>
      </c>
      <c r="X9" s="14">
        <v>0.31883485704070302</v>
      </c>
      <c r="Y9" s="14">
        <v>0.29000773807728703</v>
      </c>
      <c r="Z9" s="14">
        <v>0.26377604157928602</v>
      </c>
      <c r="AA9" s="14">
        <v>0.33697884019730201</v>
      </c>
      <c r="AB9" s="14"/>
      <c r="AC9" s="14">
        <v>0.32709971412739097</v>
      </c>
      <c r="AD9" s="14">
        <v>0.290695682157458</v>
      </c>
      <c r="AE9" s="14">
        <v>0.29252738108617499</v>
      </c>
      <c r="AF9" s="14">
        <v>0.33682385532301701</v>
      </c>
      <c r="AG9" s="14">
        <v>0.62935062337421899</v>
      </c>
      <c r="AH9" s="14"/>
      <c r="AI9" s="14">
        <v>0.395551176751894</v>
      </c>
      <c r="AJ9" s="14">
        <v>0.28086736721730099</v>
      </c>
      <c r="AK9" s="14">
        <v>0.29689288265860497</v>
      </c>
      <c r="AL9" s="14">
        <v>0.324961478678085</v>
      </c>
      <c r="AM9" s="14">
        <v>0.29930518691834201</v>
      </c>
      <c r="AN9" s="14">
        <v>0.15628898633079399</v>
      </c>
      <c r="AO9" s="14"/>
      <c r="AP9" s="14">
        <v>0.37654448342756203</v>
      </c>
      <c r="AQ9" s="14">
        <v>0.239298792745647</v>
      </c>
      <c r="AR9" s="14"/>
      <c r="AS9" s="14" t="s">
        <v>88</v>
      </c>
      <c r="AT9" s="14" t="s">
        <v>88</v>
      </c>
      <c r="AU9" s="14">
        <v>0.31776054746176302</v>
      </c>
      <c r="AV9" s="14"/>
      <c r="AW9" s="14">
        <v>0.30447076682792101</v>
      </c>
      <c r="AX9" s="14">
        <v>0.41075583143598998</v>
      </c>
      <c r="AY9" s="14"/>
      <c r="AZ9" s="14">
        <v>0.33344873208147202</v>
      </c>
      <c r="BA9" s="14">
        <v>0.25001637901364798</v>
      </c>
    </row>
    <row r="10" spans="2:53" x14ac:dyDescent="0.35">
      <c r="B10" s="15" t="s">
        <v>236</v>
      </c>
      <c r="C10" s="14">
        <v>0.54972539231138695</v>
      </c>
      <c r="D10" s="14">
        <v>0.55413908874312401</v>
      </c>
      <c r="E10" s="14">
        <v>0.54500271200537298</v>
      </c>
      <c r="F10" s="14"/>
      <c r="G10" s="14" t="s">
        <v>88</v>
      </c>
      <c r="H10" s="14">
        <v>0.506602117753438</v>
      </c>
      <c r="I10" s="14">
        <v>0.55325876939766006</v>
      </c>
      <c r="J10" s="14">
        <v>0.57014969990933895</v>
      </c>
      <c r="K10" s="14">
        <v>0.55739014738702897</v>
      </c>
      <c r="L10" s="14">
        <v>0.33995225060402301</v>
      </c>
      <c r="M10" s="14"/>
      <c r="N10" s="14">
        <v>0.47487515795413698</v>
      </c>
      <c r="O10" s="14">
        <v>0.53699129912587495</v>
      </c>
      <c r="P10" s="14">
        <v>0.62741744239519304</v>
      </c>
      <c r="Q10" s="14">
        <v>0.56796286702005805</v>
      </c>
      <c r="R10" s="14"/>
      <c r="S10" s="14">
        <v>0.50464696490721594</v>
      </c>
      <c r="T10" s="14">
        <v>0.56043259517021404</v>
      </c>
      <c r="U10" s="14">
        <v>0.56963453627843996</v>
      </c>
      <c r="V10" s="14">
        <v>0.59707878889504395</v>
      </c>
      <c r="W10" s="14">
        <v>0.48260272977511898</v>
      </c>
      <c r="X10" s="14">
        <v>0.50920901138368502</v>
      </c>
      <c r="Y10" s="14">
        <v>0.58436953213068399</v>
      </c>
      <c r="Z10" s="14">
        <v>0.58473014859763095</v>
      </c>
      <c r="AA10" s="14">
        <v>0.61129977439735705</v>
      </c>
      <c r="AB10" s="14"/>
      <c r="AC10" s="14">
        <v>0.54008462252789002</v>
      </c>
      <c r="AD10" s="14">
        <v>0.57122698511078496</v>
      </c>
      <c r="AE10" s="14">
        <v>0.55995127512239096</v>
      </c>
      <c r="AF10" s="14">
        <v>0.55803619139784399</v>
      </c>
      <c r="AG10" s="14">
        <v>0.306609899265541</v>
      </c>
      <c r="AH10" s="14"/>
      <c r="AI10" s="14">
        <v>0.51450138135965096</v>
      </c>
      <c r="AJ10" s="14">
        <v>0.57761911163886004</v>
      </c>
      <c r="AK10" s="14">
        <v>0.538327077043394</v>
      </c>
      <c r="AL10" s="14">
        <v>0.55166901987197603</v>
      </c>
      <c r="AM10" s="14">
        <v>0.58120244083453099</v>
      </c>
      <c r="AN10" s="14">
        <v>0.54898189269521103</v>
      </c>
      <c r="AO10" s="14"/>
      <c r="AP10" s="14">
        <v>0.53995687184095098</v>
      </c>
      <c r="AQ10" s="14">
        <v>0.56162309432153301</v>
      </c>
      <c r="AR10" s="14"/>
      <c r="AS10" s="14" t="s">
        <v>88</v>
      </c>
      <c r="AT10" s="14" t="s">
        <v>88</v>
      </c>
      <c r="AU10" s="14">
        <v>0.54972539231138695</v>
      </c>
      <c r="AV10" s="14"/>
      <c r="AW10" s="14">
        <v>0.55130937720086803</v>
      </c>
      <c r="AX10" s="14">
        <v>0.539756598056232</v>
      </c>
      <c r="AY10" s="14"/>
      <c r="AZ10" s="14">
        <v>0.54231773706002395</v>
      </c>
      <c r="BA10" s="14">
        <v>0.57838631346465996</v>
      </c>
    </row>
    <row r="11" spans="2:53" x14ac:dyDescent="0.35">
      <c r="B11" s="15" t="s">
        <v>237</v>
      </c>
      <c r="C11" s="14">
        <v>9.8662201299344304E-2</v>
      </c>
      <c r="D11" s="14">
        <v>6.8498638204646994E-2</v>
      </c>
      <c r="E11" s="14">
        <v>0.13093738551051801</v>
      </c>
      <c r="F11" s="14"/>
      <c r="G11" s="14" t="s">
        <v>88</v>
      </c>
      <c r="H11" s="14">
        <v>0.166556069881653</v>
      </c>
      <c r="I11" s="14">
        <v>0.10637330169975</v>
      </c>
      <c r="J11" s="14">
        <v>0.102733110454619</v>
      </c>
      <c r="K11" s="14">
        <v>2.8294851807201898E-2</v>
      </c>
      <c r="L11" s="14">
        <v>0</v>
      </c>
      <c r="M11" s="14"/>
      <c r="N11" s="14">
        <v>7.3606173802879996E-2</v>
      </c>
      <c r="O11" s="14">
        <v>0.114304758759934</v>
      </c>
      <c r="P11" s="14">
        <v>0.14549731656267501</v>
      </c>
      <c r="Q11" s="14">
        <v>6.98935716988002E-2</v>
      </c>
      <c r="R11" s="14"/>
      <c r="S11" s="14">
        <v>4.3788064668844502E-2</v>
      </c>
      <c r="T11" s="14">
        <v>0.112792886302182</v>
      </c>
      <c r="U11" s="14">
        <v>0.16150800749816799</v>
      </c>
      <c r="V11" s="14">
        <v>0.12579033301221601</v>
      </c>
      <c r="W11" s="14">
        <v>0.146650406983062</v>
      </c>
      <c r="X11" s="14">
        <v>0.13674833867167399</v>
      </c>
      <c r="Y11" s="14">
        <v>0.100731421318088</v>
      </c>
      <c r="Z11" s="14">
        <v>7.3367402522892103E-2</v>
      </c>
      <c r="AA11" s="14">
        <v>3.5861401152335298E-2</v>
      </c>
      <c r="AB11" s="14"/>
      <c r="AC11" s="14">
        <v>8.2440449947281502E-2</v>
      </c>
      <c r="AD11" s="14">
        <v>0.105781889051853</v>
      </c>
      <c r="AE11" s="14">
        <v>0.104815368014018</v>
      </c>
      <c r="AF11" s="14">
        <v>0.10092817304385999</v>
      </c>
      <c r="AG11" s="14">
        <v>6.4039477360239502E-2</v>
      </c>
      <c r="AH11" s="14"/>
      <c r="AI11" s="14">
        <v>6.2111141871011299E-2</v>
      </c>
      <c r="AJ11" s="14">
        <v>9.6013477901174898E-2</v>
      </c>
      <c r="AK11" s="14">
        <v>0.14630487206878401</v>
      </c>
      <c r="AL11" s="14">
        <v>0.102085982880813</v>
      </c>
      <c r="AM11" s="14">
        <v>0.11278183941848299</v>
      </c>
      <c r="AN11" s="14">
        <v>0.19400114515636499</v>
      </c>
      <c r="AO11" s="14"/>
      <c r="AP11" s="14">
        <v>5.9130240272121097E-2</v>
      </c>
      <c r="AQ11" s="14">
        <v>0.15232393311655501</v>
      </c>
      <c r="AR11" s="14"/>
      <c r="AS11" s="14" t="s">
        <v>88</v>
      </c>
      <c r="AT11" s="14" t="s">
        <v>88</v>
      </c>
      <c r="AU11" s="14">
        <v>9.8662201299344304E-2</v>
      </c>
      <c r="AV11" s="14"/>
      <c r="AW11" s="14">
        <v>0.11343254940516399</v>
      </c>
      <c r="AX11" s="14">
        <v>2.9947495654696898E-2</v>
      </c>
      <c r="AY11" s="14"/>
      <c r="AZ11" s="14">
        <v>9.6131222759186494E-2</v>
      </c>
      <c r="BA11" s="14">
        <v>0.11125255074052499</v>
      </c>
    </row>
    <row r="12" spans="2:53" x14ac:dyDescent="0.35">
      <c r="B12" s="15" t="s">
        <v>238</v>
      </c>
      <c r="C12" s="14">
        <v>1.6980512496625699E-2</v>
      </c>
      <c r="D12" s="14">
        <v>1.43570446212028E-2</v>
      </c>
      <c r="E12" s="14">
        <v>1.9787638056876899E-2</v>
      </c>
      <c r="F12" s="14"/>
      <c r="G12" s="14" t="s">
        <v>88</v>
      </c>
      <c r="H12" s="14">
        <v>0</v>
      </c>
      <c r="I12" s="14">
        <v>2.48145266059966E-2</v>
      </c>
      <c r="J12" s="14">
        <v>1.92440664368068E-2</v>
      </c>
      <c r="K12" s="14">
        <v>0</v>
      </c>
      <c r="L12" s="14">
        <v>0</v>
      </c>
      <c r="M12" s="14"/>
      <c r="N12" s="14">
        <v>2.16547993103656E-2</v>
      </c>
      <c r="O12" s="14">
        <v>1.28624172356586E-2</v>
      </c>
      <c r="P12" s="14">
        <v>8.0209204105351796E-3</v>
      </c>
      <c r="Q12" s="14">
        <v>2.5035156217262801E-2</v>
      </c>
      <c r="R12" s="14"/>
      <c r="S12" s="14">
        <v>0</v>
      </c>
      <c r="T12" s="14">
        <v>3.6024035800088901E-2</v>
      </c>
      <c r="U12" s="14">
        <v>1.92952625582378E-2</v>
      </c>
      <c r="V12" s="14">
        <v>0</v>
      </c>
      <c r="W12" s="14">
        <v>0</v>
      </c>
      <c r="X12" s="14">
        <v>3.52077929039388E-2</v>
      </c>
      <c r="Y12" s="14">
        <v>1.2445654236970799E-2</v>
      </c>
      <c r="Z12" s="14">
        <v>5.3886243502045898E-2</v>
      </c>
      <c r="AA12" s="14">
        <v>1.58599842530062E-2</v>
      </c>
      <c r="AB12" s="14"/>
      <c r="AC12" s="14">
        <v>1.91803871768426E-2</v>
      </c>
      <c r="AD12" s="14">
        <v>2.7561142338511601E-2</v>
      </c>
      <c r="AE12" s="14">
        <v>1.8555964180181701E-2</v>
      </c>
      <c r="AF12" s="14">
        <v>0</v>
      </c>
      <c r="AG12" s="14">
        <v>0</v>
      </c>
      <c r="AH12" s="14"/>
      <c r="AI12" s="14">
        <v>1.8384481296004E-2</v>
      </c>
      <c r="AJ12" s="14">
        <v>4.5500043242663803E-2</v>
      </c>
      <c r="AK12" s="14">
        <v>0</v>
      </c>
      <c r="AL12" s="14">
        <v>9.4634893907496499E-3</v>
      </c>
      <c r="AM12" s="14">
        <v>0</v>
      </c>
      <c r="AN12" s="14">
        <v>0</v>
      </c>
      <c r="AO12" s="14"/>
      <c r="AP12" s="14">
        <v>8.2731318303548105E-3</v>
      </c>
      <c r="AQ12" s="14">
        <v>2.8786505572895901E-2</v>
      </c>
      <c r="AR12" s="14"/>
      <c r="AS12" s="14" t="s">
        <v>88</v>
      </c>
      <c r="AT12" s="14" t="s">
        <v>88</v>
      </c>
      <c r="AU12" s="14">
        <v>1.6980512496625699E-2</v>
      </c>
      <c r="AV12" s="14"/>
      <c r="AW12" s="14">
        <v>1.32469158441894E-2</v>
      </c>
      <c r="AX12" s="14">
        <v>1.9540074853080899E-2</v>
      </c>
      <c r="AY12" s="14"/>
      <c r="AZ12" s="14">
        <v>1.8479626066900099E-2</v>
      </c>
      <c r="BA12" s="14">
        <v>1.03588034045727E-2</v>
      </c>
    </row>
    <row r="13" spans="2:53" x14ac:dyDescent="0.35">
      <c r="B13" s="15" t="s">
        <v>116</v>
      </c>
      <c r="C13" s="23">
        <v>1.6871346430880601E-2</v>
      </c>
      <c r="D13" s="23">
        <v>1.13116126441427E-2</v>
      </c>
      <c r="E13" s="23">
        <v>2.2820293230325601E-2</v>
      </c>
      <c r="F13" s="23"/>
      <c r="G13" s="23" t="s">
        <v>88</v>
      </c>
      <c r="H13" s="23">
        <v>0</v>
      </c>
      <c r="I13" s="23">
        <v>1.3889627807127099E-2</v>
      </c>
      <c r="J13" s="23">
        <v>1.49912122766615E-2</v>
      </c>
      <c r="K13" s="23">
        <v>3.3153540494780399E-2</v>
      </c>
      <c r="L13" s="23">
        <v>7.3341057135097004E-2</v>
      </c>
      <c r="M13" s="23"/>
      <c r="N13" s="23">
        <v>1.34251674298733E-2</v>
      </c>
      <c r="O13" s="23">
        <v>2.8568729793607701E-2</v>
      </c>
      <c r="P13" s="23">
        <v>1.01339636442071E-2</v>
      </c>
      <c r="Q13" s="23">
        <v>1.63185825847879E-2</v>
      </c>
      <c r="R13" s="23"/>
      <c r="S13" s="23">
        <v>1.0565850734885401E-2</v>
      </c>
      <c r="T13" s="23">
        <v>1.80892357509548E-2</v>
      </c>
      <c r="U13" s="23">
        <v>2.58053877349519E-2</v>
      </c>
      <c r="V13" s="23">
        <v>1.7660921674209601E-2</v>
      </c>
      <c r="W13" s="23">
        <v>5.4625566892789502E-2</v>
      </c>
      <c r="X13" s="23">
        <v>0</v>
      </c>
      <c r="Y13" s="23">
        <v>1.2445654236970799E-2</v>
      </c>
      <c r="Z13" s="23">
        <v>2.4240163798144601E-2</v>
      </c>
      <c r="AA13" s="23">
        <v>0</v>
      </c>
      <c r="AB13" s="23"/>
      <c r="AC13" s="23">
        <v>3.1194826220594302E-2</v>
      </c>
      <c r="AD13" s="23">
        <v>4.7343013413933101E-3</v>
      </c>
      <c r="AE13" s="23">
        <v>2.4150011597234299E-2</v>
      </c>
      <c r="AF13" s="23">
        <v>4.2117802352777903E-3</v>
      </c>
      <c r="AG13" s="23">
        <v>0</v>
      </c>
      <c r="AH13" s="23"/>
      <c r="AI13" s="23">
        <v>9.4518187214398704E-3</v>
      </c>
      <c r="AJ13" s="23">
        <v>0</v>
      </c>
      <c r="AK13" s="23">
        <v>1.8475168229217302E-2</v>
      </c>
      <c r="AL13" s="23">
        <v>1.18200291783756E-2</v>
      </c>
      <c r="AM13" s="23">
        <v>6.7105328286444698E-3</v>
      </c>
      <c r="AN13" s="23">
        <v>0.100727975817629</v>
      </c>
      <c r="AO13" s="23"/>
      <c r="AP13" s="23">
        <v>1.6095272629011299E-2</v>
      </c>
      <c r="AQ13" s="23">
        <v>1.79676742433693E-2</v>
      </c>
      <c r="AR13" s="23"/>
      <c r="AS13" s="23" t="s">
        <v>88</v>
      </c>
      <c r="AT13" s="23" t="s">
        <v>88</v>
      </c>
      <c r="AU13" s="23">
        <v>1.6871346430880601E-2</v>
      </c>
      <c r="AV13" s="23"/>
      <c r="AW13" s="23">
        <v>1.7540390721857001E-2</v>
      </c>
      <c r="AX13" s="23">
        <v>0</v>
      </c>
      <c r="AY13" s="23"/>
      <c r="AZ13" s="23">
        <v>9.6226820324171701E-3</v>
      </c>
      <c r="BA13" s="23">
        <v>4.9985953376594998E-2</v>
      </c>
    </row>
    <row r="14" spans="2:53" x14ac:dyDescent="0.35">
      <c r="B14" s="16" t="s">
        <v>463</v>
      </c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B2:BA19"/>
  <sheetViews>
    <sheetView showGridLines="0" workbookViewId="0">
      <pane xSplit="2" topLeftCell="C1" activePane="topRight" state="frozen"/>
      <selection pane="topRight" activeCell="D9" sqref="D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396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541</v>
      </c>
      <c r="D7" s="10">
        <v>234</v>
      </c>
      <c r="E7" s="10">
        <v>307</v>
      </c>
      <c r="F7" s="10"/>
      <c r="G7" s="10" t="s">
        <v>87</v>
      </c>
      <c r="H7" s="10">
        <v>55</v>
      </c>
      <c r="I7" s="10">
        <v>223</v>
      </c>
      <c r="J7" s="10">
        <v>191</v>
      </c>
      <c r="K7" s="10">
        <v>58</v>
      </c>
      <c r="L7" s="10">
        <v>14</v>
      </c>
      <c r="M7" s="10"/>
      <c r="N7" s="10">
        <v>248</v>
      </c>
      <c r="O7" s="10">
        <v>123</v>
      </c>
      <c r="P7" s="10">
        <v>79</v>
      </c>
      <c r="Q7" s="10">
        <v>87</v>
      </c>
      <c r="R7" s="10"/>
      <c r="S7" s="10">
        <v>120</v>
      </c>
      <c r="T7" s="10">
        <v>78</v>
      </c>
      <c r="U7" s="10">
        <v>35</v>
      </c>
      <c r="V7" s="10">
        <v>43</v>
      </c>
      <c r="W7" s="10">
        <v>46</v>
      </c>
      <c r="X7" s="10">
        <v>67</v>
      </c>
      <c r="Y7" s="10">
        <v>54</v>
      </c>
      <c r="Z7" s="10">
        <v>33</v>
      </c>
      <c r="AA7" s="10">
        <v>65</v>
      </c>
      <c r="AB7" s="10"/>
      <c r="AC7" s="10">
        <v>84</v>
      </c>
      <c r="AD7" s="10">
        <v>103</v>
      </c>
      <c r="AE7" s="10">
        <v>163</v>
      </c>
      <c r="AF7" s="10">
        <v>123</v>
      </c>
      <c r="AG7" s="10">
        <v>23</v>
      </c>
      <c r="AH7" s="10"/>
      <c r="AI7" s="10">
        <v>211</v>
      </c>
      <c r="AJ7" s="10">
        <v>106</v>
      </c>
      <c r="AK7" s="10">
        <v>53</v>
      </c>
      <c r="AL7" s="10">
        <v>72</v>
      </c>
      <c r="AM7" s="10">
        <v>30</v>
      </c>
      <c r="AN7" s="10">
        <v>22</v>
      </c>
      <c r="AO7" s="10"/>
      <c r="AP7" s="10">
        <v>312</v>
      </c>
      <c r="AQ7" s="10">
        <v>228</v>
      </c>
      <c r="AR7" s="10"/>
      <c r="AS7" s="10" t="s">
        <v>87</v>
      </c>
      <c r="AT7" s="10" t="s">
        <v>87</v>
      </c>
      <c r="AU7" s="10">
        <v>541</v>
      </c>
      <c r="AV7" s="10"/>
      <c r="AW7" s="10">
        <v>378</v>
      </c>
      <c r="AX7" s="10">
        <v>126</v>
      </c>
      <c r="AY7" s="10"/>
      <c r="AZ7" s="10">
        <v>452</v>
      </c>
      <c r="BA7" s="10">
        <v>88</v>
      </c>
    </row>
    <row r="8" spans="2:53" ht="30" customHeight="1" x14ac:dyDescent="0.35">
      <c r="B8" s="11" t="s">
        <v>19</v>
      </c>
      <c r="C8" s="11">
        <v>530</v>
      </c>
      <c r="D8" s="11">
        <v>274</v>
      </c>
      <c r="E8" s="11">
        <v>256</v>
      </c>
      <c r="F8" s="11"/>
      <c r="G8" s="11" t="s">
        <v>87</v>
      </c>
      <c r="H8" s="11">
        <v>49</v>
      </c>
      <c r="I8" s="11">
        <v>213</v>
      </c>
      <c r="J8" s="11">
        <v>193</v>
      </c>
      <c r="K8" s="11">
        <v>61</v>
      </c>
      <c r="L8" s="11">
        <v>15</v>
      </c>
      <c r="M8" s="11"/>
      <c r="N8" s="11">
        <v>151</v>
      </c>
      <c r="O8" s="11">
        <v>128</v>
      </c>
      <c r="P8" s="11">
        <v>123</v>
      </c>
      <c r="Q8" s="11">
        <v>124</v>
      </c>
      <c r="R8" s="11"/>
      <c r="S8" s="11">
        <v>101</v>
      </c>
      <c r="T8" s="11">
        <v>80</v>
      </c>
      <c r="U8" s="11">
        <v>42</v>
      </c>
      <c r="V8" s="11">
        <v>54</v>
      </c>
      <c r="W8" s="11">
        <v>57</v>
      </c>
      <c r="X8" s="11">
        <v>59</v>
      </c>
      <c r="Y8" s="11">
        <v>44</v>
      </c>
      <c r="Z8" s="11">
        <v>31</v>
      </c>
      <c r="AA8" s="11">
        <v>63</v>
      </c>
      <c r="AB8" s="11"/>
      <c r="AC8" s="11">
        <v>105</v>
      </c>
      <c r="AD8" s="11">
        <v>116</v>
      </c>
      <c r="AE8" s="11">
        <v>151</v>
      </c>
      <c r="AF8" s="11">
        <v>95</v>
      </c>
      <c r="AG8" s="11">
        <v>14</v>
      </c>
      <c r="AH8" s="11"/>
      <c r="AI8" s="11">
        <v>194</v>
      </c>
      <c r="AJ8" s="11">
        <v>103</v>
      </c>
      <c r="AK8" s="11">
        <v>47</v>
      </c>
      <c r="AL8" s="11">
        <v>80</v>
      </c>
      <c r="AM8" s="11">
        <v>30</v>
      </c>
      <c r="AN8" s="11">
        <v>23</v>
      </c>
      <c r="AO8" s="11"/>
      <c r="AP8" s="11">
        <v>304</v>
      </c>
      <c r="AQ8" s="11">
        <v>225</v>
      </c>
      <c r="AR8" s="11"/>
      <c r="AS8" s="11" t="s">
        <v>87</v>
      </c>
      <c r="AT8" s="11" t="s">
        <v>87</v>
      </c>
      <c r="AU8" s="11">
        <v>530</v>
      </c>
      <c r="AV8" s="11"/>
      <c r="AW8" s="11">
        <v>386</v>
      </c>
      <c r="AX8" s="11">
        <v>103</v>
      </c>
      <c r="AY8" s="11"/>
      <c r="AZ8" s="11">
        <v>434</v>
      </c>
      <c r="BA8" s="11">
        <v>96</v>
      </c>
    </row>
    <row r="9" spans="2:53" x14ac:dyDescent="0.35">
      <c r="B9" s="15" t="s">
        <v>220</v>
      </c>
      <c r="C9" s="14">
        <v>0.22197665289881299</v>
      </c>
      <c r="D9" s="14">
        <v>0.28062763657713302</v>
      </c>
      <c r="E9" s="14">
        <v>0.159219766504409</v>
      </c>
      <c r="F9" s="14"/>
      <c r="G9" s="14" t="s">
        <v>88</v>
      </c>
      <c r="H9" s="14">
        <v>0.31681356249377901</v>
      </c>
      <c r="I9" s="14">
        <v>0.25721187845350701</v>
      </c>
      <c r="J9" s="14">
        <v>0.17492911238387901</v>
      </c>
      <c r="K9" s="14">
        <v>0.17967163440332901</v>
      </c>
      <c r="L9" s="14">
        <v>0.19178233778672901</v>
      </c>
      <c r="M9" s="14"/>
      <c r="N9" s="14">
        <v>0.32786944372701798</v>
      </c>
      <c r="O9" s="14">
        <v>0.13809488054766</v>
      </c>
      <c r="P9" s="14">
        <v>0.16849557064200199</v>
      </c>
      <c r="Q9" s="14">
        <v>0.22931174583115799</v>
      </c>
      <c r="R9" s="14"/>
      <c r="S9" s="14">
        <v>0.26057098875759399</v>
      </c>
      <c r="T9" s="14">
        <v>0.29366572141076602</v>
      </c>
      <c r="U9" s="14">
        <v>0.14471728347816001</v>
      </c>
      <c r="V9" s="14">
        <v>0.15635845260600501</v>
      </c>
      <c r="W9" s="14">
        <v>0.15506423297240099</v>
      </c>
      <c r="X9" s="14">
        <v>0.225377134234714</v>
      </c>
      <c r="Y9" s="14">
        <v>0.183159886935231</v>
      </c>
      <c r="Z9" s="14">
        <v>0.33901444490878302</v>
      </c>
      <c r="AA9" s="14">
        <v>0.20209458354936899</v>
      </c>
      <c r="AB9" s="14"/>
      <c r="AC9" s="14">
        <v>0.171006822471197</v>
      </c>
      <c r="AD9" s="14">
        <v>0.144226254660306</v>
      </c>
      <c r="AE9" s="14">
        <v>0.15614524804607999</v>
      </c>
      <c r="AF9" s="14">
        <v>0.38459058369562199</v>
      </c>
      <c r="AG9" s="14">
        <v>0.60229116084517897</v>
      </c>
      <c r="AH9" s="14"/>
      <c r="AI9" s="14">
        <v>0.28191694526818301</v>
      </c>
      <c r="AJ9" s="14">
        <v>0.25298640574865999</v>
      </c>
      <c r="AK9" s="14">
        <v>0.156946909896201</v>
      </c>
      <c r="AL9" s="14">
        <v>0.16045577685280801</v>
      </c>
      <c r="AM9" s="14">
        <v>0.183878621524904</v>
      </c>
      <c r="AN9" s="14">
        <v>0.19575248124939101</v>
      </c>
      <c r="AO9" s="14"/>
      <c r="AP9" s="14">
        <v>0.24464331067683801</v>
      </c>
      <c r="AQ9" s="14">
        <v>0.192007812891548</v>
      </c>
      <c r="AR9" s="14"/>
      <c r="AS9" s="14" t="s">
        <v>88</v>
      </c>
      <c r="AT9" s="14" t="s">
        <v>88</v>
      </c>
      <c r="AU9" s="14">
        <v>0.22197665289881299</v>
      </c>
      <c r="AV9" s="14"/>
      <c r="AW9" s="14">
        <v>0.194736339104919</v>
      </c>
      <c r="AX9" s="14">
        <v>0.35816943417557401</v>
      </c>
      <c r="AY9" s="14"/>
      <c r="AZ9" s="14">
        <v>0.25145632191844203</v>
      </c>
      <c r="BA9" s="14">
        <v>9.0522220484462998E-2</v>
      </c>
    </row>
    <row r="10" spans="2:53" x14ac:dyDescent="0.35">
      <c r="B10" s="15" t="s">
        <v>221</v>
      </c>
      <c r="C10" s="14">
        <v>0.42197911264385601</v>
      </c>
      <c r="D10" s="14">
        <v>0.47055814289796999</v>
      </c>
      <c r="E10" s="14">
        <v>0.369999273745867</v>
      </c>
      <c r="F10" s="14"/>
      <c r="G10" s="14" t="s">
        <v>88</v>
      </c>
      <c r="H10" s="14">
        <v>0.45096880074110901</v>
      </c>
      <c r="I10" s="14">
        <v>0.42444820469782901</v>
      </c>
      <c r="J10" s="14">
        <v>0.39575626800187902</v>
      </c>
      <c r="K10" s="14">
        <v>0.49325049683015298</v>
      </c>
      <c r="L10" s="14">
        <v>0.34003940475517103</v>
      </c>
      <c r="M10" s="14"/>
      <c r="N10" s="14">
        <v>0.38716626251448899</v>
      </c>
      <c r="O10" s="14">
        <v>0.41008307947869699</v>
      </c>
      <c r="P10" s="14">
        <v>0.49895048674798298</v>
      </c>
      <c r="Q10" s="14">
        <v>0.41474878028401302</v>
      </c>
      <c r="R10" s="14"/>
      <c r="S10" s="14">
        <v>0.57593849047449397</v>
      </c>
      <c r="T10" s="14">
        <v>0.30178870160135401</v>
      </c>
      <c r="U10" s="14">
        <v>0.33149947940470598</v>
      </c>
      <c r="V10" s="14">
        <v>0.52791777875397095</v>
      </c>
      <c r="W10" s="14">
        <v>0.32584467520182298</v>
      </c>
      <c r="X10" s="14">
        <v>0.46935749381414599</v>
      </c>
      <c r="Y10" s="14">
        <v>0.46714334683120601</v>
      </c>
      <c r="Z10" s="14">
        <v>0.30735470702390599</v>
      </c>
      <c r="AA10" s="14">
        <v>0.36631528373250299</v>
      </c>
      <c r="AB10" s="14"/>
      <c r="AC10" s="14">
        <v>0.39891682312735</v>
      </c>
      <c r="AD10" s="14">
        <v>0.46661691034522901</v>
      </c>
      <c r="AE10" s="14">
        <v>0.47236315660853101</v>
      </c>
      <c r="AF10" s="14">
        <v>0.42121870563980202</v>
      </c>
      <c r="AG10" s="14">
        <v>0.36949671299033399</v>
      </c>
      <c r="AH10" s="14"/>
      <c r="AI10" s="14">
        <v>0.45903797524303802</v>
      </c>
      <c r="AJ10" s="14">
        <v>0.485993814785525</v>
      </c>
      <c r="AK10" s="14">
        <v>0.44783616801597298</v>
      </c>
      <c r="AL10" s="14">
        <v>0.37758875939839898</v>
      </c>
      <c r="AM10" s="14">
        <v>0.28056340840869898</v>
      </c>
      <c r="AN10" s="14">
        <v>0.27830370590174303</v>
      </c>
      <c r="AO10" s="14"/>
      <c r="AP10" s="14">
        <v>0.42259284572171002</v>
      </c>
      <c r="AQ10" s="14">
        <v>0.42236156999251601</v>
      </c>
      <c r="AR10" s="14"/>
      <c r="AS10" s="14" t="s">
        <v>88</v>
      </c>
      <c r="AT10" s="14" t="s">
        <v>88</v>
      </c>
      <c r="AU10" s="14">
        <v>0.42197911264385601</v>
      </c>
      <c r="AV10" s="14"/>
      <c r="AW10" s="14">
        <v>0.41811152430582899</v>
      </c>
      <c r="AX10" s="14">
        <v>0.437022857425301</v>
      </c>
      <c r="AY10" s="14"/>
      <c r="AZ10" s="14">
        <v>0.432024313032768</v>
      </c>
      <c r="BA10" s="14">
        <v>0.36994354051284001</v>
      </c>
    </row>
    <row r="11" spans="2:53" x14ac:dyDescent="0.35">
      <c r="B11" s="15" t="s">
        <v>222</v>
      </c>
      <c r="C11" s="14">
        <v>0.181370041717791</v>
      </c>
      <c r="D11" s="14">
        <v>0.12280095573805699</v>
      </c>
      <c r="E11" s="14">
        <v>0.24403929710852201</v>
      </c>
      <c r="F11" s="14"/>
      <c r="G11" s="14" t="s">
        <v>88</v>
      </c>
      <c r="H11" s="14">
        <v>0.124641259976065</v>
      </c>
      <c r="I11" s="14">
        <v>0.16241771879567601</v>
      </c>
      <c r="J11" s="14">
        <v>0.201290253295279</v>
      </c>
      <c r="K11" s="14">
        <v>0.22763907298080499</v>
      </c>
      <c r="L11" s="14">
        <v>0.189982815560052</v>
      </c>
      <c r="M11" s="14"/>
      <c r="N11" s="14">
        <v>0.114020050996126</v>
      </c>
      <c r="O11" s="14">
        <v>0.23969448579709399</v>
      </c>
      <c r="P11" s="14">
        <v>0.200175570086913</v>
      </c>
      <c r="Q11" s="14">
        <v>0.16712585427492899</v>
      </c>
      <c r="R11" s="14"/>
      <c r="S11" s="14">
        <v>6.2132615163840499E-2</v>
      </c>
      <c r="T11" s="14">
        <v>0.251907930199403</v>
      </c>
      <c r="U11" s="14">
        <v>0.23612184561658001</v>
      </c>
      <c r="V11" s="14">
        <v>0.18993344248833399</v>
      </c>
      <c r="W11" s="14">
        <v>0.36592956538542398</v>
      </c>
      <c r="X11" s="14">
        <v>0.11817164429881399</v>
      </c>
      <c r="Y11" s="14">
        <v>0.12549813243649199</v>
      </c>
      <c r="Z11" s="14">
        <v>0.16920389309116199</v>
      </c>
      <c r="AA11" s="14">
        <v>0.17646356762941501</v>
      </c>
      <c r="AB11" s="14"/>
      <c r="AC11" s="14">
        <v>0.26418588204814902</v>
      </c>
      <c r="AD11" s="14">
        <v>0.15911641638426</v>
      </c>
      <c r="AE11" s="14">
        <v>0.200645073121024</v>
      </c>
      <c r="AF11" s="14">
        <v>9.9337209019450701E-2</v>
      </c>
      <c r="AG11" s="14">
        <v>1.46568246325425E-2</v>
      </c>
      <c r="AH11" s="14"/>
      <c r="AI11" s="14">
        <v>0.121329036861204</v>
      </c>
      <c r="AJ11" s="14">
        <v>0.115891588247164</v>
      </c>
      <c r="AK11" s="14">
        <v>0.22399110090594199</v>
      </c>
      <c r="AL11" s="14">
        <v>0.24182505285046399</v>
      </c>
      <c r="AM11" s="14">
        <v>0.14608447668823099</v>
      </c>
      <c r="AN11" s="14">
        <v>0.36423498987779102</v>
      </c>
      <c r="AO11" s="14"/>
      <c r="AP11" s="14">
        <v>0.16751568745259801</v>
      </c>
      <c r="AQ11" s="14">
        <v>0.19772744644183801</v>
      </c>
      <c r="AR11" s="14"/>
      <c r="AS11" s="14" t="s">
        <v>88</v>
      </c>
      <c r="AT11" s="14" t="s">
        <v>88</v>
      </c>
      <c r="AU11" s="14">
        <v>0.181370041717791</v>
      </c>
      <c r="AV11" s="14"/>
      <c r="AW11" s="14">
        <v>0.18131668794226599</v>
      </c>
      <c r="AX11" s="14">
        <v>0.12747043410058601</v>
      </c>
      <c r="AY11" s="14"/>
      <c r="AZ11" s="14">
        <v>0.17339698855261601</v>
      </c>
      <c r="BA11" s="14">
        <v>0.219597870003859</v>
      </c>
    </row>
    <row r="12" spans="2:53" x14ac:dyDescent="0.35">
      <c r="B12" s="15" t="s">
        <v>223</v>
      </c>
      <c r="C12" s="14">
        <v>0.12491717399736101</v>
      </c>
      <c r="D12" s="14">
        <v>6.9881422923998099E-2</v>
      </c>
      <c r="E12" s="14">
        <v>0.18380574092549701</v>
      </c>
      <c r="F12" s="14"/>
      <c r="G12" s="14" t="s">
        <v>88</v>
      </c>
      <c r="H12" s="14">
        <v>1.43898228097244E-2</v>
      </c>
      <c r="I12" s="14">
        <v>0.112025422781727</v>
      </c>
      <c r="J12" s="14">
        <v>0.18941781528636401</v>
      </c>
      <c r="K12" s="14">
        <v>1.6413708142884599E-2</v>
      </c>
      <c r="L12" s="14">
        <v>0.27819544189804801</v>
      </c>
      <c r="M12" s="14"/>
      <c r="N12" s="14">
        <v>0.11299676129314799</v>
      </c>
      <c r="O12" s="14">
        <v>0.158801370506894</v>
      </c>
      <c r="P12" s="14">
        <v>8.1684264416315003E-2</v>
      </c>
      <c r="Q12" s="14">
        <v>0.151992031541028</v>
      </c>
      <c r="R12" s="14"/>
      <c r="S12" s="14">
        <v>5.6097688213059799E-2</v>
      </c>
      <c r="T12" s="14">
        <v>0.14441354951330801</v>
      </c>
      <c r="U12" s="14">
        <v>0.24256074120736501</v>
      </c>
      <c r="V12" s="14">
        <v>0.108129404477481</v>
      </c>
      <c r="W12" s="14">
        <v>7.2363260548494707E-2</v>
      </c>
      <c r="X12" s="14">
        <v>0.128040313031627</v>
      </c>
      <c r="Y12" s="14">
        <v>0.110518630775092</v>
      </c>
      <c r="Z12" s="14">
        <v>0.160186791178004</v>
      </c>
      <c r="AA12" s="14">
        <v>0.18357900222599799</v>
      </c>
      <c r="AB12" s="14"/>
      <c r="AC12" s="14">
        <v>0.108352113390937</v>
      </c>
      <c r="AD12" s="14">
        <v>0.170274295933836</v>
      </c>
      <c r="AE12" s="14">
        <v>0.123569323443715</v>
      </c>
      <c r="AF12" s="14">
        <v>4.97975044878778E-2</v>
      </c>
      <c r="AG12" s="14">
        <v>0</v>
      </c>
      <c r="AH12" s="14"/>
      <c r="AI12" s="14">
        <v>9.3639435927059297E-2</v>
      </c>
      <c r="AJ12" s="14">
        <v>0.11509969065983799</v>
      </c>
      <c r="AK12" s="14">
        <v>0.13630269589069199</v>
      </c>
      <c r="AL12" s="14">
        <v>0.134841779764204</v>
      </c>
      <c r="AM12" s="14">
        <v>0.28615313276663001</v>
      </c>
      <c r="AN12" s="14">
        <v>0.137903671886451</v>
      </c>
      <c r="AO12" s="14"/>
      <c r="AP12" s="14">
        <v>0.119236294417796</v>
      </c>
      <c r="AQ12" s="14">
        <v>0.132946392271174</v>
      </c>
      <c r="AR12" s="14"/>
      <c r="AS12" s="14" t="s">
        <v>88</v>
      </c>
      <c r="AT12" s="14" t="s">
        <v>88</v>
      </c>
      <c r="AU12" s="14">
        <v>0.12491717399736101</v>
      </c>
      <c r="AV12" s="14"/>
      <c r="AW12" s="14">
        <v>0.152557397159335</v>
      </c>
      <c r="AX12" s="14">
        <v>2.8169913379247902E-2</v>
      </c>
      <c r="AY12" s="14"/>
      <c r="AZ12" s="14">
        <v>8.9250894549183293E-2</v>
      </c>
      <c r="BA12" s="14">
        <v>0.28831834820170898</v>
      </c>
    </row>
    <row r="13" spans="2:53" x14ac:dyDescent="0.35">
      <c r="B13" s="15" t="s">
        <v>116</v>
      </c>
      <c r="C13" s="18">
        <v>8.7992143754335606E-3</v>
      </c>
      <c r="D13" s="18">
        <v>5.1359968796795301E-3</v>
      </c>
      <c r="E13" s="18">
        <v>1.2718877947998799E-2</v>
      </c>
      <c r="F13" s="18"/>
      <c r="G13" s="18" t="s">
        <v>88</v>
      </c>
      <c r="H13" s="18">
        <v>0</v>
      </c>
      <c r="I13" s="18">
        <v>4.4949126798847598E-3</v>
      </c>
      <c r="J13" s="18">
        <v>1.75132359591306E-2</v>
      </c>
      <c r="K13" s="18">
        <v>5.3237928568379798E-3</v>
      </c>
      <c r="L13" s="18">
        <v>0</v>
      </c>
      <c r="M13" s="18"/>
      <c r="N13" s="18">
        <v>1.9533352265732402E-2</v>
      </c>
      <c r="O13" s="18">
        <v>1.33776148985795E-2</v>
      </c>
      <c r="P13" s="18">
        <v>0</v>
      </c>
      <c r="Q13" s="18">
        <v>0</v>
      </c>
      <c r="R13" s="18"/>
      <c r="S13" s="18">
        <v>5.1865478185936396E-3</v>
      </c>
      <c r="T13" s="18">
        <v>0</v>
      </c>
      <c r="U13" s="18">
        <v>1.92952625582378E-2</v>
      </c>
      <c r="V13" s="18">
        <v>1.7660921674209601E-2</v>
      </c>
      <c r="W13" s="18">
        <v>1.90974372232534E-2</v>
      </c>
      <c r="X13" s="18">
        <v>0</v>
      </c>
      <c r="Y13" s="18">
        <v>1.2445653628494801E-2</v>
      </c>
      <c r="Z13" s="18">
        <v>2.4240163798144601E-2</v>
      </c>
      <c r="AA13" s="18">
        <v>0</v>
      </c>
      <c r="AB13" s="18"/>
      <c r="AC13" s="18">
        <v>0</v>
      </c>
      <c r="AD13" s="18">
        <v>9.7155708954399702E-3</v>
      </c>
      <c r="AE13" s="18">
        <v>2.20643645332129E-2</v>
      </c>
      <c r="AF13" s="18">
        <v>2.0846328486400002E-3</v>
      </c>
      <c r="AG13" s="18">
        <v>0</v>
      </c>
      <c r="AH13" s="18"/>
      <c r="AI13" s="18">
        <v>8.2884473052246103E-3</v>
      </c>
      <c r="AJ13" s="18">
        <v>7.8039442787920998E-3</v>
      </c>
      <c r="AK13" s="18">
        <v>0</v>
      </c>
      <c r="AL13" s="18">
        <v>1.18200291783756E-2</v>
      </c>
      <c r="AM13" s="18">
        <v>0</v>
      </c>
      <c r="AN13" s="18">
        <v>2.38051510846236E-2</v>
      </c>
      <c r="AO13" s="18"/>
      <c r="AP13" s="18">
        <v>3.1461791701681602E-3</v>
      </c>
      <c r="AQ13" s="18">
        <v>1.6457555270378298E-2</v>
      </c>
      <c r="AR13" s="18"/>
      <c r="AS13" s="18" t="s">
        <v>88</v>
      </c>
      <c r="AT13" s="18" t="s">
        <v>88</v>
      </c>
      <c r="AU13" s="18">
        <v>8.7992143754335606E-3</v>
      </c>
      <c r="AV13" s="18"/>
      <c r="AW13" s="18">
        <v>9.2788232217214297E-3</v>
      </c>
      <c r="AX13" s="18">
        <v>3.1507404774360798E-3</v>
      </c>
      <c r="AY13" s="18"/>
      <c r="AZ13" s="18">
        <v>8.5505761376948007E-3</v>
      </c>
      <c r="BA13" s="18">
        <v>1.00261688508769E-2</v>
      </c>
    </row>
    <row r="14" spans="2:53" x14ac:dyDescent="0.35">
      <c r="B14" s="26" t="s">
        <v>224</v>
      </c>
      <c r="C14" s="27">
        <v>0.64395576554266898</v>
      </c>
      <c r="D14" s="27">
        <v>0.75118577947510201</v>
      </c>
      <c r="E14" s="27">
        <v>0.529219040250276</v>
      </c>
      <c r="F14" s="27"/>
      <c r="G14" s="27" t="s">
        <v>88</v>
      </c>
      <c r="H14" s="27">
        <v>0.76778236323488802</v>
      </c>
      <c r="I14" s="27">
        <v>0.68166008315133597</v>
      </c>
      <c r="J14" s="27">
        <v>0.570685380385758</v>
      </c>
      <c r="K14" s="27">
        <v>0.67292213123348299</v>
      </c>
      <c r="L14" s="27">
        <v>0.53182174254189996</v>
      </c>
      <c r="M14" s="27"/>
      <c r="N14" s="27">
        <v>0.71503570624150703</v>
      </c>
      <c r="O14" s="27">
        <v>0.54817796002635799</v>
      </c>
      <c r="P14" s="27">
        <v>0.66744605738998497</v>
      </c>
      <c r="Q14" s="27">
        <v>0.64406052611516995</v>
      </c>
      <c r="R14" s="27"/>
      <c r="S14" s="27">
        <v>0.83650947923208796</v>
      </c>
      <c r="T14" s="27">
        <v>0.59545442301212004</v>
      </c>
      <c r="U14" s="27">
        <v>0.47621676288286602</v>
      </c>
      <c r="V14" s="27">
        <v>0.68427623135997595</v>
      </c>
      <c r="W14" s="27">
        <v>0.48090890817422399</v>
      </c>
      <c r="X14" s="27">
        <v>0.69473462804885999</v>
      </c>
      <c r="Y14" s="27">
        <v>0.65030323376643695</v>
      </c>
      <c r="Z14" s="27">
        <v>0.64636915193268896</v>
      </c>
      <c r="AA14" s="27">
        <v>0.56840986728187304</v>
      </c>
      <c r="AB14" s="27"/>
      <c r="AC14" s="27">
        <v>0.56992364559854702</v>
      </c>
      <c r="AD14" s="27">
        <v>0.61084316500553504</v>
      </c>
      <c r="AE14" s="27">
        <v>0.628508404654611</v>
      </c>
      <c r="AF14" s="27">
        <v>0.80580928933542395</v>
      </c>
      <c r="AG14" s="27">
        <v>0.97178787383551302</v>
      </c>
      <c r="AH14" s="27"/>
      <c r="AI14" s="27">
        <v>0.74095492051122203</v>
      </c>
      <c r="AJ14" s="27">
        <v>0.73898022053418499</v>
      </c>
      <c r="AK14" s="27">
        <v>0.60478307791217401</v>
      </c>
      <c r="AL14" s="27">
        <v>0.53804453625120796</v>
      </c>
      <c r="AM14" s="27">
        <v>0.46444202993360301</v>
      </c>
      <c r="AN14" s="27">
        <v>0.47405618715113501</v>
      </c>
      <c r="AO14" s="27"/>
      <c r="AP14" s="27">
        <v>0.66723615639854805</v>
      </c>
      <c r="AQ14" s="27">
        <v>0.61436938288406395</v>
      </c>
      <c r="AR14" s="27"/>
      <c r="AS14" s="27" t="s">
        <v>88</v>
      </c>
      <c r="AT14" s="27" t="s">
        <v>88</v>
      </c>
      <c r="AU14" s="27">
        <v>0.64395576554266898</v>
      </c>
      <c r="AV14" s="27"/>
      <c r="AW14" s="27">
        <v>0.61284786341074804</v>
      </c>
      <c r="AX14" s="27">
        <v>0.79519229160087501</v>
      </c>
      <c r="AY14" s="27"/>
      <c r="AZ14" s="27">
        <v>0.68348063495121003</v>
      </c>
      <c r="BA14" s="27">
        <v>0.46046576099730302</v>
      </c>
    </row>
    <row r="15" spans="2:53" x14ac:dyDescent="0.35">
      <c r="B15" s="25" t="s">
        <v>463</v>
      </c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B2:J22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5" t="s">
        <v>411</v>
      </c>
      <c r="E2" s="32"/>
      <c r="F2" s="32"/>
      <c r="G2" s="32"/>
      <c r="H2" s="32"/>
      <c r="I2" s="32"/>
      <c r="J2" s="32"/>
    </row>
    <row r="6" spans="2:10" ht="50" customHeight="1" x14ac:dyDescent="0.35">
      <c r="B6" s="17" t="s">
        <v>14</v>
      </c>
      <c r="C6" s="17" t="s">
        <v>397</v>
      </c>
      <c r="D6" s="17" t="s">
        <v>398</v>
      </c>
      <c r="E6" s="17" t="s">
        <v>399</v>
      </c>
      <c r="F6" s="17" t="s">
        <v>400</v>
      </c>
      <c r="G6" s="17" t="s">
        <v>401</v>
      </c>
      <c r="H6" s="17" t="s">
        <v>402</v>
      </c>
      <c r="I6" s="17" t="s">
        <v>403</v>
      </c>
    </row>
    <row r="7" spans="2:10" x14ac:dyDescent="0.35">
      <c r="B7" s="15" t="s">
        <v>404</v>
      </c>
      <c r="C7" s="14">
        <v>0.56148112742421497</v>
      </c>
      <c r="D7" s="14">
        <v>0.39286266930574698</v>
      </c>
      <c r="E7" s="14">
        <v>0.51341697710566703</v>
      </c>
      <c r="F7" s="14">
        <v>0.48157013939724402</v>
      </c>
      <c r="G7" s="14">
        <v>0.52882852978325401</v>
      </c>
      <c r="H7" s="14">
        <v>0.37337405510313099</v>
      </c>
      <c r="I7" s="14">
        <v>0.32653947307599201</v>
      </c>
    </row>
    <row r="8" spans="2:10" x14ac:dyDescent="0.35">
      <c r="B8" s="15" t="s">
        <v>405</v>
      </c>
      <c r="C8" s="14">
        <v>0.35300254381638402</v>
      </c>
      <c r="D8" s="14">
        <v>0.45806496851284001</v>
      </c>
      <c r="E8" s="14">
        <v>0.349282644602465</v>
      </c>
      <c r="F8" s="14">
        <v>0.40177997812814298</v>
      </c>
      <c r="G8" s="14">
        <v>0.34570813357098201</v>
      </c>
      <c r="H8" s="14">
        <v>0.40428557052909198</v>
      </c>
      <c r="I8" s="14">
        <v>0.379872263865418</v>
      </c>
    </row>
    <row r="9" spans="2:10" x14ac:dyDescent="0.35">
      <c r="B9" s="15" t="s">
        <v>406</v>
      </c>
      <c r="C9" s="14">
        <v>6.6647011711059398E-2</v>
      </c>
      <c r="D9" s="14">
        <v>0.11442283234363899</v>
      </c>
      <c r="E9" s="14">
        <v>0.107793684556279</v>
      </c>
      <c r="F9" s="14">
        <v>8.3859779445253593E-2</v>
      </c>
      <c r="G9" s="14">
        <v>9.1631906865917601E-2</v>
      </c>
      <c r="H9" s="14">
        <v>0.16138473568077399</v>
      </c>
      <c r="I9" s="14">
        <v>0.15707756950548499</v>
      </c>
    </row>
    <row r="10" spans="2:10" x14ac:dyDescent="0.35">
      <c r="B10" s="15" t="s">
        <v>407</v>
      </c>
      <c r="C10" s="14">
        <v>6.9359196717891196E-3</v>
      </c>
      <c r="D10" s="14">
        <v>1.43060119645151E-2</v>
      </c>
      <c r="E10" s="14">
        <v>1.6400328902150901E-2</v>
      </c>
      <c r="F10" s="14">
        <v>1.6892131455190699E-2</v>
      </c>
      <c r="G10" s="14">
        <v>1.69007424852031E-2</v>
      </c>
      <c r="H10" s="14">
        <v>3.5656333332198503E-2</v>
      </c>
      <c r="I10" s="14">
        <v>7.4105786362680295E-2</v>
      </c>
    </row>
    <row r="11" spans="2:10" x14ac:dyDescent="0.35">
      <c r="B11" s="15" t="s">
        <v>408</v>
      </c>
      <c r="C11" s="14">
        <v>3.6029237873948499E-3</v>
      </c>
      <c r="D11" s="14">
        <v>1.97963063504982E-3</v>
      </c>
      <c r="E11" s="14">
        <v>1.6083742836028199E-3</v>
      </c>
      <c r="F11" s="14">
        <v>2.6832949881324302E-3</v>
      </c>
      <c r="G11" s="14">
        <v>2.9466034354062101E-3</v>
      </c>
      <c r="H11" s="14">
        <v>5.07146309598429E-3</v>
      </c>
      <c r="I11" s="14">
        <v>4.1188461601842599E-2</v>
      </c>
    </row>
    <row r="12" spans="2:10" x14ac:dyDescent="0.35">
      <c r="B12" s="15" t="s">
        <v>80</v>
      </c>
      <c r="C12" s="14">
        <v>8.3304735891578403E-3</v>
      </c>
      <c r="D12" s="14">
        <v>1.83638872382095E-2</v>
      </c>
      <c r="E12" s="14">
        <v>1.1497990549835699E-2</v>
      </c>
      <c r="F12" s="14">
        <v>1.3214676586036299E-2</v>
      </c>
      <c r="G12" s="14">
        <v>1.3984083859237099E-2</v>
      </c>
      <c r="H12" s="14">
        <v>2.0227842258819701E-2</v>
      </c>
      <c r="I12" s="14">
        <v>2.1216445588581798E-2</v>
      </c>
    </row>
    <row r="13" spans="2:10" x14ac:dyDescent="0.35">
      <c r="B13" s="20" t="s">
        <v>409</v>
      </c>
      <c r="C13" s="18">
        <v>0.91448367124059904</v>
      </c>
      <c r="D13" s="18">
        <v>0.85092763781858705</v>
      </c>
      <c r="E13" s="18">
        <v>0.86269962170813197</v>
      </c>
      <c r="F13" s="18">
        <v>0.88335011752538695</v>
      </c>
      <c r="G13" s="18">
        <v>0.87453666335423597</v>
      </c>
      <c r="H13" s="18">
        <v>0.77765962563222302</v>
      </c>
      <c r="I13" s="18">
        <v>0.70641173694141002</v>
      </c>
    </row>
    <row r="14" spans="2:10" x14ac:dyDescent="0.35">
      <c r="B14" s="20" t="s">
        <v>410</v>
      </c>
      <c r="C14" s="18">
        <v>1.0538843459184001E-2</v>
      </c>
      <c r="D14" s="18">
        <v>1.6285642599564901E-2</v>
      </c>
      <c r="E14" s="18">
        <v>1.8008703185753702E-2</v>
      </c>
      <c r="F14" s="18">
        <v>1.9575426443323201E-2</v>
      </c>
      <c r="G14" s="18">
        <v>1.9847345920609299E-2</v>
      </c>
      <c r="H14" s="18">
        <v>4.0727796428182701E-2</v>
      </c>
      <c r="I14" s="18">
        <v>0.11529424796452301</v>
      </c>
    </row>
    <row r="15" spans="2:10" x14ac:dyDescent="0.35">
      <c r="B15" s="20" t="s">
        <v>82</v>
      </c>
      <c r="C15" s="19">
        <v>0.90394482778141505</v>
      </c>
      <c r="D15" s="19">
        <v>0.83464199521902205</v>
      </c>
      <c r="E15" s="19">
        <v>0.84469091852237799</v>
      </c>
      <c r="F15" s="19">
        <v>0.86377469108206395</v>
      </c>
      <c r="G15" s="19">
        <v>0.85468931743362697</v>
      </c>
      <c r="H15" s="19">
        <v>0.73693182920404099</v>
      </c>
      <c r="I15" s="19">
        <v>0.59111748897688698</v>
      </c>
    </row>
    <row r="16" spans="2:10" x14ac:dyDescent="0.35">
      <c r="B16" s="16"/>
      <c r="C16" s="16"/>
      <c r="D16" s="16"/>
      <c r="E16" s="16"/>
      <c r="F16" s="16"/>
      <c r="G16" s="16"/>
      <c r="H16" s="16"/>
      <c r="I16" s="16"/>
    </row>
    <row r="17" spans="2:2" x14ac:dyDescent="0.35">
      <c r="B17" t="s">
        <v>84</v>
      </c>
    </row>
    <row r="18" spans="2:2" x14ac:dyDescent="0.35">
      <c r="B18" t="s">
        <v>85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B2:BA22"/>
  <sheetViews>
    <sheetView showGridLines="0" topLeftCell="A9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412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404</v>
      </c>
      <c r="C9" s="14">
        <v>0.56148112742421497</v>
      </c>
      <c r="D9" s="14">
        <v>0.57255015121178798</v>
      </c>
      <c r="E9" s="14">
        <v>0.55094761695766004</v>
      </c>
      <c r="F9" s="14"/>
      <c r="G9" s="14">
        <v>0.29966583423287502</v>
      </c>
      <c r="H9" s="14">
        <v>0.53221431721516099</v>
      </c>
      <c r="I9" s="14">
        <v>0.54816623040618895</v>
      </c>
      <c r="J9" s="14">
        <v>0.58424926994000304</v>
      </c>
      <c r="K9" s="14">
        <v>0.62089062048256205</v>
      </c>
      <c r="L9" s="14">
        <v>0.51288395587360902</v>
      </c>
      <c r="M9" s="14"/>
      <c r="N9" s="14">
        <v>0.63979495457230495</v>
      </c>
      <c r="O9" s="14">
        <v>0.57721519540812505</v>
      </c>
      <c r="P9" s="14">
        <v>0.473511155710374</v>
      </c>
      <c r="Q9" s="14">
        <v>0.53642353675849497</v>
      </c>
      <c r="R9" s="14"/>
      <c r="S9" s="14">
        <v>0.57455281878642905</v>
      </c>
      <c r="T9" s="14">
        <v>0.608276491807341</v>
      </c>
      <c r="U9" s="14">
        <v>0.54460966280720402</v>
      </c>
      <c r="V9" s="14">
        <v>0.53639150810052405</v>
      </c>
      <c r="W9" s="14">
        <v>0.55649571510589702</v>
      </c>
      <c r="X9" s="14">
        <v>0.54298132775617203</v>
      </c>
      <c r="Y9" s="14">
        <v>0.527885829297839</v>
      </c>
      <c r="Z9" s="14">
        <v>0.54853740932959905</v>
      </c>
      <c r="AA9" s="14">
        <v>0.57072912140460397</v>
      </c>
      <c r="AB9" s="14"/>
      <c r="AC9" s="14">
        <v>0.550495520477843</v>
      </c>
      <c r="AD9" s="14">
        <v>0.50638146913411297</v>
      </c>
      <c r="AE9" s="14">
        <v>0.59882531098817005</v>
      </c>
      <c r="AF9" s="14">
        <v>0.62718003144231205</v>
      </c>
      <c r="AG9" s="14">
        <v>0.65737002697031299</v>
      </c>
      <c r="AH9" s="14"/>
      <c r="AI9" s="14">
        <v>0.56301654010580404</v>
      </c>
      <c r="AJ9" s="14">
        <v>0.58268262871500198</v>
      </c>
      <c r="AK9" s="14">
        <v>0.56591823307033096</v>
      </c>
      <c r="AL9" s="14">
        <v>0.59568458561512005</v>
      </c>
      <c r="AM9" s="14">
        <v>0.45846152939254098</v>
      </c>
      <c r="AN9" s="14">
        <v>0.61165216468653205</v>
      </c>
      <c r="AO9" s="14"/>
      <c r="AP9" s="14">
        <v>0.57889773934296596</v>
      </c>
      <c r="AQ9" s="14">
        <v>0.54369451800093005</v>
      </c>
      <c r="AR9" s="14"/>
      <c r="AS9" s="14">
        <v>0.543984296025387</v>
      </c>
      <c r="AT9" s="14">
        <v>0.53612945728653005</v>
      </c>
      <c r="AU9" s="14">
        <v>0.57368650221336503</v>
      </c>
      <c r="AV9" s="14"/>
      <c r="AW9" s="14">
        <v>0.55261071274217399</v>
      </c>
      <c r="AX9" s="14">
        <v>0.676608205696828</v>
      </c>
      <c r="AY9" s="14"/>
      <c r="AZ9" s="14">
        <v>0.58848676090288798</v>
      </c>
      <c r="BA9" s="14">
        <v>0.47259187752822501</v>
      </c>
    </row>
    <row r="10" spans="2:53" x14ac:dyDescent="0.35">
      <c r="B10" s="15" t="s">
        <v>405</v>
      </c>
      <c r="C10" s="14">
        <v>0.35300254381638402</v>
      </c>
      <c r="D10" s="14">
        <v>0.34463092787833399</v>
      </c>
      <c r="E10" s="14">
        <v>0.36075358028138599</v>
      </c>
      <c r="F10" s="14"/>
      <c r="G10" s="14">
        <v>0.32469788239901598</v>
      </c>
      <c r="H10" s="14">
        <v>0.34943843937311397</v>
      </c>
      <c r="I10" s="14">
        <v>0.36425782785368099</v>
      </c>
      <c r="J10" s="14">
        <v>0.359029289257974</v>
      </c>
      <c r="K10" s="14">
        <v>0.28776689210832601</v>
      </c>
      <c r="L10" s="14">
        <v>0.35079461122200301</v>
      </c>
      <c r="M10" s="14"/>
      <c r="N10" s="14">
        <v>0.31302182957716201</v>
      </c>
      <c r="O10" s="14">
        <v>0.34419485150253798</v>
      </c>
      <c r="P10" s="14">
        <v>0.423507741825775</v>
      </c>
      <c r="Q10" s="14">
        <v>0.34384580909538498</v>
      </c>
      <c r="R10" s="14"/>
      <c r="S10" s="14">
        <v>0.36706354020528398</v>
      </c>
      <c r="T10" s="14">
        <v>0.30809303268245097</v>
      </c>
      <c r="U10" s="14">
        <v>0.391698586834827</v>
      </c>
      <c r="V10" s="14">
        <v>0.39176209428990399</v>
      </c>
      <c r="W10" s="14">
        <v>0.31389168843223397</v>
      </c>
      <c r="X10" s="14">
        <v>0.347814082044478</v>
      </c>
      <c r="Y10" s="14">
        <v>0.373396962140922</v>
      </c>
      <c r="Z10" s="14">
        <v>0.36948890953908697</v>
      </c>
      <c r="AA10" s="14">
        <v>0.33733087557311597</v>
      </c>
      <c r="AB10" s="14"/>
      <c r="AC10" s="14">
        <v>0.32971335659402901</v>
      </c>
      <c r="AD10" s="14">
        <v>0.42737385870452999</v>
      </c>
      <c r="AE10" s="14">
        <v>0.35115413984342497</v>
      </c>
      <c r="AF10" s="14">
        <v>0.26293286513381697</v>
      </c>
      <c r="AG10" s="14">
        <v>0.30324850113793</v>
      </c>
      <c r="AH10" s="14"/>
      <c r="AI10" s="14">
        <v>0.35741473830261</v>
      </c>
      <c r="AJ10" s="14">
        <v>0.34833896620996102</v>
      </c>
      <c r="AK10" s="14">
        <v>0.38433333424376498</v>
      </c>
      <c r="AL10" s="14">
        <v>0.314190934535439</v>
      </c>
      <c r="AM10" s="14">
        <v>0.45392442587689802</v>
      </c>
      <c r="AN10" s="14">
        <v>0.26904418428839499</v>
      </c>
      <c r="AO10" s="14"/>
      <c r="AP10" s="14">
        <v>0.34684661139894801</v>
      </c>
      <c r="AQ10" s="14">
        <v>0.357843711297889</v>
      </c>
      <c r="AR10" s="14"/>
      <c r="AS10" s="14">
        <v>0.37832909722501101</v>
      </c>
      <c r="AT10" s="14">
        <v>0.361402800645098</v>
      </c>
      <c r="AU10" s="14">
        <v>0.34370236956283601</v>
      </c>
      <c r="AV10" s="14"/>
      <c r="AW10" s="14">
        <v>0.369467535900522</v>
      </c>
      <c r="AX10" s="14">
        <v>0.246126152330811</v>
      </c>
      <c r="AY10" s="14"/>
      <c r="AZ10" s="14">
        <v>0.33590161609295699</v>
      </c>
      <c r="BA10" s="14">
        <v>0.41866474342629501</v>
      </c>
    </row>
    <row r="11" spans="2:53" x14ac:dyDescent="0.35">
      <c r="B11" s="15" t="s">
        <v>406</v>
      </c>
      <c r="C11" s="14">
        <v>6.6647011711059398E-2</v>
      </c>
      <c r="D11" s="14">
        <v>6.3608034692741094E-2</v>
      </c>
      <c r="E11" s="14">
        <v>6.9753033923159999E-2</v>
      </c>
      <c r="F11" s="14"/>
      <c r="G11" s="14">
        <v>0.19435668978609699</v>
      </c>
      <c r="H11" s="14">
        <v>8.3031412826556295E-2</v>
      </c>
      <c r="I11" s="14">
        <v>7.1410695985827402E-2</v>
      </c>
      <c r="J11" s="14">
        <v>4.3721407035061499E-2</v>
      </c>
      <c r="K11" s="14">
        <v>8.5337178274273506E-2</v>
      </c>
      <c r="L11" s="14">
        <v>6.4394233971469497E-2</v>
      </c>
      <c r="M11" s="14"/>
      <c r="N11" s="14">
        <v>4.1752258610173003E-2</v>
      </c>
      <c r="O11" s="14">
        <v>6.5023121408637294E-2</v>
      </c>
      <c r="P11" s="14">
        <v>7.8445624458207699E-2</v>
      </c>
      <c r="Q11" s="14">
        <v>8.5608904369069302E-2</v>
      </c>
      <c r="R11" s="14"/>
      <c r="S11" s="14">
        <v>4.1341321114549898E-2</v>
      </c>
      <c r="T11" s="14">
        <v>6.46243467073883E-2</v>
      </c>
      <c r="U11" s="14">
        <v>5.5201540368355798E-2</v>
      </c>
      <c r="V11" s="14">
        <v>5.5400815600100101E-2</v>
      </c>
      <c r="W11" s="14">
        <v>9.3884560765871206E-2</v>
      </c>
      <c r="X11" s="14">
        <v>8.4297493378656399E-2</v>
      </c>
      <c r="Y11" s="14">
        <v>8.6189936450884103E-2</v>
      </c>
      <c r="Z11" s="14">
        <v>8.1973681131314105E-2</v>
      </c>
      <c r="AA11" s="14">
        <v>6.5131895352326302E-2</v>
      </c>
      <c r="AB11" s="14"/>
      <c r="AC11" s="14">
        <v>0.109432345187068</v>
      </c>
      <c r="AD11" s="14">
        <v>5.0424267351431899E-2</v>
      </c>
      <c r="AE11" s="14">
        <v>4.3478082692225799E-2</v>
      </c>
      <c r="AF11" s="14">
        <v>6.4849470471855297E-2</v>
      </c>
      <c r="AG11" s="14">
        <v>3.9381471891756697E-2</v>
      </c>
      <c r="AH11" s="14"/>
      <c r="AI11" s="14">
        <v>5.5514376466868902E-2</v>
      </c>
      <c r="AJ11" s="14">
        <v>5.0561449577443802E-2</v>
      </c>
      <c r="AK11" s="14">
        <v>3.5147296953310897E-2</v>
      </c>
      <c r="AL11" s="14">
        <v>7.7054460784518303E-2</v>
      </c>
      <c r="AM11" s="14">
        <v>6.8221341295554294E-2</v>
      </c>
      <c r="AN11" s="14">
        <v>9.6066749193449902E-2</v>
      </c>
      <c r="AO11" s="14"/>
      <c r="AP11" s="14">
        <v>5.81931303289576E-2</v>
      </c>
      <c r="AQ11" s="14">
        <v>7.6373600945008099E-2</v>
      </c>
      <c r="AR11" s="14"/>
      <c r="AS11" s="14">
        <v>6.2545741523052298E-2</v>
      </c>
      <c r="AT11" s="14">
        <v>6.1581594727042797E-2</v>
      </c>
      <c r="AU11" s="14">
        <v>6.9248626050115406E-2</v>
      </c>
      <c r="AV11" s="14"/>
      <c r="AW11" s="14">
        <v>6.04055495973186E-2</v>
      </c>
      <c r="AX11" s="14">
        <v>6.3184887592790104E-2</v>
      </c>
      <c r="AY11" s="14"/>
      <c r="AZ11" s="14">
        <v>5.9380814726723997E-2</v>
      </c>
      <c r="BA11" s="14">
        <v>9.0236903661310597E-2</v>
      </c>
    </row>
    <row r="12" spans="2:53" x14ac:dyDescent="0.35">
      <c r="B12" s="15" t="s">
        <v>407</v>
      </c>
      <c r="C12" s="14">
        <v>6.9359196717891196E-3</v>
      </c>
      <c r="D12" s="14">
        <v>8.1076582148029899E-3</v>
      </c>
      <c r="E12" s="14">
        <v>5.7699686859739897E-3</v>
      </c>
      <c r="F12" s="14"/>
      <c r="G12" s="14">
        <v>0.18127959358201301</v>
      </c>
      <c r="H12" s="14">
        <v>1.3146379582495401E-2</v>
      </c>
      <c r="I12" s="14">
        <v>7.04763880608111E-3</v>
      </c>
      <c r="J12" s="14">
        <v>3.0571117172320198E-3</v>
      </c>
      <c r="K12" s="14">
        <v>0</v>
      </c>
      <c r="L12" s="14">
        <v>0</v>
      </c>
      <c r="M12" s="14"/>
      <c r="N12" s="14">
        <v>3.6962428841636301E-3</v>
      </c>
      <c r="O12" s="14">
        <v>6.9478002199084496E-3</v>
      </c>
      <c r="P12" s="14">
        <v>9.7880144094137003E-3</v>
      </c>
      <c r="Q12" s="14">
        <v>7.9932416566336796E-3</v>
      </c>
      <c r="R12" s="14"/>
      <c r="S12" s="14">
        <v>6.65581021858936E-3</v>
      </c>
      <c r="T12" s="14">
        <v>6.0870088451657096E-3</v>
      </c>
      <c r="U12" s="14">
        <v>8.4902099896134592E-3</v>
      </c>
      <c r="V12" s="14">
        <v>0</v>
      </c>
      <c r="W12" s="14">
        <v>1.6866766928508699E-2</v>
      </c>
      <c r="X12" s="14">
        <v>1.0765807598814001E-2</v>
      </c>
      <c r="Y12" s="14">
        <v>4.9367990524633396E-3</v>
      </c>
      <c r="Z12" s="14">
        <v>0</v>
      </c>
      <c r="AA12" s="14">
        <v>7.3605751536754797E-3</v>
      </c>
      <c r="AB12" s="14"/>
      <c r="AC12" s="14">
        <v>1.9789177808330598E-3</v>
      </c>
      <c r="AD12" s="14">
        <v>3.78651976252127E-3</v>
      </c>
      <c r="AE12" s="14">
        <v>3.7187395533157201E-3</v>
      </c>
      <c r="AF12" s="14">
        <v>3.1018690130652001E-2</v>
      </c>
      <c r="AG12" s="14">
        <v>0</v>
      </c>
      <c r="AH12" s="14"/>
      <c r="AI12" s="14">
        <v>8.9356825087945294E-3</v>
      </c>
      <c r="AJ12" s="14">
        <v>7.6754485232973504E-3</v>
      </c>
      <c r="AK12" s="14">
        <v>0</v>
      </c>
      <c r="AL12" s="14">
        <v>5.5277068185930903E-3</v>
      </c>
      <c r="AM12" s="14">
        <v>1.93927034350065E-2</v>
      </c>
      <c r="AN12" s="14">
        <v>0</v>
      </c>
      <c r="AO12" s="14"/>
      <c r="AP12" s="14">
        <v>8.5316452547094003E-3</v>
      </c>
      <c r="AQ12" s="14">
        <v>5.1628575112176202E-3</v>
      </c>
      <c r="AR12" s="14"/>
      <c r="AS12" s="14">
        <v>4.94866730026339E-3</v>
      </c>
      <c r="AT12" s="14">
        <v>1.86194234220079E-2</v>
      </c>
      <c r="AU12" s="14">
        <v>4.0160024780333597E-3</v>
      </c>
      <c r="AV12" s="14"/>
      <c r="AW12" s="14">
        <v>9.0211055680867493E-3</v>
      </c>
      <c r="AX12" s="14">
        <v>9.5141975415884996E-4</v>
      </c>
      <c r="AY12" s="14"/>
      <c r="AZ12" s="14">
        <v>7.4965935187091002E-3</v>
      </c>
      <c r="BA12" s="14">
        <v>4.9911926999698496E-3</v>
      </c>
    </row>
    <row r="13" spans="2:53" x14ac:dyDescent="0.35">
      <c r="B13" s="15" t="s">
        <v>408</v>
      </c>
      <c r="C13" s="14">
        <v>3.6029237873948499E-3</v>
      </c>
      <c r="D13" s="14">
        <v>5.6859292978725497E-3</v>
      </c>
      <c r="E13" s="14">
        <v>1.52174580127963E-3</v>
      </c>
      <c r="F13" s="14"/>
      <c r="G13" s="14">
        <v>0</v>
      </c>
      <c r="H13" s="14">
        <v>0</v>
      </c>
      <c r="I13" s="14">
        <v>4.5065163247461097E-3</v>
      </c>
      <c r="J13" s="14">
        <v>5.4288551371964701E-3</v>
      </c>
      <c r="K13" s="14">
        <v>0</v>
      </c>
      <c r="L13" s="14">
        <v>0</v>
      </c>
      <c r="M13" s="14"/>
      <c r="N13" s="14">
        <v>3.56165460995735E-4</v>
      </c>
      <c r="O13" s="14">
        <v>0</v>
      </c>
      <c r="P13" s="14">
        <v>4.4230463225213403E-3</v>
      </c>
      <c r="Q13" s="14">
        <v>1.0171591637757001E-2</v>
      </c>
      <c r="R13" s="14"/>
      <c r="S13" s="14">
        <v>6.67347789962999E-3</v>
      </c>
      <c r="T13" s="14">
        <v>1.02438054876819E-2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6.9324133952523102E-3</v>
      </c>
      <c r="AB13" s="14"/>
      <c r="AC13" s="14">
        <v>0</v>
      </c>
      <c r="AD13" s="14">
        <v>0</v>
      </c>
      <c r="AE13" s="14">
        <v>0</v>
      </c>
      <c r="AF13" s="14">
        <v>7.1075717487843601E-3</v>
      </c>
      <c r="AG13" s="14">
        <v>0</v>
      </c>
      <c r="AH13" s="14"/>
      <c r="AI13" s="14">
        <v>7.2189100363035498E-3</v>
      </c>
      <c r="AJ13" s="14">
        <v>5.4102809294587803E-4</v>
      </c>
      <c r="AK13" s="14">
        <v>1.08327553971419E-2</v>
      </c>
      <c r="AL13" s="14">
        <v>0</v>
      </c>
      <c r="AM13" s="14">
        <v>0</v>
      </c>
      <c r="AN13" s="14">
        <v>0</v>
      </c>
      <c r="AO13" s="14"/>
      <c r="AP13" s="14">
        <v>3.72338597417923E-3</v>
      </c>
      <c r="AQ13" s="14">
        <v>3.47899830925113E-3</v>
      </c>
      <c r="AR13" s="14"/>
      <c r="AS13" s="14">
        <v>5.5757560232247004E-4</v>
      </c>
      <c r="AT13" s="14">
        <v>5.14795030146235E-3</v>
      </c>
      <c r="AU13" s="14">
        <v>3.9656762224947097E-3</v>
      </c>
      <c r="AV13" s="14"/>
      <c r="AW13" s="14">
        <v>1.29118837954861E-3</v>
      </c>
      <c r="AX13" s="14">
        <v>6.0386888704462398E-3</v>
      </c>
      <c r="AY13" s="14"/>
      <c r="AZ13" s="14">
        <v>3.3535396448160599E-3</v>
      </c>
      <c r="BA13" s="14">
        <v>4.6085428307784696E-3</v>
      </c>
    </row>
    <row r="14" spans="2:53" x14ac:dyDescent="0.35">
      <c r="B14" s="15" t="s">
        <v>80</v>
      </c>
      <c r="C14" s="14">
        <v>8.3304735891578403E-3</v>
      </c>
      <c r="D14" s="14">
        <v>5.4172987044619203E-3</v>
      </c>
      <c r="E14" s="14">
        <v>1.1254054350541E-2</v>
      </c>
      <c r="F14" s="14"/>
      <c r="G14" s="14">
        <v>0</v>
      </c>
      <c r="H14" s="14">
        <v>2.2169451002674201E-2</v>
      </c>
      <c r="I14" s="14">
        <v>4.6110906234753902E-3</v>
      </c>
      <c r="J14" s="14">
        <v>4.5140669125339301E-3</v>
      </c>
      <c r="K14" s="14">
        <v>6.0053091348382199E-3</v>
      </c>
      <c r="L14" s="14">
        <v>7.1927198932918504E-2</v>
      </c>
      <c r="M14" s="14"/>
      <c r="N14" s="14">
        <v>1.37854889520106E-3</v>
      </c>
      <c r="O14" s="14">
        <v>6.6190314607913201E-3</v>
      </c>
      <c r="P14" s="14">
        <v>1.03244172737083E-2</v>
      </c>
      <c r="Q14" s="14">
        <v>1.5956916482660202E-2</v>
      </c>
      <c r="R14" s="14"/>
      <c r="S14" s="14">
        <v>3.71303177551797E-3</v>
      </c>
      <c r="T14" s="14">
        <v>2.6753144699723499E-3</v>
      </c>
      <c r="U14" s="14">
        <v>0</v>
      </c>
      <c r="V14" s="14">
        <v>1.64455820094714E-2</v>
      </c>
      <c r="W14" s="14">
        <v>1.88612687674896E-2</v>
      </c>
      <c r="X14" s="14">
        <v>1.41412892218795E-2</v>
      </c>
      <c r="Y14" s="14">
        <v>7.5904730578917404E-3</v>
      </c>
      <c r="Z14" s="14">
        <v>0</v>
      </c>
      <c r="AA14" s="14">
        <v>1.2515119121026E-2</v>
      </c>
      <c r="AB14" s="14"/>
      <c r="AC14" s="14">
        <v>8.3798599602272605E-3</v>
      </c>
      <c r="AD14" s="14">
        <v>1.20338850474034E-2</v>
      </c>
      <c r="AE14" s="14">
        <v>2.8237269228629899E-3</v>
      </c>
      <c r="AF14" s="14">
        <v>6.9113710725790603E-3</v>
      </c>
      <c r="AG14" s="14">
        <v>0</v>
      </c>
      <c r="AH14" s="14"/>
      <c r="AI14" s="14">
        <v>7.8997525796194699E-3</v>
      </c>
      <c r="AJ14" s="14">
        <v>1.0200478881350001E-2</v>
      </c>
      <c r="AK14" s="14">
        <v>3.7683803354501499E-3</v>
      </c>
      <c r="AL14" s="14">
        <v>7.5423122463288798E-3</v>
      </c>
      <c r="AM14" s="14">
        <v>0</v>
      </c>
      <c r="AN14" s="14">
        <v>2.32369018316229E-2</v>
      </c>
      <c r="AO14" s="14"/>
      <c r="AP14" s="14">
        <v>3.8074877002397E-3</v>
      </c>
      <c r="AQ14" s="14">
        <v>1.3446313935704401E-2</v>
      </c>
      <c r="AR14" s="14"/>
      <c r="AS14" s="14">
        <v>9.6346223239639605E-3</v>
      </c>
      <c r="AT14" s="14">
        <v>1.7118773617859202E-2</v>
      </c>
      <c r="AU14" s="14">
        <v>5.38082347315527E-3</v>
      </c>
      <c r="AV14" s="14"/>
      <c r="AW14" s="14">
        <v>7.20390781234984E-3</v>
      </c>
      <c r="AX14" s="14">
        <v>7.0906457549656E-3</v>
      </c>
      <c r="AY14" s="14"/>
      <c r="AZ14" s="14">
        <v>5.3806751139058402E-3</v>
      </c>
      <c r="BA14" s="14">
        <v>8.9067398534204995E-3</v>
      </c>
    </row>
    <row r="15" spans="2:53" x14ac:dyDescent="0.35">
      <c r="B15" s="15" t="s">
        <v>409</v>
      </c>
      <c r="C15" s="18">
        <v>0.91448367124059904</v>
      </c>
      <c r="D15" s="18">
        <v>0.91718107909012103</v>
      </c>
      <c r="E15" s="18">
        <v>0.91170119723904497</v>
      </c>
      <c r="F15" s="18"/>
      <c r="G15" s="18">
        <v>0.62436371663189105</v>
      </c>
      <c r="H15" s="18">
        <v>0.88165275658827402</v>
      </c>
      <c r="I15" s="18">
        <v>0.91242405825987005</v>
      </c>
      <c r="J15" s="18">
        <v>0.94327855919797599</v>
      </c>
      <c r="K15" s="18">
        <v>0.90865751259088801</v>
      </c>
      <c r="L15" s="18">
        <v>0.86367856709561197</v>
      </c>
      <c r="M15" s="18"/>
      <c r="N15" s="18">
        <v>0.95281678414946702</v>
      </c>
      <c r="O15" s="18">
        <v>0.92141004691066297</v>
      </c>
      <c r="P15" s="18">
        <v>0.89701889753614905</v>
      </c>
      <c r="Q15" s="18">
        <v>0.88026934585387995</v>
      </c>
      <c r="R15" s="18"/>
      <c r="S15" s="18">
        <v>0.94161635899171303</v>
      </c>
      <c r="T15" s="18">
        <v>0.91636952448979203</v>
      </c>
      <c r="U15" s="18">
        <v>0.93630824964203097</v>
      </c>
      <c r="V15" s="18">
        <v>0.92815360239042899</v>
      </c>
      <c r="W15" s="18">
        <v>0.87038740353813104</v>
      </c>
      <c r="X15" s="18">
        <v>0.89079540980064997</v>
      </c>
      <c r="Y15" s="18">
        <v>0.901282791438761</v>
      </c>
      <c r="Z15" s="18">
        <v>0.91802631886868602</v>
      </c>
      <c r="AA15" s="18">
        <v>0.90805999697772</v>
      </c>
      <c r="AB15" s="18"/>
      <c r="AC15" s="18">
        <v>0.88020887707187201</v>
      </c>
      <c r="AD15" s="18">
        <v>0.93375532783864301</v>
      </c>
      <c r="AE15" s="18">
        <v>0.94997945083159496</v>
      </c>
      <c r="AF15" s="18">
        <v>0.89011289657612902</v>
      </c>
      <c r="AG15" s="18">
        <v>0.960618528108243</v>
      </c>
      <c r="AH15" s="18"/>
      <c r="AI15" s="18">
        <v>0.92043127840841399</v>
      </c>
      <c r="AJ15" s="18">
        <v>0.93102159492496295</v>
      </c>
      <c r="AK15" s="18">
        <v>0.95025156731409699</v>
      </c>
      <c r="AL15" s="18">
        <v>0.90987552015055995</v>
      </c>
      <c r="AM15" s="18">
        <v>0.912385955269439</v>
      </c>
      <c r="AN15" s="18">
        <v>0.88069634897492699</v>
      </c>
      <c r="AO15" s="18"/>
      <c r="AP15" s="18">
        <v>0.92574435074191397</v>
      </c>
      <c r="AQ15" s="18">
        <v>0.90153822929881899</v>
      </c>
      <c r="AR15" s="18"/>
      <c r="AS15" s="18">
        <v>0.92231339325039796</v>
      </c>
      <c r="AT15" s="18">
        <v>0.89753225793162805</v>
      </c>
      <c r="AU15" s="18">
        <v>0.91738887177620099</v>
      </c>
      <c r="AV15" s="18"/>
      <c r="AW15" s="18">
        <v>0.92207824864269605</v>
      </c>
      <c r="AX15" s="18">
        <v>0.92273435802763903</v>
      </c>
      <c r="AY15" s="18"/>
      <c r="AZ15" s="18">
        <v>0.92438837699584497</v>
      </c>
      <c r="BA15" s="18">
        <v>0.89125662095452096</v>
      </c>
    </row>
    <row r="16" spans="2:53" x14ac:dyDescent="0.35">
      <c r="B16" s="15" t="s">
        <v>410</v>
      </c>
      <c r="C16" s="18">
        <v>1.0538843459184001E-2</v>
      </c>
      <c r="D16" s="18">
        <v>1.3793587512675501E-2</v>
      </c>
      <c r="E16" s="18">
        <v>7.2917144872536102E-3</v>
      </c>
      <c r="F16" s="18"/>
      <c r="G16" s="18">
        <v>0.18127959358201301</v>
      </c>
      <c r="H16" s="18">
        <v>1.3146379582495401E-2</v>
      </c>
      <c r="I16" s="18">
        <v>1.15541551308272E-2</v>
      </c>
      <c r="J16" s="18">
        <v>8.4859668544284908E-3</v>
      </c>
      <c r="K16" s="18">
        <v>0</v>
      </c>
      <c r="L16" s="18">
        <v>0</v>
      </c>
      <c r="M16" s="18"/>
      <c r="N16" s="18">
        <v>4.0524083451593598E-3</v>
      </c>
      <c r="O16" s="18">
        <v>6.9478002199084496E-3</v>
      </c>
      <c r="P16" s="18">
        <v>1.4211060731935E-2</v>
      </c>
      <c r="Q16" s="18">
        <v>1.8164833294390701E-2</v>
      </c>
      <c r="R16" s="18"/>
      <c r="S16" s="18">
        <v>1.3329288118219301E-2</v>
      </c>
      <c r="T16" s="18">
        <v>1.63308143328477E-2</v>
      </c>
      <c r="U16" s="18">
        <v>8.4902099896134592E-3</v>
      </c>
      <c r="V16" s="18">
        <v>0</v>
      </c>
      <c r="W16" s="18">
        <v>1.6866766928508699E-2</v>
      </c>
      <c r="X16" s="18">
        <v>1.0765807598814001E-2</v>
      </c>
      <c r="Y16" s="18">
        <v>4.9367990524633396E-3</v>
      </c>
      <c r="Z16" s="18">
        <v>0</v>
      </c>
      <c r="AA16" s="18">
        <v>1.42929885489278E-2</v>
      </c>
      <c r="AB16" s="18"/>
      <c r="AC16" s="18">
        <v>1.9789177808330598E-3</v>
      </c>
      <c r="AD16" s="18">
        <v>3.78651976252127E-3</v>
      </c>
      <c r="AE16" s="18">
        <v>3.7187395533157201E-3</v>
      </c>
      <c r="AF16" s="18">
        <v>3.81262618794364E-2</v>
      </c>
      <c r="AG16" s="18">
        <v>0</v>
      </c>
      <c r="AH16" s="18"/>
      <c r="AI16" s="18">
        <v>1.6154592545098101E-2</v>
      </c>
      <c r="AJ16" s="18">
        <v>8.2164766162432304E-3</v>
      </c>
      <c r="AK16" s="18">
        <v>1.08327553971419E-2</v>
      </c>
      <c r="AL16" s="18">
        <v>5.5277068185930903E-3</v>
      </c>
      <c r="AM16" s="18">
        <v>1.93927034350065E-2</v>
      </c>
      <c r="AN16" s="18">
        <v>0</v>
      </c>
      <c r="AO16" s="18"/>
      <c r="AP16" s="18">
        <v>1.22550312288886E-2</v>
      </c>
      <c r="AQ16" s="18">
        <v>8.6418558204687506E-3</v>
      </c>
      <c r="AR16" s="18"/>
      <c r="AS16" s="18">
        <v>5.50624290258586E-3</v>
      </c>
      <c r="AT16" s="18">
        <v>2.3767373723470198E-2</v>
      </c>
      <c r="AU16" s="18">
        <v>7.9816787005280703E-3</v>
      </c>
      <c r="AV16" s="18"/>
      <c r="AW16" s="18">
        <v>1.0312293947635401E-2</v>
      </c>
      <c r="AX16" s="18">
        <v>6.99010862460509E-3</v>
      </c>
      <c r="AY16" s="18"/>
      <c r="AZ16" s="18">
        <v>1.08501331635252E-2</v>
      </c>
      <c r="BA16" s="18">
        <v>9.5997355307483202E-3</v>
      </c>
    </row>
    <row r="17" spans="2:53" x14ac:dyDescent="0.35">
      <c r="B17" s="15" t="s">
        <v>82</v>
      </c>
      <c r="C17" s="19">
        <v>0.90394482778141505</v>
      </c>
      <c r="D17" s="19">
        <v>0.90338749157744602</v>
      </c>
      <c r="E17" s="19">
        <v>0.904409482751792</v>
      </c>
      <c r="F17" s="19"/>
      <c r="G17" s="19">
        <v>0.44308412304987799</v>
      </c>
      <c r="H17" s="19">
        <v>0.86850637700577904</v>
      </c>
      <c r="I17" s="19">
        <v>0.90086990312904303</v>
      </c>
      <c r="J17" s="19">
        <v>0.93479259234354795</v>
      </c>
      <c r="K17" s="19">
        <v>0.90865751259088801</v>
      </c>
      <c r="L17" s="19">
        <v>0.86367856709561197</v>
      </c>
      <c r="M17" s="19"/>
      <c r="N17" s="19">
        <v>0.94876437580430695</v>
      </c>
      <c r="O17" s="19">
        <v>0.91446224669075404</v>
      </c>
      <c r="P17" s="19">
        <v>0.88280783680421404</v>
      </c>
      <c r="Q17" s="19">
        <v>0.86210451255948894</v>
      </c>
      <c r="R17" s="19"/>
      <c r="S17" s="19">
        <v>0.92828707087349305</v>
      </c>
      <c r="T17" s="19">
        <v>0.90003871015694403</v>
      </c>
      <c r="U17" s="19">
        <v>0.92781803965241705</v>
      </c>
      <c r="V17" s="19">
        <v>0.92815360239042899</v>
      </c>
      <c r="W17" s="19">
        <v>0.85352063660962196</v>
      </c>
      <c r="X17" s="19">
        <v>0.88002960220183601</v>
      </c>
      <c r="Y17" s="19">
        <v>0.89634599238629797</v>
      </c>
      <c r="Z17" s="19">
        <v>0.91802631886868602</v>
      </c>
      <c r="AA17" s="19">
        <v>0.89376700842879198</v>
      </c>
      <c r="AB17" s="19"/>
      <c r="AC17" s="19">
        <v>0.87822995929103898</v>
      </c>
      <c r="AD17" s="19">
        <v>0.92996880807612203</v>
      </c>
      <c r="AE17" s="19">
        <v>0.94626071127828004</v>
      </c>
      <c r="AF17" s="19">
        <v>0.851986634696693</v>
      </c>
      <c r="AG17" s="19">
        <v>0.960618528108243</v>
      </c>
      <c r="AH17" s="19"/>
      <c r="AI17" s="19">
        <v>0.904276685863316</v>
      </c>
      <c r="AJ17" s="19">
        <v>0.92280511830872003</v>
      </c>
      <c r="AK17" s="19">
        <v>0.93941881191695498</v>
      </c>
      <c r="AL17" s="19">
        <v>0.90434781333196701</v>
      </c>
      <c r="AM17" s="19">
        <v>0.89299325183443301</v>
      </c>
      <c r="AN17" s="19">
        <v>0.88069634897492699</v>
      </c>
      <c r="AO17" s="19"/>
      <c r="AP17" s="19">
        <v>0.91348931951302503</v>
      </c>
      <c r="AQ17" s="19">
        <v>0.89289637347835005</v>
      </c>
      <c r="AR17" s="19"/>
      <c r="AS17" s="19">
        <v>0.91680715034781202</v>
      </c>
      <c r="AT17" s="19">
        <v>0.87376488420815801</v>
      </c>
      <c r="AU17" s="19">
        <v>0.90940719307567297</v>
      </c>
      <c r="AV17" s="19"/>
      <c r="AW17" s="19">
        <v>0.91176595469506105</v>
      </c>
      <c r="AX17" s="19">
        <v>0.91574424940303401</v>
      </c>
      <c r="AY17" s="19"/>
      <c r="AZ17" s="19">
        <v>0.91353824383231996</v>
      </c>
      <c r="BA17" s="19">
        <v>0.88165688542377196</v>
      </c>
    </row>
    <row r="18" spans="2:53" x14ac:dyDescent="0.35">
      <c r="B18" s="16"/>
    </row>
    <row r="19" spans="2:53" x14ac:dyDescent="0.35">
      <c r="B19" t="s">
        <v>84</v>
      </c>
    </row>
    <row r="20" spans="2:53" x14ac:dyDescent="0.35">
      <c r="B20" t="s">
        <v>85</v>
      </c>
    </row>
    <row r="22" spans="2:53" x14ac:dyDescent="0.35">
      <c r="B22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B2:BA22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413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404</v>
      </c>
      <c r="C9" s="14">
        <v>0.52882852978325401</v>
      </c>
      <c r="D9" s="14">
        <v>0.55237077842066296</v>
      </c>
      <c r="E9" s="14">
        <v>0.50578016376441703</v>
      </c>
      <c r="F9" s="14"/>
      <c r="G9" s="14">
        <v>0.25319484760058802</v>
      </c>
      <c r="H9" s="14">
        <v>0.50637233461116704</v>
      </c>
      <c r="I9" s="14">
        <v>0.52447374520808099</v>
      </c>
      <c r="J9" s="14">
        <v>0.52753791171795095</v>
      </c>
      <c r="K9" s="14">
        <v>0.59851309453814105</v>
      </c>
      <c r="L9" s="14">
        <v>0.57514650434645598</v>
      </c>
      <c r="M9" s="14"/>
      <c r="N9" s="14">
        <v>0.58310893673415398</v>
      </c>
      <c r="O9" s="14">
        <v>0.55960703235495901</v>
      </c>
      <c r="P9" s="14">
        <v>0.48206090758075698</v>
      </c>
      <c r="Q9" s="14">
        <v>0.47746652984475502</v>
      </c>
      <c r="R9" s="14"/>
      <c r="S9" s="14">
        <v>0.54618762946047095</v>
      </c>
      <c r="T9" s="14">
        <v>0.57026221037942604</v>
      </c>
      <c r="U9" s="14">
        <v>0.54037273223202398</v>
      </c>
      <c r="V9" s="14">
        <v>0.48562406825363502</v>
      </c>
      <c r="W9" s="14">
        <v>0.52619169274016797</v>
      </c>
      <c r="X9" s="14">
        <v>0.51350938936124502</v>
      </c>
      <c r="Y9" s="14">
        <v>0.50996138969197302</v>
      </c>
      <c r="Z9" s="14">
        <v>0.522900329875849</v>
      </c>
      <c r="AA9" s="14">
        <v>0.51463601451638097</v>
      </c>
      <c r="AB9" s="14"/>
      <c r="AC9" s="14">
        <v>0.48665008459181203</v>
      </c>
      <c r="AD9" s="14">
        <v>0.47184026128952999</v>
      </c>
      <c r="AE9" s="14">
        <v>0.56598145853448201</v>
      </c>
      <c r="AF9" s="14">
        <v>0.58246929628473598</v>
      </c>
      <c r="AG9" s="14">
        <v>0.65247733084175497</v>
      </c>
      <c r="AH9" s="14"/>
      <c r="AI9" s="14">
        <v>0.550573674817883</v>
      </c>
      <c r="AJ9" s="14">
        <v>0.55005899597741104</v>
      </c>
      <c r="AK9" s="14">
        <v>0.531895038348416</v>
      </c>
      <c r="AL9" s="14">
        <v>0.52175163772135102</v>
      </c>
      <c r="AM9" s="14">
        <v>0.51462757689449201</v>
      </c>
      <c r="AN9" s="14">
        <v>0.56237503288481705</v>
      </c>
      <c r="AO9" s="14"/>
      <c r="AP9" s="14">
        <v>0.53749211389375195</v>
      </c>
      <c r="AQ9" s="14">
        <v>0.52011826484358403</v>
      </c>
      <c r="AR9" s="14"/>
      <c r="AS9" s="14">
        <v>0.531475221209045</v>
      </c>
      <c r="AT9" s="14">
        <v>0.53179138947349502</v>
      </c>
      <c r="AU9" s="14">
        <v>0.52724010942414201</v>
      </c>
      <c r="AV9" s="14"/>
      <c r="AW9" s="14">
        <v>0.52828560357272003</v>
      </c>
      <c r="AX9" s="14">
        <v>0.60199821573925205</v>
      </c>
      <c r="AY9" s="14"/>
      <c r="AZ9" s="14">
        <v>0.56991392503741301</v>
      </c>
      <c r="BA9" s="14">
        <v>0.38675423345042398</v>
      </c>
    </row>
    <row r="10" spans="2:53" x14ac:dyDescent="0.35">
      <c r="B10" s="15" t="s">
        <v>405</v>
      </c>
      <c r="C10" s="14">
        <v>0.34570813357098201</v>
      </c>
      <c r="D10" s="14">
        <v>0.33982238416885102</v>
      </c>
      <c r="E10" s="14">
        <v>0.35193375822334999</v>
      </c>
      <c r="F10" s="14"/>
      <c r="G10" s="14">
        <v>0.57861578435543304</v>
      </c>
      <c r="H10" s="14">
        <v>0.35886555435655398</v>
      </c>
      <c r="I10" s="14">
        <v>0.34128845762258497</v>
      </c>
      <c r="J10" s="14">
        <v>0.36391608310945101</v>
      </c>
      <c r="K10" s="14">
        <v>0.28380342554294702</v>
      </c>
      <c r="L10" s="14">
        <v>0.275690337429566</v>
      </c>
      <c r="M10" s="14"/>
      <c r="N10" s="14">
        <v>0.33253722321094298</v>
      </c>
      <c r="O10" s="14">
        <v>0.32997669227151</v>
      </c>
      <c r="P10" s="14">
        <v>0.36555068849744798</v>
      </c>
      <c r="Q10" s="14">
        <v>0.35927832224908202</v>
      </c>
      <c r="R10" s="14"/>
      <c r="S10" s="14">
        <v>0.34921167675864201</v>
      </c>
      <c r="T10" s="14">
        <v>0.323883107021604</v>
      </c>
      <c r="U10" s="14">
        <v>0.31810235402201298</v>
      </c>
      <c r="V10" s="14">
        <v>0.41792410845863898</v>
      </c>
      <c r="W10" s="14">
        <v>0.29476144000361099</v>
      </c>
      <c r="X10" s="14">
        <v>0.33528152387909899</v>
      </c>
      <c r="Y10" s="14">
        <v>0.35916779597168103</v>
      </c>
      <c r="Z10" s="14">
        <v>0.35099832145792798</v>
      </c>
      <c r="AA10" s="14">
        <v>0.35940124974173199</v>
      </c>
      <c r="AB10" s="14"/>
      <c r="AC10" s="14">
        <v>0.34658660002574698</v>
      </c>
      <c r="AD10" s="14">
        <v>0.41988596505824499</v>
      </c>
      <c r="AE10" s="14">
        <v>0.32547076540730402</v>
      </c>
      <c r="AF10" s="14">
        <v>0.30723209117503902</v>
      </c>
      <c r="AG10" s="14">
        <v>0.286299740778584</v>
      </c>
      <c r="AH10" s="14"/>
      <c r="AI10" s="14">
        <v>0.33087563833522599</v>
      </c>
      <c r="AJ10" s="14">
        <v>0.34146160111825002</v>
      </c>
      <c r="AK10" s="14">
        <v>0.38076288964827398</v>
      </c>
      <c r="AL10" s="14">
        <v>0.35046410137286399</v>
      </c>
      <c r="AM10" s="14">
        <v>0.31499725310186599</v>
      </c>
      <c r="AN10" s="14">
        <v>0.30793018381322801</v>
      </c>
      <c r="AO10" s="14"/>
      <c r="AP10" s="14">
        <v>0.34415991192422002</v>
      </c>
      <c r="AQ10" s="14">
        <v>0.34600827962902297</v>
      </c>
      <c r="AR10" s="14"/>
      <c r="AS10" s="14">
        <v>0.36178730771441298</v>
      </c>
      <c r="AT10" s="14">
        <v>0.35082861396188902</v>
      </c>
      <c r="AU10" s="14">
        <v>0.33986656567518903</v>
      </c>
      <c r="AV10" s="14"/>
      <c r="AW10" s="14">
        <v>0.35141330299942197</v>
      </c>
      <c r="AX10" s="14">
        <v>0.303035171126944</v>
      </c>
      <c r="AY10" s="14"/>
      <c r="AZ10" s="14">
        <v>0.31832242803138899</v>
      </c>
      <c r="BA10" s="14">
        <v>0.44693635919597702</v>
      </c>
    </row>
    <row r="11" spans="2:53" x14ac:dyDescent="0.35">
      <c r="B11" s="15" t="s">
        <v>406</v>
      </c>
      <c r="C11" s="14">
        <v>9.1631906865917601E-2</v>
      </c>
      <c r="D11" s="14">
        <v>8.3148563240612094E-2</v>
      </c>
      <c r="E11" s="14">
        <v>0.10021087219410101</v>
      </c>
      <c r="F11" s="14"/>
      <c r="G11" s="14">
        <v>0.16818936804397799</v>
      </c>
      <c r="H11" s="14">
        <v>8.0965607266933498E-2</v>
      </c>
      <c r="I11" s="14">
        <v>0.102511615942532</v>
      </c>
      <c r="J11" s="14">
        <v>7.8458992390754906E-2</v>
      </c>
      <c r="K11" s="14">
        <v>9.8311838939452695E-2</v>
      </c>
      <c r="L11" s="14">
        <v>7.7235959291058906E-2</v>
      </c>
      <c r="M11" s="14"/>
      <c r="N11" s="14">
        <v>6.6097755159671603E-2</v>
      </c>
      <c r="O11" s="14">
        <v>8.9680927862107407E-2</v>
      </c>
      <c r="P11" s="14">
        <v>0.113432281696574</v>
      </c>
      <c r="Q11" s="14">
        <v>0.103117312526444</v>
      </c>
      <c r="R11" s="14"/>
      <c r="S11" s="14">
        <v>7.9009958233628205E-2</v>
      </c>
      <c r="T11" s="14">
        <v>7.9417980948904093E-2</v>
      </c>
      <c r="U11" s="14">
        <v>0.100311502689758</v>
      </c>
      <c r="V11" s="14">
        <v>6.03320540568828E-2</v>
      </c>
      <c r="W11" s="14">
        <v>0.13462325807241801</v>
      </c>
      <c r="X11" s="14">
        <v>0.107742701253838</v>
      </c>
      <c r="Y11" s="14">
        <v>8.0782662896611498E-2</v>
      </c>
      <c r="Z11" s="14">
        <v>0.109711055397634</v>
      </c>
      <c r="AA11" s="14">
        <v>0.101169227091691</v>
      </c>
      <c r="AB11" s="14"/>
      <c r="AC11" s="14">
        <v>0.115176952534321</v>
      </c>
      <c r="AD11" s="14">
        <v>7.6030944345162596E-2</v>
      </c>
      <c r="AE11" s="14">
        <v>9.3659835833490301E-2</v>
      </c>
      <c r="AF11" s="14">
        <v>7.8847469539204407E-2</v>
      </c>
      <c r="AG11" s="14">
        <v>4.1662809830790903E-2</v>
      </c>
      <c r="AH11" s="14"/>
      <c r="AI11" s="14">
        <v>7.43159606906246E-2</v>
      </c>
      <c r="AJ11" s="14">
        <v>8.2207973079021598E-2</v>
      </c>
      <c r="AK11" s="14">
        <v>5.4384428550827098E-2</v>
      </c>
      <c r="AL11" s="14">
        <v>0.113399362985683</v>
      </c>
      <c r="AM11" s="14">
        <v>0.14287009083039401</v>
      </c>
      <c r="AN11" s="14">
        <v>0.10218234466505</v>
      </c>
      <c r="AO11" s="14"/>
      <c r="AP11" s="14">
        <v>9.0214024673444901E-2</v>
      </c>
      <c r="AQ11" s="14">
        <v>9.3522531028882597E-2</v>
      </c>
      <c r="AR11" s="14"/>
      <c r="AS11" s="14">
        <v>8.9239892709210497E-2</v>
      </c>
      <c r="AT11" s="14">
        <v>7.8180730015537894E-2</v>
      </c>
      <c r="AU11" s="14">
        <v>9.6253129836494103E-2</v>
      </c>
      <c r="AV11" s="14"/>
      <c r="AW11" s="14">
        <v>8.8464824996639102E-2</v>
      </c>
      <c r="AX11" s="14">
        <v>7.1303090843040207E-2</v>
      </c>
      <c r="AY11" s="14"/>
      <c r="AZ11" s="14">
        <v>8.4256887974372099E-2</v>
      </c>
      <c r="BA11" s="14">
        <v>0.118781824845239</v>
      </c>
    </row>
    <row r="12" spans="2:53" x14ac:dyDescent="0.35">
      <c r="B12" s="15" t="s">
        <v>407</v>
      </c>
      <c r="C12" s="14">
        <v>1.69007424852031E-2</v>
      </c>
      <c r="D12" s="14">
        <v>1.4106907973204E-2</v>
      </c>
      <c r="E12" s="14">
        <v>1.8743682001690298E-2</v>
      </c>
      <c r="F12" s="14"/>
      <c r="G12" s="14">
        <v>0</v>
      </c>
      <c r="H12" s="14">
        <v>3.9997695929707797E-2</v>
      </c>
      <c r="I12" s="14">
        <v>1.6779087740076699E-2</v>
      </c>
      <c r="J12" s="14">
        <v>1.1419797468319099E-2</v>
      </c>
      <c r="K12" s="14">
        <v>1.7018237373643201E-3</v>
      </c>
      <c r="L12" s="14">
        <v>0</v>
      </c>
      <c r="M12" s="14"/>
      <c r="N12" s="14">
        <v>1.0177370144044301E-2</v>
      </c>
      <c r="O12" s="14">
        <v>1.1299436437544601E-2</v>
      </c>
      <c r="P12" s="14">
        <v>1.5826633924122101E-2</v>
      </c>
      <c r="Q12" s="14">
        <v>3.1119906544795999E-2</v>
      </c>
      <c r="R12" s="14"/>
      <c r="S12" s="14">
        <v>5.61172641063704E-3</v>
      </c>
      <c r="T12" s="14">
        <v>9.1176379145070305E-3</v>
      </c>
      <c r="U12" s="14">
        <v>1.1230086777515301E-2</v>
      </c>
      <c r="V12" s="14">
        <v>3.0307129262976601E-2</v>
      </c>
      <c r="W12" s="14">
        <v>2.1998447355788001E-2</v>
      </c>
      <c r="X12" s="14">
        <v>2.1821351670292501E-2</v>
      </c>
      <c r="Y12" s="14">
        <v>3.9215968420782801E-2</v>
      </c>
      <c r="Z12" s="14">
        <v>0</v>
      </c>
      <c r="AA12" s="14">
        <v>1.53252699288521E-2</v>
      </c>
      <c r="AB12" s="14"/>
      <c r="AC12" s="14">
        <v>1.9560152951522799E-2</v>
      </c>
      <c r="AD12" s="14">
        <v>1.85641474807632E-2</v>
      </c>
      <c r="AE12" s="14">
        <v>1.24213812692218E-2</v>
      </c>
      <c r="AF12" s="14">
        <v>1.32089480045981E-2</v>
      </c>
      <c r="AG12" s="14">
        <v>4.12371804303884E-3</v>
      </c>
      <c r="AH12" s="14"/>
      <c r="AI12" s="14">
        <v>2.08744859860861E-2</v>
      </c>
      <c r="AJ12" s="14">
        <v>1.8563646291181998E-2</v>
      </c>
      <c r="AK12" s="14">
        <v>2.1128713482620399E-2</v>
      </c>
      <c r="AL12" s="14">
        <v>0</v>
      </c>
      <c r="AM12" s="14">
        <v>2.0330404032142001E-2</v>
      </c>
      <c r="AN12" s="14">
        <v>1.09474685546487E-2</v>
      </c>
      <c r="AO12" s="14"/>
      <c r="AP12" s="14">
        <v>1.64394591132947E-2</v>
      </c>
      <c r="AQ12" s="14">
        <v>1.7474218034368199E-2</v>
      </c>
      <c r="AR12" s="14"/>
      <c r="AS12" s="14">
        <v>6.7320778490850197E-3</v>
      </c>
      <c r="AT12" s="14">
        <v>2.2943956146596601E-2</v>
      </c>
      <c r="AU12" s="14">
        <v>1.7850535343254599E-2</v>
      </c>
      <c r="AV12" s="14"/>
      <c r="AW12" s="14">
        <v>1.4822898279844E-2</v>
      </c>
      <c r="AX12" s="14">
        <v>1.7617878296162199E-2</v>
      </c>
      <c r="AY12" s="14"/>
      <c r="AZ12" s="14">
        <v>1.5655854846509699E-2</v>
      </c>
      <c r="BA12" s="14">
        <v>2.18978374574001E-2</v>
      </c>
    </row>
    <row r="13" spans="2:53" x14ac:dyDescent="0.35">
      <c r="B13" s="15" t="s">
        <v>408</v>
      </c>
      <c r="C13" s="14">
        <v>2.9466034354062101E-3</v>
      </c>
      <c r="D13" s="14">
        <v>1.94073614556182E-3</v>
      </c>
      <c r="E13" s="14">
        <v>3.9561317870385401E-3</v>
      </c>
      <c r="F13" s="14"/>
      <c r="G13" s="14">
        <v>0</v>
      </c>
      <c r="H13" s="14">
        <v>0</v>
      </c>
      <c r="I13" s="14">
        <v>2.83810274564776E-3</v>
      </c>
      <c r="J13" s="14">
        <v>3.2225477329788301E-3</v>
      </c>
      <c r="K13" s="14">
        <v>7.99300537703161E-3</v>
      </c>
      <c r="L13" s="14">
        <v>0</v>
      </c>
      <c r="M13" s="14"/>
      <c r="N13" s="14">
        <v>2.3558285532676001E-3</v>
      </c>
      <c r="O13" s="14">
        <v>0</v>
      </c>
      <c r="P13" s="14">
        <v>1.05406079956949E-2</v>
      </c>
      <c r="Q13" s="14">
        <v>0</v>
      </c>
      <c r="R13" s="14"/>
      <c r="S13" s="14">
        <v>8.0342239733000899E-3</v>
      </c>
      <c r="T13" s="14">
        <v>3.7876400234463101E-3</v>
      </c>
      <c r="U13" s="14">
        <v>7.3488735309464098E-3</v>
      </c>
      <c r="V13" s="14">
        <v>0</v>
      </c>
      <c r="W13" s="14">
        <v>3.5638930605250401E-3</v>
      </c>
      <c r="X13" s="14">
        <v>0</v>
      </c>
      <c r="Y13" s="14">
        <v>0</v>
      </c>
      <c r="Z13" s="14">
        <v>0</v>
      </c>
      <c r="AA13" s="14">
        <v>0</v>
      </c>
      <c r="AB13" s="14"/>
      <c r="AC13" s="14">
        <v>1.6065491833876799E-3</v>
      </c>
      <c r="AD13" s="14">
        <v>4.3037412015726603E-3</v>
      </c>
      <c r="AE13" s="14">
        <v>0</v>
      </c>
      <c r="AF13" s="14">
        <v>1.13794306963181E-2</v>
      </c>
      <c r="AG13" s="14">
        <v>0</v>
      </c>
      <c r="AH13" s="14"/>
      <c r="AI13" s="14">
        <v>6.5866618470444898E-3</v>
      </c>
      <c r="AJ13" s="14">
        <v>1.7675347471059299E-3</v>
      </c>
      <c r="AK13" s="14">
        <v>0</v>
      </c>
      <c r="AL13" s="14">
        <v>2.0848360096914001E-3</v>
      </c>
      <c r="AM13" s="14">
        <v>0</v>
      </c>
      <c r="AN13" s="14">
        <v>0</v>
      </c>
      <c r="AO13" s="14"/>
      <c r="AP13" s="14">
        <v>2.5386074714724201E-3</v>
      </c>
      <c r="AQ13" s="14">
        <v>3.4151522965936401E-3</v>
      </c>
      <c r="AR13" s="14"/>
      <c r="AS13" s="14">
        <v>0</v>
      </c>
      <c r="AT13" s="14">
        <v>1.65797347998626E-3</v>
      </c>
      <c r="AU13" s="14">
        <v>4.1206788600749002E-3</v>
      </c>
      <c r="AV13" s="14"/>
      <c r="AW13" s="14">
        <v>2.9407788806688501E-3</v>
      </c>
      <c r="AX13" s="14">
        <v>0</v>
      </c>
      <c r="AY13" s="14"/>
      <c r="AZ13" s="14">
        <v>1.1701470165802401E-3</v>
      </c>
      <c r="BA13" s="14">
        <v>9.6323423644106895E-3</v>
      </c>
    </row>
    <row r="14" spans="2:53" x14ac:dyDescent="0.35">
      <c r="B14" s="15" t="s">
        <v>80</v>
      </c>
      <c r="C14" s="14">
        <v>1.3984083859237099E-2</v>
      </c>
      <c r="D14" s="14">
        <v>8.6106300511079193E-3</v>
      </c>
      <c r="E14" s="14">
        <v>1.9375392029403499E-2</v>
      </c>
      <c r="F14" s="14"/>
      <c r="G14" s="14">
        <v>0</v>
      </c>
      <c r="H14" s="14">
        <v>1.3798807835637699E-2</v>
      </c>
      <c r="I14" s="14">
        <v>1.21089907410779E-2</v>
      </c>
      <c r="J14" s="14">
        <v>1.54446675805454E-2</v>
      </c>
      <c r="K14" s="14">
        <v>9.6768118650629106E-3</v>
      </c>
      <c r="L14" s="14">
        <v>7.1927198932918504E-2</v>
      </c>
      <c r="M14" s="14"/>
      <c r="N14" s="14">
        <v>5.7228861979196103E-3</v>
      </c>
      <c r="O14" s="14">
        <v>9.4359110738790001E-3</v>
      </c>
      <c r="P14" s="14">
        <v>1.25888803054044E-2</v>
      </c>
      <c r="Q14" s="14">
        <v>2.9017928834922699E-2</v>
      </c>
      <c r="R14" s="14"/>
      <c r="S14" s="14">
        <v>1.1944785163321901E-2</v>
      </c>
      <c r="T14" s="14">
        <v>1.35314237121128E-2</v>
      </c>
      <c r="U14" s="14">
        <v>2.26344507477436E-2</v>
      </c>
      <c r="V14" s="14">
        <v>5.8126399678665496E-3</v>
      </c>
      <c r="W14" s="14">
        <v>1.88612687674896E-2</v>
      </c>
      <c r="X14" s="14">
        <v>2.1645033835526E-2</v>
      </c>
      <c r="Y14" s="14">
        <v>1.08721830189519E-2</v>
      </c>
      <c r="Z14" s="14">
        <v>1.63902932685887E-2</v>
      </c>
      <c r="AA14" s="14">
        <v>9.4682387213431106E-3</v>
      </c>
      <c r="AB14" s="14"/>
      <c r="AC14" s="14">
        <v>3.0419660713209298E-2</v>
      </c>
      <c r="AD14" s="14">
        <v>9.3749406247257295E-3</v>
      </c>
      <c r="AE14" s="14">
        <v>2.4665589555012499E-3</v>
      </c>
      <c r="AF14" s="14">
        <v>6.8627643001040904E-3</v>
      </c>
      <c r="AG14" s="14">
        <v>1.54364005058313E-2</v>
      </c>
      <c r="AH14" s="14"/>
      <c r="AI14" s="14">
        <v>1.6773578323135498E-2</v>
      </c>
      <c r="AJ14" s="14">
        <v>5.9402487870294299E-3</v>
      </c>
      <c r="AK14" s="14">
        <v>1.18289299698631E-2</v>
      </c>
      <c r="AL14" s="14">
        <v>1.23000619104102E-2</v>
      </c>
      <c r="AM14" s="14">
        <v>7.17467514110629E-3</v>
      </c>
      <c r="AN14" s="14">
        <v>1.6564970082255701E-2</v>
      </c>
      <c r="AO14" s="14"/>
      <c r="AP14" s="14">
        <v>9.1558829238159306E-3</v>
      </c>
      <c r="AQ14" s="14">
        <v>1.94615541675493E-2</v>
      </c>
      <c r="AR14" s="14"/>
      <c r="AS14" s="14">
        <v>1.07655005182467E-2</v>
      </c>
      <c r="AT14" s="14">
        <v>1.4597336922496E-2</v>
      </c>
      <c r="AU14" s="14">
        <v>1.46689808608459E-2</v>
      </c>
      <c r="AV14" s="14"/>
      <c r="AW14" s="14">
        <v>1.4072591270706701E-2</v>
      </c>
      <c r="AX14" s="14">
        <v>6.0456439946014002E-3</v>
      </c>
      <c r="AY14" s="14"/>
      <c r="AZ14" s="14">
        <v>1.06807570937354E-2</v>
      </c>
      <c r="BA14" s="14">
        <v>1.59974026865492E-2</v>
      </c>
    </row>
    <row r="15" spans="2:53" x14ac:dyDescent="0.35">
      <c r="B15" s="15" t="s">
        <v>409</v>
      </c>
      <c r="C15" s="18">
        <v>0.87453666335423597</v>
      </c>
      <c r="D15" s="18">
        <v>0.89219316258951398</v>
      </c>
      <c r="E15" s="18">
        <v>0.85771392198776697</v>
      </c>
      <c r="F15" s="18"/>
      <c r="G15" s="18">
        <v>0.83181063195602201</v>
      </c>
      <c r="H15" s="18">
        <v>0.86523788896772102</v>
      </c>
      <c r="I15" s="18">
        <v>0.86576220283066596</v>
      </c>
      <c r="J15" s="18">
        <v>0.89145399482740195</v>
      </c>
      <c r="K15" s="18">
        <v>0.88231652008108896</v>
      </c>
      <c r="L15" s="18">
        <v>0.85083684177602303</v>
      </c>
      <c r="M15" s="18"/>
      <c r="N15" s="18">
        <v>0.91564615994509702</v>
      </c>
      <c r="O15" s="18">
        <v>0.88958372462646895</v>
      </c>
      <c r="P15" s="18">
        <v>0.84761159607820502</v>
      </c>
      <c r="Q15" s="18">
        <v>0.83674485209383798</v>
      </c>
      <c r="R15" s="18"/>
      <c r="S15" s="18">
        <v>0.89539930621911301</v>
      </c>
      <c r="T15" s="18">
        <v>0.89414531740102998</v>
      </c>
      <c r="U15" s="18">
        <v>0.85847508625403701</v>
      </c>
      <c r="V15" s="18">
        <v>0.90354817671227405</v>
      </c>
      <c r="W15" s="18">
        <v>0.82095313274377901</v>
      </c>
      <c r="X15" s="18">
        <v>0.84879091324034395</v>
      </c>
      <c r="Y15" s="18">
        <v>0.86912918566365405</v>
      </c>
      <c r="Z15" s="18">
        <v>0.87389865133377698</v>
      </c>
      <c r="AA15" s="18">
        <v>0.87403726425811301</v>
      </c>
      <c r="AB15" s="18"/>
      <c r="AC15" s="18">
        <v>0.83323668461755895</v>
      </c>
      <c r="AD15" s="18">
        <v>0.89172622634777599</v>
      </c>
      <c r="AE15" s="18">
        <v>0.89145222394178703</v>
      </c>
      <c r="AF15" s="18">
        <v>0.88970138745977501</v>
      </c>
      <c r="AG15" s="18">
        <v>0.93877707162033897</v>
      </c>
      <c r="AH15" s="18"/>
      <c r="AI15" s="18">
        <v>0.88144931315310904</v>
      </c>
      <c r="AJ15" s="18">
        <v>0.891520597095661</v>
      </c>
      <c r="AK15" s="18">
        <v>0.91265792799668899</v>
      </c>
      <c r="AL15" s="18">
        <v>0.87221573909421501</v>
      </c>
      <c r="AM15" s="18">
        <v>0.829624829996358</v>
      </c>
      <c r="AN15" s="18">
        <v>0.87030521669804495</v>
      </c>
      <c r="AO15" s="18"/>
      <c r="AP15" s="18">
        <v>0.88165202581797197</v>
      </c>
      <c r="AQ15" s="18">
        <v>0.86612654447260595</v>
      </c>
      <c r="AR15" s="18"/>
      <c r="AS15" s="18">
        <v>0.89326252892345803</v>
      </c>
      <c r="AT15" s="18">
        <v>0.88262000343538305</v>
      </c>
      <c r="AU15" s="18">
        <v>0.86710667509933104</v>
      </c>
      <c r="AV15" s="18"/>
      <c r="AW15" s="18">
        <v>0.879698906572141</v>
      </c>
      <c r="AX15" s="18">
        <v>0.90503338686619605</v>
      </c>
      <c r="AY15" s="18"/>
      <c r="AZ15" s="18">
        <v>0.888236353068803</v>
      </c>
      <c r="BA15" s="18">
        <v>0.833690592646402</v>
      </c>
    </row>
    <row r="16" spans="2:53" x14ac:dyDescent="0.35">
      <c r="B16" s="15" t="s">
        <v>410</v>
      </c>
      <c r="C16" s="18">
        <v>1.9847345920609299E-2</v>
      </c>
      <c r="D16" s="18">
        <v>1.6047644118765799E-2</v>
      </c>
      <c r="E16" s="18">
        <v>2.2699813788728901E-2</v>
      </c>
      <c r="F16" s="18"/>
      <c r="G16" s="18">
        <v>0</v>
      </c>
      <c r="H16" s="18">
        <v>3.9997695929707797E-2</v>
      </c>
      <c r="I16" s="18">
        <v>1.9617190485724498E-2</v>
      </c>
      <c r="J16" s="18">
        <v>1.46423452012979E-2</v>
      </c>
      <c r="K16" s="18">
        <v>9.6948291143959392E-3</v>
      </c>
      <c r="L16" s="18">
        <v>0</v>
      </c>
      <c r="M16" s="18"/>
      <c r="N16" s="18">
        <v>1.25331986973119E-2</v>
      </c>
      <c r="O16" s="18">
        <v>1.1299436437544601E-2</v>
      </c>
      <c r="P16" s="18">
        <v>2.6367241919817E-2</v>
      </c>
      <c r="Q16" s="18">
        <v>3.1119906544795999E-2</v>
      </c>
      <c r="R16" s="18"/>
      <c r="S16" s="18">
        <v>1.36459503839371E-2</v>
      </c>
      <c r="T16" s="18">
        <v>1.29052779379533E-2</v>
      </c>
      <c r="U16" s="18">
        <v>1.8578960308461699E-2</v>
      </c>
      <c r="V16" s="18">
        <v>3.0307129262976601E-2</v>
      </c>
      <c r="W16" s="18">
        <v>2.5562340416313101E-2</v>
      </c>
      <c r="X16" s="18">
        <v>2.1821351670292501E-2</v>
      </c>
      <c r="Y16" s="18">
        <v>3.9215968420782801E-2</v>
      </c>
      <c r="Z16" s="18">
        <v>0</v>
      </c>
      <c r="AA16" s="18">
        <v>1.53252699288521E-2</v>
      </c>
      <c r="AB16" s="18"/>
      <c r="AC16" s="18">
        <v>2.1166702134910498E-2</v>
      </c>
      <c r="AD16" s="18">
        <v>2.2867888682335899E-2</v>
      </c>
      <c r="AE16" s="18">
        <v>1.24213812692218E-2</v>
      </c>
      <c r="AF16" s="18">
        <v>2.4588378700916201E-2</v>
      </c>
      <c r="AG16" s="18">
        <v>4.12371804303884E-3</v>
      </c>
      <c r="AH16" s="18"/>
      <c r="AI16" s="18">
        <v>2.7461147833130601E-2</v>
      </c>
      <c r="AJ16" s="18">
        <v>2.0331181038287901E-2</v>
      </c>
      <c r="AK16" s="18">
        <v>2.1128713482620399E-2</v>
      </c>
      <c r="AL16" s="18">
        <v>2.0848360096914001E-3</v>
      </c>
      <c r="AM16" s="18">
        <v>2.0330404032142001E-2</v>
      </c>
      <c r="AN16" s="18">
        <v>1.09474685546487E-2</v>
      </c>
      <c r="AO16" s="18"/>
      <c r="AP16" s="18">
        <v>1.8978066584767101E-2</v>
      </c>
      <c r="AQ16" s="18">
        <v>2.0889370330961901E-2</v>
      </c>
      <c r="AR16" s="18"/>
      <c r="AS16" s="18">
        <v>6.7320778490850197E-3</v>
      </c>
      <c r="AT16" s="18">
        <v>2.4601929626582902E-2</v>
      </c>
      <c r="AU16" s="18">
        <v>2.1971214203329498E-2</v>
      </c>
      <c r="AV16" s="18"/>
      <c r="AW16" s="18">
        <v>1.77636771605129E-2</v>
      </c>
      <c r="AX16" s="18">
        <v>1.7617878296162199E-2</v>
      </c>
      <c r="AY16" s="18"/>
      <c r="AZ16" s="18">
        <v>1.6826001863089898E-2</v>
      </c>
      <c r="BA16" s="18">
        <v>3.1530179821810701E-2</v>
      </c>
    </row>
    <row r="17" spans="2:53" x14ac:dyDescent="0.35">
      <c r="B17" s="15" t="s">
        <v>82</v>
      </c>
      <c r="C17" s="19">
        <v>0.85468931743362697</v>
      </c>
      <c r="D17" s="19">
        <v>0.87614551847074795</v>
      </c>
      <c r="E17" s="19">
        <v>0.83501410819903799</v>
      </c>
      <c r="F17" s="19"/>
      <c r="G17" s="19">
        <v>0.83181063195602201</v>
      </c>
      <c r="H17" s="19">
        <v>0.82524019303801299</v>
      </c>
      <c r="I17" s="19">
        <v>0.84614501234494099</v>
      </c>
      <c r="J17" s="19">
        <v>0.87681164962610403</v>
      </c>
      <c r="K17" s="19">
        <v>0.87262169096669295</v>
      </c>
      <c r="L17" s="19">
        <v>0.85083684177602303</v>
      </c>
      <c r="M17" s="19"/>
      <c r="N17" s="19">
        <v>0.90311296124778495</v>
      </c>
      <c r="O17" s="19">
        <v>0.87828428818892401</v>
      </c>
      <c r="P17" s="19">
        <v>0.82124435415838803</v>
      </c>
      <c r="Q17" s="19">
        <v>0.80562494554904196</v>
      </c>
      <c r="R17" s="19"/>
      <c r="S17" s="19">
        <v>0.881753355835176</v>
      </c>
      <c r="T17" s="19">
        <v>0.88124003946307605</v>
      </c>
      <c r="U17" s="19">
        <v>0.83989612594557495</v>
      </c>
      <c r="V17" s="19">
        <v>0.87324104744929698</v>
      </c>
      <c r="W17" s="19">
        <v>0.79539079232746601</v>
      </c>
      <c r="X17" s="19">
        <v>0.82696956157005097</v>
      </c>
      <c r="Y17" s="19">
        <v>0.82991321724287104</v>
      </c>
      <c r="Z17" s="19">
        <v>0.87389865133377698</v>
      </c>
      <c r="AA17" s="19">
        <v>0.85871199432926104</v>
      </c>
      <c r="AB17" s="19"/>
      <c r="AC17" s="19">
        <v>0.81206998248264906</v>
      </c>
      <c r="AD17" s="19">
        <v>0.86885833766543996</v>
      </c>
      <c r="AE17" s="19">
        <v>0.87903084267256504</v>
      </c>
      <c r="AF17" s="19">
        <v>0.86511300875885899</v>
      </c>
      <c r="AG17" s="19">
        <v>0.93465335357729995</v>
      </c>
      <c r="AH17" s="19"/>
      <c r="AI17" s="19">
        <v>0.85398816531997901</v>
      </c>
      <c r="AJ17" s="19">
        <v>0.87118941605737299</v>
      </c>
      <c r="AK17" s="19">
        <v>0.89152921451406897</v>
      </c>
      <c r="AL17" s="19">
        <v>0.87013090308452301</v>
      </c>
      <c r="AM17" s="19">
        <v>0.80929442596421597</v>
      </c>
      <c r="AN17" s="19">
        <v>0.85935774814339705</v>
      </c>
      <c r="AO17" s="19"/>
      <c r="AP17" s="19">
        <v>0.862673959233205</v>
      </c>
      <c r="AQ17" s="19">
        <v>0.84523717414164401</v>
      </c>
      <c r="AR17" s="19"/>
      <c r="AS17" s="19">
        <v>0.886530451074373</v>
      </c>
      <c r="AT17" s="19">
        <v>0.85801807380880002</v>
      </c>
      <c r="AU17" s="19">
        <v>0.845135460896001</v>
      </c>
      <c r="AV17" s="19"/>
      <c r="AW17" s="19">
        <v>0.86193522941162803</v>
      </c>
      <c r="AX17" s="19">
        <v>0.88741550857003404</v>
      </c>
      <c r="AY17" s="19"/>
      <c r="AZ17" s="19">
        <v>0.87141035120571297</v>
      </c>
      <c r="BA17" s="19">
        <v>0.80216041282459105</v>
      </c>
    </row>
    <row r="18" spans="2:53" x14ac:dyDescent="0.35">
      <c r="B18" s="16"/>
    </row>
    <row r="19" spans="2:53" x14ac:dyDescent="0.35">
      <c r="B19" t="s">
        <v>84</v>
      </c>
    </row>
    <row r="20" spans="2:53" x14ac:dyDescent="0.35">
      <c r="B20" t="s">
        <v>85</v>
      </c>
    </row>
    <row r="22" spans="2:53" x14ac:dyDescent="0.35">
      <c r="B22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B2:BA22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414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404</v>
      </c>
      <c r="C9" s="14">
        <v>0.51341697710566703</v>
      </c>
      <c r="D9" s="14">
        <v>0.48113308103761798</v>
      </c>
      <c r="E9" s="14">
        <v>0.54525493796834401</v>
      </c>
      <c r="F9" s="14"/>
      <c r="G9" s="14">
        <v>0.38427234492745199</v>
      </c>
      <c r="H9" s="14">
        <v>0.52968552571818495</v>
      </c>
      <c r="I9" s="14">
        <v>0.50770804991303498</v>
      </c>
      <c r="J9" s="14">
        <v>0.54126624601217899</v>
      </c>
      <c r="K9" s="14">
        <v>0.43683844733918997</v>
      </c>
      <c r="L9" s="14">
        <v>0.47574020442599102</v>
      </c>
      <c r="M9" s="14"/>
      <c r="N9" s="14">
        <v>0.54592324863584996</v>
      </c>
      <c r="O9" s="14">
        <v>0.54892729581671995</v>
      </c>
      <c r="P9" s="14">
        <v>0.49687681032299402</v>
      </c>
      <c r="Q9" s="14">
        <v>0.45642401819138101</v>
      </c>
      <c r="R9" s="14"/>
      <c r="S9" s="14">
        <v>0.48704916545760102</v>
      </c>
      <c r="T9" s="14">
        <v>0.56053898284892101</v>
      </c>
      <c r="U9" s="14">
        <v>0.49659650900270103</v>
      </c>
      <c r="V9" s="14">
        <v>0.52004787454164703</v>
      </c>
      <c r="W9" s="14">
        <v>0.534892539693683</v>
      </c>
      <c r="X9" s="14">
        <v>0.50433924836735999</v>
      </c>
      <c r="Y9" s="14">
        <v>0.48523535726054401</v>
      </c>
      <c r="Z9" s="14">
        <v>0.46647367786874</v>
      </c>
      <c r="AA9" s="14">
        <v>0.52714765070960301</v>
      </c>
      <c r="AB9" s="14"/>
      <c r="AC9" s="14">
        <v>0.52694913387085496</v>
      </c>
      <c r="AD9" s="14">
        <v>0.47307938894551699</v>
      </c>
      <c r="AE9" s="14">
        <v>0.51967723199819404</v>
      </c>
      <c r="AF9" s="14">
        <v>0.55390853183713595</v>
      </c>
      <c r="AG9" s="14">
        <v>0.62479796175311297</v>
      </c>
      <c r="AH9" s="14"/>
      <c r="AI9" s="14">
        <v>0.52055665079792002</v>
      </c>
      <c r="AJ9" s="14">
        <v>0.51594002377352799</v>
      </c>
      <c r="AK9" s="14">
        <v>0.56774741594647304</v>
      </c>
      <c r="AL9" s="14">
        <v>0.51085687778904698</v>
      </c>
      <c r="AM9" s="14">
        <v>0.49642452429036299</v>
      </c>
      <c r="AN9" s="14">
        <v>0.51378173664183502</v>
      </c>
      <c r="AO9" s="14"/>
      <c r="AP9" s="14">
        <v>0.49403972014994202</v>
      </c>
      <c r="AQ9" s="14">
        <v>0.53501108617749304</v>
      </c>
      <c r="AR9" s="14"/>
      <c r="AS9" s="14">
        <v>0.47719422032223702</v>
      </c>
      <c r="AT9" s="14">
        <v>0.477539686582867</v>
      </c>
      <c r="AU9" s="14">
        <v>0.53377452683521498</v>
      </c>
      <c r="AV9" s="14"/>
      <c r="AW9" s="14">
        <v>0.52235689187295398</v>
      </c>
      <c r="AX9" s="14">
        <v>0.50733380636614001</v>
      </c>
      <c r="AY9" s="14"/>
      <c r="AZ9" s="14">
        <v>0.50647427727472705</v>
      </c>
      <c r="BA9" s="14">
        <v>0.55009864211297099</v>
      </c>
    </row>
    <row r="10" spans="2:53" x14ac:dyDescent="0.35">
      <c r="B10" s="15" t="s">
        <v>405</v>
      </c>
      <c r="C10" s="14">
        <v>0.349282644602465</v>
      </c>
      <c r="D10" s="14">
        <v>0.37955654531065602</v>
      </c>
      <c r="E10" s="14">
        <v>0.31932317158292101</v>
      </c>
      <c r="F10" s="14"/>
      <c r="G10" s="14">
        <v>0.32117963010279399</v>
      </c>
      <c r="H10" s="14">
        <v>0.30045341290869698</v>
      </c>
      <c r="I10" s="14">
        <v>0.34815952236354197</v>
      </c>
      <c r="J10" s="14">
        <v>0.35480868433858997</v>
      </c>
      <c r="K10" s="14">
        <v>0.41650381995783697</v>
      </c>
      <c r="L10" s="14">
        <v>0.35444307630004401</v>
      </c>
      <c r="M10" s="14"/>
      <c r="N10" s="14">
        <v>0.36529498449494402</v>
      </c>
      <c r="O10" s="14">
        <v>0.31294025469681203</v>
      </c>
      <c r="P10" s="14">
        <v>0.37255439128197898</v>
      </c>
      <c r="Q10" s="14">
        <v>0.34723793702297501</v>
      </c>
      <c r="R10" s="14"/>
      <c r="S10" s="14">
        <v>0.402727822901501</v>
      </c>
      <c r="T10" s="14">
        <v>0.32907408022694401</v>
      </c>
      <c r="U10" s="14">
        <v>0.359522021617323</v>
      </c>
      <c r="V10" s="14">
        <v>0.33788458582487702</v>
      </c>
      <c r="W10" s="14">
        <v>0.286514388482357</v>
      </c>
      <c r="X10" s="14">
        <v>0.37172770150997397</v>
      </c>
      <c r="Y10" s="14">
        <v>0.36144239180715898</v>
      </c>
      <c r="Z10" s="14">
        <v>0.39994593235777098</v>
      </c>
      <c r="AA10" s="14">
        <v>0.30747776687432998</v>
      </c>
      <c r="AB10" s="14"/>
      <c r="AC10" s="14">
        <v>0.30074503999282798</v>
      </c>
      <c r="AD10" s="14">
        <v>0.379338620564659</v>
      </c>
      <c r="AE10" s="14">
        <v>0.35853359987094502</v>
      </c>
      <c r="AF10" s="14">
        <v>0.36206308998813203</v>
      </c>
      <c r="AG10" s="14">
        <v>0.2475320604348</v>
      </c>
      <c r="AH10" s="14"/>
      <c r="AI10" s="14">
        <v>0.36250611676896</v>
      </c>
      <c r="AJ10" s="14">
        <v>0.37767060415342202</v>
      </c>
      <c r="AK10" s="14">
        <v>0.315213298976666</v>
      </c>
      <c r="AL10" s="14">
        <v>0.36025273584532203</v>
      </c>
      <c r="AM10" s="14">
        <v>0.29311686386038399</v>
      </c>
      <c r="AN10" s="14">
        <v>0.324728263573412</v>
      </c>
      <c r="AO10" s="14"/>
      <c r="AP10" s="14">
        <v>0.371263345419305</v>
      </c>
      <c r="AQ10" s="14">
        <v>0.32431680962417803</v>
      </c>
      <c r="AR10" s="14"/>
      <c r="AS10" s="14">
        <v>0.36310348924075703</v>
      </c>
      <c r="AT10" s="14">
        <v>0.34980109546987997</v>
      </c>
      <c r="AU10" s="14">
        <v>0.34540967000035599</v>
      </c>
      <c r="AV10" s="14"/>
      <c r="AW10" s="14">
        <v>0.35336143748542898</v>
      </c>
      <c r="AX10" s="14">
        <v>0.35583930516304302</v>
      </c>
      <c r="AY10" s="14"/>
      <c r="AZ10" s="14">
        <v>0.35916921665321899</v>
      </c>
      <c r="BA10" s="14">
        <v>0.31732891215456499</v>
      </c>
    </row>
    <row r="11" spans="2:53" x14ac:dyDescent="0.35">
      <c r="B11" s="15" t="s">
        <v>406</v>
      </c>
      <c r="C11" s="14">
        <v>0.107793684556279</v>
      </c>
      <c r="D11" s="14">
        <v>0.108823534658016</v>
      </c>
      <c r="E11" s="14">
        <v>0.106867518525346</v>
      </c>
      <c r="F11" s="14"/>
      <c r="G11" s="14">
        <v>0</v>
      </c>
      <c r="H11" s="14">
        <v>0.13909859448389</v>
      </c>
      <c r="I11" s="14">
        <v>0.116069899260362</v>
      </c>
      <c r="J11" s="14">
        <v>7.8767154109691401E-2</v>
      </c>
      <c r="K11" s="14">
        <v>0.120549352091227</v>
      </c>
      <c r="L11" s="14">
        <v>9.7889520341046102E-2</v>
      </c>
      <c r="M11" s="14"/>
      <c r="N11" s="14">
        <v>6.8634128163947705E-2</v>
      </c>
      <c r="O11" s="14">
        <v>0.112108523571049</v>
      </c>
      <c r="P11" s="14">
        <v>0.106471051399691</v>
      </c>
      <c r="Q11" s="14">
        <v>0.148007645158448</v>
      </c>
      <c r="R11" s="14"/>
      <c r="S11" s="14">
        <v>9.2119665930587999E-2</v>
      </c>
      <c r="T11" s="14">
        <v>9.2765332520860194E-2</v>
      </c>
      <c r="U11" s="14">
        <v>0.117352634783323</v>
      </c>
      <c r="V11" s="14">
        <v>9.5454178311039098E-2</v>
      </c>
      <c r="W11" s="14">
        <v>0.12677719694075201</v>
      </c>
      <c r="X11" s="14">
        <v>8.9976856143726899E-2</v>
      </c>
      <c r="Y11" s="14">
        <v>0.11332152600965199</v>
      </c>
      <c r="Z11" s="14">
        <v>0.111264615550719</v>
      </c>
      <c r="AA11" s="14">
        <v>0.14364882944757601</v>
      </c>
      <c r="AB11" s="14"/>
      <c r="AC11" s="14">
        <v>0.14245964781522499</v>
      </c>
      <c r="AD11" s="14">
        <v>0.118004184545718</v>
      </c>
      <c r="AE11" s="14">
        <v>0.100364960989319</v>
      </c>
      <c r="AF11" s="14">
        <v>6.7174738408039697E-2</v>
      </c>
      <c r="AG11" s="14">
        <v>9.8907582608202704E-2</v>
      </c>
      <c r="AH11" s="14"/>
      <c r="AI11" s="14">
        <v>8.8257394649854007E-2</v>
      </c>
      <c r="AJ11" s="14">
        <v>8.6137641844455604E-2</v>
      </c>
      <c r="AK11" s="14">
        <v>0.10134307184894301</v>
      </c>
      <c r="AL11" s="14">
        <v>9.0088079750632502E-2</v>
      </c>
      <c r="AM11" s="14">
        <v>0.201276547782927</v>
      </c>
      <c r="AN11" s="14">
        <v>0.11477094748776</v>
      </c>
      <c r="AO11" s="14"/>
      <c r="AP11" s="14">
        <v>0.11022825332306201</v>
      </c>
      <c r="AQ11" s="14">
        <v>0.10540184689337199</v>
      </c>
      <c r="AR11" s="14"/>
      <c r="AS11" s="14">
        <v>0.134307888912235</v>
      </c>
      <c r="AT11" s="14">
        <v>0.142891795226357</v>
      </c>
      <c r="AU11" s="14">
        <v>9.0279444529453204E-2</v>
      </c>
      <c r="AV11" s="14"/>
      <c r="AW11" s="14">
        <v>9.8019450041915701E-2</v>
      </c>
      <c r="AX11" s="14">
        <v>0.102231161151941</v>
      </c>
      <c r="AY11" s="14"/>
      <c r="AZ11" s="14">
        <v>0.104917911872058</v>
      </c>
      <c r="BA11" s="14">
        <v>0.11506464085261001</v>
      </c>
    </row>
    <row r="12" spans="2:53" x14ac:dyDescent="0.35">
      <c r="B12" s="15" t="s">
        <v>407</v>
      </c>
      <c r="C12" s="14">
        <v>1.6400328902150901E-2</v>
      </c>
      <c r="D12" s="14">
        <v>2.1559691082336699E-2</v>
      </c>
      <c r="E12" s="14">
        <v>1.12527416738344E-2</v>
      </c>
      <c r="F12" s="14"/>
      <c r="G12" s="14">
        <v>0.29454802496975302</v>
      </c>
      <c r="H12" s="14">
        <v>1.4213514606788699E-2</v>
      </c>
      <c r="I12" s="14">
        <v>1.64578582145864E-2</v>
      </c>
      <c r="J12" s="14">
        <v>1.6015390274014499E-2</v>
      </c>
      <c r="K12" s="14">
        <v>7.4357109289598204E-3</v>
      </c>
      <c r="L12" s="14">
        <v>0</v>
      </c>
      <c r="M12" s="14"/>
      <c r="N12" s="14">
        <v>1.62275575379104E-2</v>
      </c>
      <c r="O12" s="14">
        <v>1.64976999186526E-2</v>
      </c>
      <c r="P12" s="14">
        <v>1.5672583448164301E-2</v>
      </c>
      <c r="Q12" s="14">
        <v>1.7316907630752301E-2</v>
      </c>
      <c r="R12" s="14"/>
      <c r="S12" s="14">
        <v>1.41813678571256E-2</v>
      </c>
      <c r="T12" s="14">
        <v>1.3464807760758099E-2</v>
      </c>
      <c r="U12" s="14">
        <v>1.9179961065706901E-2</v>
      </c>
      <c r="V12" s="14">
        <v>2.3346217542870001E-2</v>
      </c>
      <c r="W12" s="14">
        <v>2.8188273804190998E-2</v>
      </c>
      <c r="X12" s="14">
        <v>1.5119496694844499E-2</v>
      </c>
      <c r="Y12" s="14">
        <v>2.02468011168347E-2</v>
      </c>
      <c r="Z12" s="14">
        <v>2.23157742227688E-2</v>
      </c>
      <c r="AA12" s="14">
        <v>2.2782204522131199E-3</v>
      </c>
      <c r="AB12" s="14"/>
      <c r="AC12" s="14">
        <v>1.40759476272794E-2</v>
      </c>
      <c r="AD12" s="14">
        <v>2.2486903766749E-2</v>
      </c>
      <c r="AE12" s="14">
        <v>1.49319398779806E-2</v>
      </c>
      <c r="AF12" s="14">
        <v>1.3512079605344399E-2</v>
      </c>
      <c r="AG12" s="14">
        <v>2.8762395203884399E-2</v>
      </c>
      <c r="AH12" s="14"/>
      <c r="AI12" s="14">
        <v>1.9000770487906601E-2</v>
      </c>
      <c r="AJ12" s="14">
        <v>1.42243093168095E-2</v>
      </c>
      <c r="AK12" s="14">
        <v>3.5600009949834101E-3</v>
      </c>
      <c r="AL12" s="14">
        <v>2.11137115420021E-2</v>
      </c>
      <c r="AM12" s="14">
        <v>0</v>
      </c>
      <c r="AN12" s="14">
        <v>9.2391277891608094E-3</v>
      </c>
      <c r="AO12" s="14"/>
      <c r="AP12" s="14">
        <v>1.37737577924255E-2</v>
      </c>
      <c r="AQ12" s="14">
        <v>1.9408443994464699E-2</v>
      </c>
      <c r="AR12" s="14"/>
      <c r="AS12" s="14">
        <v>1.9885174660562301E-2</v>
      </c>
      <c r="AT12" s="14">
        <v>1.29957732801603E-2</v>
      </c>
      <c r="AU12" s="14">
        <v>1.6469146196585401E-2</v>
      </c>
      <c r="AV12" s="14"/>
      <c r="AW12" s="14">
        <v>1.4974306392547401E-2</v>
      </c>
      <c r="AX12" s="14">
        <v>2.1181131899562802E-2</v>
      </c>
      <c r="AY12" s="14"/>
      <c r="AZ12" s="14">
        <v>1.9143715080808799E-2</v>
      </c>
      <c r="BA12" s="14">
        <v>4.2404790728415602E-3</v>
      </c>
    </row>
    <row r="13" spans="2:53" x14ac:dyDescent="0.35">
      <c r="B13" s="15" t="s">
        <v>408</v>
      </c>
      <c r="C13" s="14">
        <v>1.6083742836028199E-3</v>
      </c>
      <c r="D13" s="14">
        <v>1.79948225038368E-3</v>
      </c>
      <c r="E13" s="14">
        <v>1.4186728498137399E-3</v>
      </c>
      <c r="F13" s="14"/>
      <c r="G13" s="14">
        <v>0</v>
      </c>
      <c r="H13" s="14">
        <v>2.6461804197011399E-3</v>
      </c>
      <c r="I13" s="14">
        <v>2.7770816479903201E-3</v>
      </c>
      <c r="J13" s="14">
        <v>0</v>
      </c>
      <c r="K13" s="14">
        <v>0</v>
      </c>
      <c r="L13" s="14">
        <v>0</v>
      </c>
      <c r="M13" s="14"/>
      <c r="N13" s="14">
        <v>1.1635899063968599E-3</v>
      </c>
      <c r="O13" s="14">
        <v>1.5262227809200899E-3</v>
      </c>
      <c r="P13" s="14">
        <v>0</v>
      </c>
      <c r="Q13" s="14">
        <v>3.6073936480153098E-3</v>
      </c>
      <c r="R13" s="14"/>
      <c r="S13" s="14">
        <v>1.9609889265924801E-3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9.9792937949351804E-3</v>
      </c>
      <c r="AB13" s="14"/>
      <c r="AC13" s="14">
        <v>0</v>
      </c>
      <c r="AD13" s="14">
        <v>1.85254882571137E-3</v>
      </c>
      <c r="AE13" s="14">
        <v>1.0794743790989701E-3</v>
      </c>
      <c r="AF13" s="14">
        <v>0</v>
      </c>
      <c r="AG13" s="14">
        <v>0</v>
      </c>
      <c r="AH13" s="14"/>
      <c r="AI13" s="14">
        <v>3.6890761653530601E-3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/>
      <c r="AP13" s="14">
        <v>2.2944878287687598E-3</v>
      </c>
      <c r="AQ13" s="14">
        <v>8.4158376797419305E-4</v>
      </c>
      <c r="AR13" s="14"/>
      <c r="AS13" s="14">
        <v>0</v>
      </c>
      <c r="AT13" s="14">
        <v>2.09254378850246E-3</v>
      </c>
      <c r="AU13" s="14">
        <v>1.89807727686384E-3</v>
      </c>
      <c r="AV13" s="14"/>
      <c r="AW13" s="14">
        <v>5.2618884360570105E-4</v>
      </c>
      <c r="AX13" s="14">
        <v>7.3573431167967898E-3</v>
      </c>
      <c r="AY13" s="14"/>
      <c r="AZ13" s="14">
        <v>2.0487992471711698E-3</v>
      </c>
      <c r="BA13" s="14">
        <v>0</v>
      </c>
    </row>
    <row r="14" spans="2:53" x14ac:dyDescent="0.35">
      <c r="B14" s="15" t="s">
        <v>80</v>
      </c>
      <c r="C14" s="14">
        <v>1.1497990549835699E-2</v>
      </c>
      <c r="D14" s="14">
        <v>7.1276656609898601E-3</v>
      </c>
      <c r="E14" s="14">
        <v>1.5882957399740601E-2</v>
      </c>
      <c r="F14" s="14"/>
      <c r="G14" s="14">
        <v>0</v>
      </c>
      <c r="H14" s="14">
        <v>1.3902771862739201E-2</v>
      </c>
      <c r="I14" s="14">
        <v>8.8275886004849004E-3</v>
      </c>
      <c r="J14" s="14">
        <v>9.1425252655245298E-3</v>
      </c>
      <c r="K14" s="14">
        <v>1.8672669682787201E-2</v>
      </c>
      <c r="L14" s="14">
        <v>7.1927198932918504E-2</v>
      </c>
      <c r="M14" s="14"/>
      <c r="N14" s="14">
        <v>2.7564912609509499E-3</v>
      </c>
      <c r="O14" s="14">
        <v>8.0000032158456403E-3</v>
      </c>
      <c r="P14" s="14">
        <v>8.4251635471719599E-3</v>
      </c>
      <c r="Q14" s="14">
        <v>2.7406098348428401E-2</v>
      </c>
      <c r="R14" s="14"/>
      <c r="S14" s="14">
        <v>1.9609889265924801E-3</v>
      </c>
      <c r="T14" s="14">
        <v>4.1567966425162398E-3</v>
      </c>
      <c r="U14" s="14">
        <v>7.3488735309464098E-3</v>
      </c>
      <c r="V14" s="14">
        <v>2.3267143779566801E-2</v>
      </c>
      <c r="W14" s="14">
        <v>2.36276010790176E-2</v>
      </c>
      <c r="X14" s="14">
        <v>1.8836697284094601E-2</v>
      </c>
      <c r="Y14" s="14">
        <v>1.97539238058097E-2</v>
      </c>
      <c r="Z14" s="14">
        <v>0</v>
      </c>
      <c r="AA14" s="14">
        <v>9.4682387213431106E-3</v>
      </c>
      <c r="AB14" s="14"/>
      <c r="AC14" s="14">
        <v>1.5770230693812601E-2</v>
      </c>
      <c r="AD14" s="14">
        <v>5.2383533516457701E-3</v>
      </c>
      <c r="AE14" s="14">
        <v>5.4127928844629096E-3</v>
      </c>
      <c r="AF14" s="14">
        <v>3.3415601613478898E-3</v>
      </c>
      <c r="AG14" s="14">
        <v>0</v>
      </c>
      <c r="AH14" s="14"/>
      <c r="AI14" s="14">
        <v>5.9899911300059202E-3</v>
      </c>
      <c r="AJ14" s="14">
        <v>6.0274209117846603E-3</v>
      </c>
      <c r="AK14" s="14">
        <v>1.2136212232935E-2</v>
      </c>
      <c r="AL14" s="14">
        <v>1.7688595072996499E-2</v>
      </c>
      <c r="AM14" s="14">
        <v>9.1820640663269094E-3</v>
      </c>
      <c r="AN14" s="14">
        <v>3.7479924507831497E-2</v>
      </c>
      <c r="AO14" s="14"/>
      <c r="AP14" s="14">
        <v>8.4004354864967504E-3</v>
      </c>
      <c r="AQ14" s="14">
        <v>1.5020229542518001E-2</v>
      </c>
      <c r="AR14" s="14"/>
      <c r="AS14" s="14">
        <v>5.5092268642083298E-3</v>
      </c>
      <c r="AT14" s="14">
        <v>1.4679105652233701E-2</v>
      </c>
      <c r="AU14" s="14">
        <v>1.21691351615266E-2</v>
      </c>
      <c r="AV14" s="14"/>
      <c r="AW14" s="14">
        <v>1.0761725363548399E-2</v>
      </c>
      <c r="AX14" s="14">
        <v>6.0572523025158699E-3</v>
      </c>
      <c r="AY14" s="14"/>
      <c r="AZ14" s="14">
        <v>8.2460798720166203E-3</v>
      </c>
      <c r="BA14" s="14">
        <v>1.32673258070124E-2</v>
      </c>
    </row>
    <row r="15" spans="2:53" x14ac:dyDescent="0.35">
      <c r="B15" s="15" t="s">
        <v>409</v>
      </c>
      <c r="C15" s="18">
        <v>0.86269962170813197</v>
      </c>
      <c r="D15" s="18">
        <v>0.86068962634827395</v>
      </c>
      <c r="E15" s="18">
        <v>0.86457810955126502</v>
      </c>
      <c r="F15" s="18"/>
      <c r="G15" s="18">
        <v>0.70545197503024704</v>
      </c>
      <c r="H15" s="18">
        <v>0.83013893862688104</v>
      </c>
      <c r="I15" s="18">
        <v>0.85586757227657695</v>
      </c>
      <c r="J15" s="18">
        <v>0.89607493035077002</v>
      </c>
      <c r="K15" s="18">
        <v>0.853342267297026</v>
      </c>
      <c r="L15" s="18">
        <v>0.83018328072603498</v>
      </c>
      <c r="M15" s="18"/>
      <c r="N15" s="18">
        <v>0.91121823313079398</v>
      </c>
      <c r="O15" s="18">
        <v>0.86186755051353203</v>
      </c>
      <c r="P15" s="18">
        <v>0.869431201604973</v>
      </c>
      <c r="Q15" s="18">
        <v>0.80366195521435602</v>
      </c>
      <c r="R15" s="18"/>
      <c r="S15" s="18">
        <v>0.88977698835910202</v>
      </c>
      <c r="T15" s="18">
        <v>0.88961306307586496</v>
      </c>
      <c r="U15" s="18">
        <v>0.85611853062002397</v>
      </c>
      <c r="V15" s="18">
        <v>0.85793246036652404</v>
      </c>
      <c r="W15" s="18">
        <v>0.82140692817604</v>
      </c>
      <c r="X15" s="18">
        <v>0.87606694987733402</v>
      </c>
      <c r="Y15" s="18">
        <v>0.84667774906770299</v>
      </c>
      <c r="Z15" s="18">
        <v>0.86641961022651204</v>
      </c>
      <c r="AA15" s="18">
        <v>0.83462541758393305</v>
      </c>
      <c r="AB15" s="18"/>
      <c r="AC15" s="18">
        <v>0.82769417386368305</v>
      </c>
      <c r="AD15" s="18">
        <v>0.85241800951017599</v>
      </c>
      <c r="AE15" s="18">
        <v>0.87821083186913795</v>
      </c>
      <c r="AF15" s="18">
        <v>0.91597162182526803</v>
      </c>
      <c r="AG15" s="18">
        <v>0.872330022187913</v>
      </c>
      <c r="AH15" s="18"/>
      <c r="AI15" s="18">
        <v>0.88306276756688096</v>
      </c>
      <c r="AJ15" s="18">
        <v>0.89361062792695001</v>
      </c>
      <c r="AK15" s="18">
        <v>0.88296071492313899</v>
      </c>
      <c r="AL15" s="18">
        <v>0.87110961363436901</v>
      </c>
      <c r="AM15" s="18">
        <v>0.78954138815074604</v>
      </c>
      <c r="AN15" s="18">
        <v>0.83851000021524802</v>
      </c>
      <c r="AO15" s="18"/>
      <c r="AP15" s="18">
        <v>0.86530306556924697</v>
      </c>
      <c r="AQ15" s="18">
        <v>0.85932789580167102</v>
      </c>
      <c r="AR15" s="18"/>
      <c r="AS15" s="18">
        <v>0.84029770956299399</v>
      </c>
      <c r="AT15" s="18">
        <v>0.82734078205274697</v>
      </c>
      <c r="AU15" s="18">
        <v>0.87918419683557103</v>
      </c>
      <c r="AV15" s="18"/>
      <c r="AW15" s="18">
        <v>0.87571832935838301</v>
      </c>
      <c r="AX15" s="18">
        <v>0.86317311152918297</v>
      </c>
      <c r="AY15" s="18"/>
      <c r="AZ15" s="18">
        <v>0.86564349392794604</v>
      </c>
      <c r="BA15" s="18">
        <v>0.86742755426753604</v>
      </c>
    </row>
    <row r="16" spans="2:53" x14ac:dyDescent="0.35">
      <c r="B16" s="15" t="s">
        <v>410</v>
      </c>
      <c r="C16" s="18">
        <v>1.8008703185753702E-2</v>
      </c>
      <c r="D16" s="18">
        <v>2.33591733327204E-2</v>
      </c>
      <c r="E16" s="18">
        <v>1.2671414523648099E-2</v>
      </c>
      <c r="F16" s="18"/>
      <c r="G16" s="18">
        <v>0.29454802496975302</v>
      </c>
      <c r="H16" s="18">
        <v>1.6859695026489901E-2</v>
      </c>
      <c r="I16" s="18">
        <v>1.9234939862576701E-2</v>
      </c>
      <c r="J16" s="18">
        <v>1.6015390274014499E-2</v>
      </c>
      <c r="K16" s="18">
        <v>7.4357109289598204E-3</v>
      </c>
      <c r="L16" s="18">
        <v>0</v>
      </c>
      <c r="M16" s="18"/>
      <c r="N16" s="18">
        <v>1.7391147444307298E-2</v>
      </c>
      <c r="O16" s="18">
        <v>1.80239226995727E-2</v>
      </c>
      <c r="P16" s="18">
        <v>1.5672583448164301E-2</v>
      </c>
      <c r="Q16" s="18">
        <v>2.0924301278767599E-2</v>
      </c>
      <c r="R16" s="18"/>
      <c r="S16" s="18">
        <v>1.6142356783718E-2</v>
      </c>
      <c r="T16" s="18">
        <v>1.3464807760758099E-2</v>
      </c>
      <c r="U16" s="18">
        <v>1.9179961065706901E-2</v>
      </c>
      <c r="V16" s="18">
        <v>2.3346217542870001E-2</v>
      </c>
      <c r="W16" s="18">
        <v>2.8188273804190998E-2</v>
      </c>
      <c r="X16" s="18">
        <v>1.5119496694844499E-2</v>
      </c>
      <c r="Y16" s="18">
        <v>2.02468011168347E-2</v>
      </c>
      <c r="Z16" s="18">
        <v>2.23157742227688E-2</v>
      </c>
      <c r="AA16" s="18">
        <v>1.2257514247148301E-2</v>
      </c>
      <c r="AB16" s="18"/>
      <c r="AC16" s="18">
        <v>1.40759476272794E-2</v>
      </c>
      <c r="AD16" s="18">
        <v>2.4339452592460401E-2</v>
      </c>
      <c r="AE16" s="18">
        <v>1.6011414257079599E-2</v>
      </c>
      <c r="AF16" s="18">
        <v>1.3512079605344399E-2</v>
      </c>
      <c r="AG16" s="18">
        <v>2.8762395203884399E-2</v>
      </c>
      <c r="AH16" s="18"/>
      <c r="AI16" s="18">
        <v>2.2689846653259699E-2</v>
      </c>
      <c r="AJ16" s="18">
        <v>1.42243093168095E-2</v>
      </c>
      <c r="AK16" s="18">
        <v>3.5600009949834101E-3</v>
      </c>
      <c r="AL16" s="18">
        <v>2.11137115420021E-2</v>
      </c>
      <c r="AM16" s="18">
        <v>0</v>
      </c>
      <c r="AN16" s="18">
        <v>9.2391277891608094E-3</v>
      </c>
      <c r="AO16" s="18"/>
      <c r="AP16" s="18">
        <v>1.6068245621194299E-2</v>
      </c>
      <c r="AQ16" s="18">
        <v>2.0250027762438901E-2</v>
      </c>
      <c r="AR16" s="18"/>
      <c r="AS16" s="18">
        <v>1.9885174660562301E-2</v>
      </c>
      <c r="AT16" s="18">
        <v>1.5088317068662699E-2</v>
      </c>
      <c r="AU16" s="18">
        <v>1.8367223473449299E-2</v>
      </c>
      <c r="AV16" s="18"/>
      <c r="AW16" s="18">
        <v>1.55004952361531E-2</v>
      </c>
      <c r="AX16" s="18">
        <v>2.8538475016359598E-2</v>
      </c>
      <c r="AY16" s="18"/>
      <c r="AZ16" s="18">
        <v>2.119251432798E-2</v>
      </c>
      <c r="BA16" s="18">
        <v>4.2404790728415602E-3</v>
      </c>
    </row>
    <row r="17" spans="2:53" x14ac:dyDescent="0.35">
      <c r="B17" s="15" t="s">
        <v>82</v>
      </c>
      <c r="C17" s="19">
        <v>0.84469091852237799</v>
      </c>
      <c r="D17" s="19">
        <v>0.83733045301555298</v>
      </c>
      <c r="E17" s="19">
        <v>0.85190669502761696</v>
      </c>
      <c r="F17" s="19"/>
      <c r="G17" s="19">
        <v>0.41090395006049302</v>
      </c>
      <c r="H17" s="19">
        <v>0.81327924360039106</v>
      </c>
      <c r="I17" s="19">
        <v>0.83663263241399999</v>
      </c>
      <c r="J17" s="19">
        <v>0.88005954007675502</v>
      </c>
      <c r="K17" s="19">
        <v>0.845906556368067</v>
      </c>
      <c r="L17" s="19">
        <v>0.83018328072603498</v>
      </c>
      <c r="M17" s="19"/>
      <c r="N17" s="19">
        <v>0.89382708568648706</v>
      </c>
      <c r="O17" s="19">
        <v>0.84384362781396005</v>
      </c>
      <c r="P17" s="19">
        <v>0.85375861815680898</v>
      </c>
      <c r="Q17" s="19">
        <v>0.78273765393558803</v>
      </c>
      <c r="R17" s="19"/>
      <c r="S17" s="19">
        <v>0.87363463157538401</v>
      </c>
      <c r="T17" s="19">
        <v>0.87614825531510698</v>
      </c>
      <c r="U17" s="19">
        <v>0.836938569554317</v>
      </c>
      <c r="V17" s="19">
        <v>0.83458624282365401</v>
      </c>
      <c r="W17" s="19">
        <v>0.79321865437184902</v>
      </c>
      <c r="X17" s="19">
        <v>0.860947453182489</v>
      </c>
      <c r="Y17" s="19">
        <v>0.82643094795086902</v>
      </c>
      <c r="Z17" s="19">
        <v>0.84410383600374295</v>
      </c>
      <c r="AA17" s="19">
        <v>0.822367903336784</v>
      </c>
      <c r="AB17" s="19"/>
      <c r="AC17" s="19">
        <v>0.81361822623640401</v>
      </c>
      <c r="AD17" s="19">
        <v>0.82807855691771604</v>
      </c>
      <c r="AE17" s="19">
        <v>0.86219941761205898</v>
      </c>
      <c r="AF17" s="19">
        <v>0.90245954221992397</v>
      </c>
      <c r="AG17" s="19">
        <v>0.84356762698402799</v>
      </c>
      <c r="AH17" s="19"/>
      <c r="AI17" s="19">
        <v>0.86037292091362105</v>
      </c>
      <c r="AJ17" s="19">
        <v>0.87938631861014105</v>
      </c>
      <c r="AK17" s="19">
        <v>0.879400713928155</v>
      </c>
      <c r="AL17" s="19">
        <v>0.84999590209236697</v>
      </c>
      <c r="AM17" s="19">
        <v>0.78954138815074604</v>
      </c>
      <c r="AN17" s="19">
        <v>0.82927087242608699</v>
      </c>
      <c r="AO17" s="19"/>
      <c r="AP17" s="19">
        <v>0.84923481994805305</v>
      </c>
      <c r="AQ17" s="19">
        <v>0.83907786803923201</v>
      </c>
      <c r="AR17" s="19"/>
      <c r="AS17" s="19">
        <v>0.82041253490243204</v>
      </c>
      <c r="AT17" s="19">
        <v>0.81225246498408399</v>
      </c>
      <c r="AU17" s="19">
        <v>0.86081697336212204</v>
      </c>
      <c r="AV17" s="19"/>
      <c r="AW17" s="19">
        <v>0.86021783412222996</v>
      </c>
      <c r="AX17" s="19">
        <v>0.83463463651282399</v>
      </c>
      <c r="AY17" s="19"/>
      <c r="AZ17" s="19">
        <v>0.84445097959996596</v>
      </c>
      <c r="BA17" s="19">
        <v>0.86318707519469395</v>
      </c>
    </row>
    <row r="18" spans="2:53" x14ac:dyDescent="0.35">
      <c r="B18" s="16"/>
    </row>
    <row r="19" spans="2:53" x14ac:dyDescent="0.35">
      <c r="B19" t="s">
        <v>84</v>
      </c>
    </row>
    <row r="20" spans="2:53" x14ac:dyDescent="0.35">
      <c r="B20" t="s">
        <v>85</v>
      </c>
    </row>
    <row r="22" spans="2:53" x14ac:dyDescent="0.35">
      <c r="B22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B2:BA22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415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404</v>
      </c>
      <c r="C9" s="14">
        <v>0.48157013939724402</v>
      </c>
      <c r="D9" s="14">
        <v>0.496541748757582</v>
      </c>
      <c r="E9" s="14">
        <v>0.46608393356209699</v>
      </c>
      <c r="F9" s="14"/>
      <c r="G9" s="14">
        <v>0.35804960317478701</v>
      </c>
      <c r="H9" s="14">
        <v>0.52483623425906401</v>
      </c>
      <c r="I9" s="14">
        <v>0.45861315453126</v>
      </c>
      <c r="J9" s="14">
        <v>0.48720263416972898</v>
      </c>
      <c r="K9" s="14">
        <v>0.51493763538811999</v>
      </c>
      <c r="L9" s="14">
        <v>0.44553391177163998</v>
      </c>
      <c r="M9" s="14"/>
      <c r="N9" s="14">
        <v>0.58759161860148001</v>
      </c>
      <c r="O9" s="14">
        <v>0.47006485421014699</v>
      </c>
      <c r="P9" s="14">
        <v>0.43128499959709898</v>
      </c>
      <c r="Q9" s="14">
        <v>0.42491813941504097</v>
      </c>
      <c r="R9" s="14"/>
      <c r="S9" s="14">
        <v>0.53555322836285701</v>
      </c>
      <c r="T9" s="14">
        <v>0.54903310646607995</v>
      </c>
      <c r="U9" s="14">
        <v>0.495468858463398</v>
      </c>
      <c r="V9" s="14">
        <v>0.46132396422601801</v>
      </c>
      <c r="W9" s="14">
        <v>0.38781735787284599</v>
      </c>
      <c r="X9" s="14">
        <v>0.40766551913098997</v>
      </c>
      <c r="Y9" s="14">
        <v>0.46353521952925902</v>
      </c>
      <c r="Z9" s="14">
        <v>0.48570044773228599</v>
      </c>
      <c r="AA9" s="14">
        <v>0.47295705877555</v>
      </c>
      <c r="AB9" s="14"/>
      <c r="AC9" s="14">
        <v>0.447660908957419</v>
      </c>
      <c r="AD9" s="14">
        <v>0.41906126900329299</v>
      </c>
      <c r="AE9" s="14">
        <v>0.526311898313922</v>
      </c>
      <c r="AF9" s="14">
        <v>0.55170516102160305</v>
      </c>
      <c r="AG9" s="14">
        <v>0.67843010154947403</v>
      </c>
      <c r="AH9" s="14"/>
      <c r="AI9" s="14">
        <v>0.52572545244940705</v>
      </c>
      <c r="AJ9" s="14">
        <v>0.479593936428724</v>
      </c>
      <c r="AK9" s="14">
        <v>0.44262880967000801</v>
      </c>
      <c r="AL9" s="14">
        <v>0.46631879353929301</v>
      </c>
      <c r="AM9" s="14">
        <v>0.46774255311501101</v>
      </c>
      <c r="AN9" s="14">
        <v>0.49138919436390399</v>
      </c>
      <c r="AO9" s="14"/>
      <c r="AP9" s="14">
        <v>0.49015717514257401</v>
      </c>
      <c r="AQ9" s="14">
        <v>0.47159786404402199</v>
      </c>
      <c r="AR9" s="14"/>
      <c r="AS9" s="14">
        <v>0.51036113387771997</v>
      </c>
      <c r="AT9" s="14">
        <v>0.464067563782387</v>
      </c>
      <c r="AU9" s="14">
        <v>0.47899690673759998</v>
      </c>
      <c r="AV9" s="14"/>
      <c r="AW9" s="14">
        <v>0.48207126313265303</v>
      </c>
      <c r="AX9" s="14">
        <v>0.55777324913191795</v>
      </c>
      <c r="AY9" s="14"/>
      <c r="AZ9" s="14">
        <v>0.50774741316213201</v>
      </c>
      <c r="BA9" s="14">
        <v>0.39408939862840398</v>
      </c>
    </row>
    <row r="10" spans="2:53" x14ac:dyDescent="0.35">
      <c r="B10" s="15" t="s">
        <v>405</v>
      </c>
      <c r="C10" s="14">
        <v>0.40177997812814298</v>
      </c>
      <c r="D10" s="14">
        <v>0.41242101983238699</v>
      </c>
      <c r="E10" s="14">
        <v>0.39151995938600997</v>
      </c>
      <c r="F10" s="14"/>
      <c r="G10" s="14">
        <v>0.37291453015001402</v>
      </c>
      <c r="H10" s="14">
        <v>0.354747009174671</v>
      </c>
      <c r="I10" s="14">
        <v>0.42021948785185698</v>
      </c>
      <c r="J10" s="14">
        <v>0.41875255391511801</v>
      </c>
      <c r="K10" s="14">
        <v>0.34705893304430002</v>
      </c>
      <c r="L10" s="14">
        <v>0.33996129393778501</v>
      </c>
      <c r="M10" s="14"/>
      <c r="N10" s="14">
        <v>0.34500176090478701</v>
      </c>
      <c r="O10" s="14">
        <v>0.43631176113221198</v>
      </c>
      <c r="P10" s="14">
        <v>0.43928822198599499</v>
      </c>
      <c r="Q10" s="14">
        <v>0.39122732573032898</v>
      </c>
      <c r="R10" s="14"/>
      <c r="S10" s="14">
        <v>0.36370040270299298</v>
      </c>
      <c r="T10" s="14">
        <v>0.37158711048902798</v>
      </c>
      <c r="U10" s="14">
        <v>0.35932657843212701</v>
      </c>
      <c r="V10" s="14">
        <v>0.42516564460253897</v>
      </c>
      <c r="W10" s="14">
        <v>0.44120282679583001</v>
      </c>
      <c r="X10" s="14">
        <v>0.44487683096244901</v>
      </c>
      <c r="Y10" s="14">
        <v>0.42666552048631701</v>
      </c>
      <c r="Z10" s="14">
        <v>0.38223497985815702</v>
      </c>
      <c r="AA10" s="14">
        <v>0.426457312714702</v>
      </c>
      <c r="AB10" s="14"/>
      <c r="AC10" s="14">
        <v>0.38798006026599202</v>
      </c>
      <c r="AD10" s="14">
        <v>0.447540693726383</v>
      </c>
      <c r="AE10" s="14">
        <v>0.39966356683738502</v>
      </c>
      <c r="AF10" s="14">
        <v>0.36801593203885602</v>
      </c>
      <c r="AG10" s="14">
        <v>0.21125045226987699</v>
      </c>
      <c r="AH10" s="14"/>
      <c r="AI10" s="14">
        <v>0.38922414730684401</v>
      </c>
      <c r="AJ10" s="14">
        <v>0.41174705158640701</v>
      </c>
      <c r="AK10" s="14">
        <v>0.46711888278192298</v>
      </c>
      <c r="AL10" s="14">
        <v>0.39943837607390398</v>
      </c>
      <c r="AM10" s="14">
        <v>0.30578731411485399</v>
      </c>
      <c r="AN10" s="14">
        <v>0.37631864211496302</v>
      </c>
      <c r="AO10" s="14"/>
      <c r="AP10" s="14">
        <v>0.40677004450613302</v>
      </c>
      <c r="AQ10" s="14">
        <v>0.396100175283361</v>
      </c>
      <c r="AR10" s="14"/>
      <c r="AS10" s="14">
        <v>0.39451332947363399</v>
      </c>
      <c r="AT10" s="14">
        <v>0.43269316726872498</v>
      </c>
      <c r="AU10" s="14">
        <v>0.39459480468579999</v>
      </c>
      <c r="AV10" s="14"/>
      <c r="AW10" s="14">
        <v>0.40990923609900998</v>
      </c>
      <c r="AX10" s="14">
        <v>0.35321247171562398</v>
      </c>
      <c r="AY10" s="14"/>
      <c r="AZ10" s="14">
        <v>0.39263298216597597</v>
      </c>
      <c r="BA10" s="14">
        <v>0.43618135409764902</v>
      </c>
    </row>
    <row r="11" spans="2:53" x14ac:dyDescent="0.35">
      <c r="B11" s="15" t="s">
        <v>406</v>
      </c>
      <c r="C11" s="14">
        <v>8.3859779445253593E-2</v>
      </c>
      <c r="D11" s="14">
        <v>6.6972153821325597E-2</v>
      </c>
      <c r="E11" s="14">
        <v>0.100842211610201</v>
      </c>
      <c r="F11" s="14"/>
      <c r="G11" s="14">
        <v>0.26903586667520002</v>
      </c>
      <c r="H11" s="14">
        <v>6.36095694399363E-2</v>
      </c>
      <c r="I11" s="14">
        <v>9.5857149314723902E-2</v>
      </c>
      <c r="J11" s="14">
        <v>6.1396952526734203E-2</v>
      </c>
      <c r="K11" s="14">
        <v>0.114885600184279</v>
      </c>
      <c r="L11" s="14">
        <v>0.129735870038068</v>
      </c>
      <c r="M11" s="14"/>
      <c r="N11" s="14">
        <v>5.33595140213406E-2</v>
      </c>
      <c r="O11" s="14">
        <v>7.2725467857276002E-2</v>
      </c>
      <c r="P11" s="14">
        <v>7.58198741099467E-2</v>
      </c>
      <c r="Q11" s="14">
        <v>0.13640393561653499</v>
      </c>
      <c r="R11" s="14"/>
      <c r="S11" s="14">
        <v>6.4133667210463305E-2</v>
      </c>
      <c r="T11" s="14">
        <v>5.2821468129271701E-2</v>
      </c>
      <c r="U11" s="14">
        <v>0.104725512375309</v>
      </c>
      <c r="V11" s="14">
        <v>8.4802040761962794E-2</v>
      </c>
      <c r="W11" s="14">
        <v>0.122197526367499</v>
      </c>
      <c r="X11" s="14">
        <v>9.1680104998694903E-2</v>
      </c>
      <c r="Y11" s="14">
        <v>8.5920804245475796E-2</v>
      </c>
      <c r="Z11" s="14">
        <v>0.110352605886571</v>
      </c>
      <c r="AA11" s="14">
        <v>8.5023628989039104E-2</v>
      </c>
      <c r="AB11" s="14"/>
      <c r="AC11" s="14">
        <v>0.13516724045825601</v>
      </c>
      <c r="AD11" s="14">
        <v>8.8241797838508093E-2</v>
      </c>
      <c r="AE11" s="14">
        <v>5.17582583600492E-2</v>
      </c>
      <c r="AF11" s="14">
        <v>5.0132325910828002E-2</v>
      </c>
      <c r="AG11" s="14">
        <v>8.1557053087067399E-2</v>
      </c>
      <c r="AH11" s="14"/>
      <c r="AI11" s="14">
        <v>5.7119389093404901E-2</v>
      </c>
      <c r="AJ11" s="14">
        <v>7.3584317302152896E-2</v>
      </c>
      <c r="AK11" s="14">
        <v>6.9665677288653194E-2</v>
      </c>
      <c r="AL11" s="14">
        <v>9.6387284058344194E-2</v>
      </c>
      <c r="AM11" s="14">
        <v>0.16085149707837301</v>
      </c>
      <c r="AN11" s="14">
        <v>0.102264667190231</v>
      </c>
      <c r="AO11" s="14"/>
      <c r="AP11" s="14">
        <v>7.3272956199031097E-2</v>
      </c>
      <c r="AQ11" s="14">
        <v>9.6041699965983204E-2</v>
      </c>
      <c r="AR11" s="14"/>
      <c r="AS11" s="14">
        <v>6.5660959604321403E-2</v>
      </c>
      <c r="AT11" s="14">
        <v>6.8408442749809603E-2</v>
      </c>
      <c r="AU11" s="14">
        <v>9.3326602624241195E-2</v>
      </c>
      <c r="AV11" s="14"/>
      <c r="AW11" s="14">
        <v>7.8059731258007498E-2</v>
      </c>
      <c r="AX11" s="14">
        <v>5.9076268399899698E-2</v>
      </c>
      <c r="AY11" s="14"/>
      <c r="AZ11" s="14">
        <v>7.1508257174767498E-2</v>
      </c>
      <c r="BA11" s="14">
        <v>0.12940192909301601</v>
      </c>
    </row>
    <row r="12" spans="2:53" x14ac:dyDescent="0.35">
      <c r="B12" s="15" t="s">
        <v>407</v>
      </c>
      <c r="C12" s="14">
        <v>1.6892131455190699E-2</v>
      </c>
      <c r="D12" s="14">
        <v>1.49974942556148E-2</v>
      </c>
      <c r="E12" s="14">
        <v>1.88046607640713E-2</v>
      </c>
      <c r="F12" s="14"/>
      <c r="G12" s="14">
        <v>0</v>
      </c>
      <c r="H12" s="14">
        <v>3.19621603083508E-2</v>
      </c>
      <c r="I12" s="14">
        <v>1.34332831167889E-2</v>
      </c>
      <c r="J12" s="14">
        <v>1.7830468129007699E-2</v>
      </c>
      <c r="K12" s="14">
        <v>7.4357103834002897E-3</v>
      </c>
      <c r="L12" s="14">
        <v>1.28417253195894E-2</v>
      </c>
      <c r="M12" s="14"/>
      <c r="N12" s="14">
        <v>1.06351727548033E-2</v>
      </c>
      <c r="O12" s="14">
        <v>9.2190598621678301E-3</v>
      </c>
      <c r="P12" s="14">
        <v>2.9790859197610601E-2</v>
      </c>
      <c r="Q12" s="14">
        <v>2.0469202390004802E-2</v>
      </c>
      <c r="R12" s="14"/>
      <c r="S12" s="14">
        <v>2.2242829337111299E-2</v>
      </c>
      <c r="T12" s="14">
        <v>1.8112383021641001E-2</v>
      </c>
      <c r="U12" s="14">
        <v>5.8243803346451099E-3</v>
      </c>
      <c r="V12" s="14">
        <v>2.2895710441613801E-2</v>
      </c>
      <c r="W12" s="14">
        <v>2.3172971816705499E-2</v>
      </c>
      <c r="X12" s="14">
        <v>3.27396554658997E-2</v>
      </c>
      <c r="Y12" s="14">
        <v>4.9367990524633396E-3</v>
      </c>
      <c r="Z12" s="14">
        <v>2.1711966522985699E-2</v>
      </c>
      <c r="AA12" s="14">
        <v>3.0468803996828702E-3</v>
      </c>
      <c r="AB12" s="14"/>
      <c r="AC12" s="14">
        <v>1.23019500501478E-2</v>
      </c>
      <c r="AD12" s="14">
        <v>2.51109375269307E-2</v>
      </c>
      <c r="AE12" s="14">
        <v>1.39998965311084E-2</v>
      </c>
      <c r="AF12" s="14">
        <v>1.25697421608048E-2</v>
      </c>
      <c r="AG12" s="14">
        <v>2.8762393093582E-2</v>
      </c>
      <c r="AH12" s="14"/>
      <c r="AI12" s="14">
        <v>1.0981045147321501E-2</v>
      </c>
      <c r="AJ12" s="14">
        <v>3.1469367051078098E-2</v>
      </c>
      <c r="AK12" s="14">
        <v>1.6818249923965699E-2</v>
      </c>
      <c r="AL12" s="14">
        <v>1.61629211611421E-2</v>
      </c>
      <c r="AM12" s="14">
        <v>3.9643113482768701E-2</v>
      </c>
      <c r="AN12" s="14">
        <v>0</v>
      </c>
      <c r="AO12" s="14"/>
      <c r="AP12" s="14">
        <v>1.6012010379305899E-2</v>
      </c>
      <c r="AQ12" s="14">
        <v>1.7936830387036098E-2</v>
      </c>
      <c r="AR12" s="14"/>
      <c r="AS12" s="14">
        <v>2.13145824131298E-2</v>
      </c>
      <c r="AT12" s="14">
        <v>1.6588016398352601E-2</v>
      </c>
      <c r="AU12" s="14">
        <v>1.57918210766145E-2</v>
      </c>
      <c r="AV12" s="14"/>
      <c r="AW12" s="14">
        <v>1.4228738462265699E-2</v>
      </c>
      <c r="AX12" s="14">
        <v>2.6882689380736E-2</v>
      </c>
      <c r="AY12" s="14"/>
      <c r="AZ12" s="14">
        <v>1.6289700620368601E-2</v>
      </c>
      <c r="BA12" s="14">
        <v>1.9493548312964199E-2</v>
      </c>
    </row>
    <row r="13" spans="2:53" x14ac:dyDescent="0.35">
      <c r="B13" s="15" t="s">
        <v>408</v>
      </c>
      <c r="C13" s="14">
        <v>2.6832949881324302E-3</v>
      </c>
      <c r="D13" s="14">
        <v>2.2608708204949202E-3</v>
      </c>
      <c r="E13" s="14">
        <v>3.1086584175872402E-3</v>
      </c>
      <c r="F13" s="14"/>
      <c r="G13" s="14">
        <v>0</v>
      </c>
      <c r="H13" s="14">
        <v>1.03926622341581E-2</v>
      </c>
      <c r="I13" s="14">
        <v>3.6644415402993199E-4</v>
      </c>
      <c r="J13" s="14">
        <v>3.2225477329788301E-3</v>
      </c>
      <c r="K13" s="14">
        <v>0</v>
      </c>
      <c r="L13" s="14">
        <v>0</v>
      </c>
      <c r="M13" s="14"/>
      <c r="N13" s="14">
        <v>5.9444422971769502E-4</v>
      </c>
      <c r="O13" s="14">
        <v>1.61726291205271E-3</v>
      </c>
      <c r="P13" s="14">
        <v>4.4230463225213403E-3</v>
      </c>
      <c r="Q13" s="14">
        <v>4.5468301710563201E-3</v>
      </c>
      <c r="R13" s="14"/>
      <c r="S13" s="14">
        <v>8.6958516844644809E-3</v>
      </c>
      <c r="T13" s="14">
        <v>1.0015170270321499E-3</v>
      </c>
      <c r="U13" s="14">
        <v>0</v>
      </c>
      <c r="V13" s="14">
        <v>5.8126399678665496E-3</v>
      </c>
      <c r="W13" s="14">
        <v>0</v>
      </c>
      <c r="X13" s="14">
        <v>0</v>
      </c>
      <c r="Y13" s="14">
        <v>4.9367968384857403E-3</v>
      </c>
      <c r="Z13" s="14">
        <v>0</v>
      </c>
      <c r="AA13" s="14">
        <v>0</v>
      </c>
      <c r="AB13" s="14"/>
      <c r="AC13" s="14">
        <v>3.1982142381254399E-3</v>
      </c>
      <c r="AD13" s="14">
        <v>2.3186991050872601E-3</v>
      </c>
      <c r="AE13" s="14">
        <v>1.44368355591717E-3</v>
      </c>
      <c r="AF13" s="14">
        <v>7.5352622147833804E-3</v>
      </c>
      <c r="AG13" s="14">
        <v>0</v>
      </c>
      <c r="AH13" s="14"/>
      <c r="AI13" s="14">
        <v>2.7638927917782801E-3</v>
      </c>
      <c r="AJ13" s="14">
        <v>3.6053276316378698E-3</v>
      </c>
      <c r="AK13" s="14">
        <v>0</v>
      </c>
      <c r="AL13" s="14">
        <v>3.76073804916441E-3</v>
      </c>
      <c r="AM13" s="14">
        <v>0</v>
      </c>
      <c r="AN13" s="14">
        <v>6.6719317493672001E-3</v>
      </c>
      <c r="AO13" s="14"/>
      <c r="AP13" s="14">
        <v>1.2389575860143E-3</v>
      </c>
      <c r="AQ13" s="14">
        <v>4.3170246716423902E-3</v>
      </c>
      <c r="AR13" s="14"/>
      <c r="AS13" s="14">
        <v>0</v>
      </c>
      <c r="AT13" s="14">
        <v>6.0009332695983002E-3</v>
      </c>
      <c r="AU13" s="14">
        <v>2.4244534761255999E-3</v>
      </c>
      <c r="AV13" s="14"/>
      <c r="AW13" s="14">
        <v>3.5707413744695401E-3</v>
      </c>
      <c r="AX13" s="14">
        <v>0</v>
      </c>
      <c r="AY13" s="14"/>
      <c r="AZ13" s="14">
        <v>1.5516540798691501E-3</v>
      </c>
      <c r="BA13" s="14">
        <v>6.9592059116775603E-3</v>
      </c>
    </row>
    <row r="14" spans="2:53" x14ac:dyDescent="0.35">
      <c r="B14" s="15" t="s">
        <v>80</v>
      </c>
      <c r="C14" s="14">
        <v>1.3214676586036299E-2</v>
      </c>
      <c r="D14" s="14">
        <v>6.8067125125955497E-3</v>
      </c>
      <c r="E14" s="14">
        <v>1.9640576260033401E-2</v>
      </c>
      <c r="F14" s="14"/>
      <c r="G14" s="14">
        <v>0</v>
      </c>
      <c r="H14" s="14">
        <v>1.44523645838197E-2</v>
      </c>
      <c r="I14" s="14">
        <v>1.1510481031339601E-2</v>
      </c>
      <c r="J14" s="14">
        <v>1.15948435264322E-2</v>
      </c>
      <c r="K14" s="14">
        <v>1.56821209999011E-2</v>
      </c>
      <c r="L14" s="14">
        <v>7.1927198932918504E-2</v>
      </c>
      <c r="M14" s="14"/>
      <c r="N14" s="14">
        <v>2.81748948787182E-3</v>
      </c>
      <c r="O14" s="14">
        <v>1.0061594026144699E-2</v>
      </c>
      <c r="P14" s="14">
        <v>1.93929987868274E-2</v>
      </c>
      <c r="Q14" s="14">
        <v>2.2434566677033401E-2</v>
      </c>
      <c r="R14" s="14"/>
      <c r="S14" s="14">
        <v>5.6740207021104602E-3</v>
      </c>
      <c r="T14" s="14">
        <v>7.44441486694706E-3</v>
      </c>
      <c r="U14" s="14">
        <v>3.4654670394520498E-2</v>
      </c>
      <c r="V14" s="14">
        <v>0</v>
      </c>
      <c r="W14" s="14">
        <v>2.5609317147120399E-2</v>
      </c>
      <c r="X14" s="14">
        <v>2.3037889441966702E-2</v>
      </c>
      <c r="Y14" s="14">
        <v>1.4004859847998499E-2</v>
      </c>
      <c r="Z14" s="14">
        <v>0</v>
      </c>
      <c r="AA14" s="14">
        <v>1.2515119121026E-2</v>
      </c>
      <c r="AB14" s="14"/>
      <c r="AC14" s="14">
        <v>1.3691626030058799E-2</v>
      </c>
      <c r="AD14" s="14">
        <v>1.7726602799797899E-2</v>
      </c>
      <c r="AE14" s="14">
        <v>6.8226964016188203E-3</v>
      </c>
      <c r="AF14" s="14">
        <v>1.0041576653124801E-2</v>
      </c>
      <c r="AG14" s="14">
        <v>0</v>
      </c>
      <c r="AH14" s="14"/>
      <c r="AI14" s="14">
        <v>1.41860732112443E-2</v>
      </c>
      <c r="AJ14" s="14">
        <v>0</v>
      </c>
      <c r="AK14" s="14">
        <v>3.7683803354501499E-3</v>
      </c>
      <c r="AL14" s="14">
        <v>1.7931887118152599E-2</v>
      </c>
      <c r="AM14" s="14">
        <v>2.5975522208994298E-2</v>
      </c>
      <c r="AN14" s="14">
        <v>2.3355564581534299E-2</v>
      </c>
      <c r="AO14" s="14"/>
      <c r="AP14" s="14">
        <v>1.25488561869421E-2</v>
      </c>
      <c r="AQ14" s="14">
        <v>1.40064056479553E-2</v>
      </c>
      <c r="AR14" s="14"/>
      <c r="AS14" s="14">
        <v>8.1499946311949095E-3</v>
      </c>
      <c r="AT14" s="14">
        <v>1.22418765311278E-2</v>
      </c>
      <c r="AU14" s="14">
        <v>1.4865411399619E-2</v>
      </c>
      <c r="AV14" s="14"/>
      <c r="AW14" s="14">
        <v>1.2160289673594201E-2</v>
      </c>
      <c r="AX14" s="14">
        <v>3.05532137182236E-3</v>
      </c>
      <c r="AY14" s="14"/>
      <c r="AZ14" s="14">
        <v>1.0269992796887201E-2</v>
      </c>
      <c r="BA14" s="14">
        <v>1.3874563956289099E-2</v>
      </c>
    </row>
    <row r="15" spans="2:53" x14ac:dyDescent="0.35">
      <c r="B15" s="15" t="s">
        <v>409</v>
      </c>
      <c r="C15" s="18">
        <v>0.88335011752538695</v>
      </c>
      <c r="D15" s="18">
        <v>0.90896276858996905</v>
      </c>
      <c r="E15" s="18">
        <v>0.85760389294810702</v>
      </c>
      <c r="F15" s="18"/>
      <c r="G15" s="18">
        <v>0.73096413332480004</v>
      </c>
      <c r="H15" s="18">
        <v>0.87958324343373495</v>
      </c>
      <c r="I15" s="18">
        <v>0.87883264238311798</v>
      </c>
      <c r="J15" s="18">
        <v>0.90595518808484699</v>
      </c>
      <c r="K15" s="18">
        <v>0.86199656843242001</v>
      </c>
      <c r="L15" s="18">
        <v>0.78549520570942399</v>
      </c>
      <c r="M15" s="18"/>
      <c r="N15" s="18">
        <v>0.93259337950626697</v>
      </c>
      <c r="O15" s="18">
        <v>0.90637661534235903</v>
      </c>
      <c r="P15" s="18">
        <v>0.87057322158309403</v>
      </c>
      <c r="Q15" s="18">
        <v>0.81614546514537101</v>
      </c>
      <c r="R15" s="18"/>
      <c r="S15" s="18">
        <v>0.89925363106585099</v>
      </c>
      <c r="T15" s="18">
        <v>0.92062021695510798</v>
      </c>
      <c r="U15" s="18">
        <v>0.85479543689552495</v>
      </c>
      <c r="V15" s="18">
        <v>0.88648960882855699</v>
      </c>
      <c r="W15" s="18">
        <v>0.829020184668676</v>
      </c>
      <c r="X15" s="18">
        <v>0.85254235009343904</v>
      </c>
      <c r="Y15" s="18">
        <v>0.89020074001557703</v>
      </c>
      <c r="Z15" s="18">
        <v>0.86793542759044295</v>
      </c>
      <c r="AA15" s="18">
        <v>0.89941437149025205</v>
      </c>
      <c r="AB15" s="18"/>
      <c r="AC15" s="18">
        <v>0.83564096922341102</v>
      </c>
      <c r="AD15" s="18">
        <v>0.86660196272967605</v>
      </c>
      <c r="AE15" s="18">
        <v>0.92597546515130602</v>
      </c>
      <c r="AF15" s="18">
        <v>0.91972109306045902</v>
      </c>
      <c r="AG15" s="18">
        <v>0.88968055381935096</v>
      </c>
      <c r="AH15" s="18"/>
      <c r="AI15" s="18">
        <v>0.91494959975625101</v>
      </c>
      <c r="AJ15" s="18">
        <v>0.89134098801513095</v>
      </c>
      <c r="AK15" s="18">
        <v>0.90974769245193099</v>
      </c>
      <c r="AL15" s="18">
        <v>0.86575716961319704</v>
      </c>
      <c r="AM15" s="18">
        <v>0.77352986722986405</v>
      </c>
      <c r="AN15" s="18">
        <v>0.86770783647886796</v>
      </c>
      <c r="AO15" s="18"/>
      <c r="AP15" s="18">
        <v>0.89692721964870703</v>
      </c>
      <c r="AQ15" s="18">
        <v>0.86769803932738299</v>
      </c>
      <c r="AR15" s="18"/>
      <c r="AS15" s="18">
        <v>0.90487446335135402</v>
      </c>
      <c r="AT15" s="18">
        <v>0.89676073105111198</v>
      </c>
      <c r="AU15" s="18">
        <v>0.87359171142339997</v>
      </c>
      <c r="AV15" s="18"/>
      <c r="AW15" s="18">
        <v>0.891980499231663</v>
      </c>
      <c r="AX15" s="18">
        <v>0.91098572084754204</v>
      </c>
      <c r="AY15" s="18"/>
      <c r="AZ15" s="18">
        <v>0.90038039532810799</v>
      </c>
      <c r="BA15" s="18">
        <v>0.830270752726053</v>
      </c>
    </row>
    <row r="16" spans="2:53" x14ac:dyDescent="0.35">
      <c r="B16" s="15" t="s">
        <v>410</v>
      </c>
      <c r="C16" s="18">
        <v>1.9575426443323201E-2</v>
      </c>
      <c r="D16" s="18">
        <v>1.72583650761097E-2</v>
      </c>
      <c r="E16" s="18">
        <v>2.1913319181658501E-2</v>
      </c>
      <c r="F16" s="18"/>
      <c r="G16" s="18">
        <v>0</v>
      </c>
      <c r="H16" s="18">
        <v>4.2354822542508899E-2</v>
      </c>
      <c r="I16" s="18">
        <v>1.37997272708189E-2</v>
      </c>
      <c r="J16" s="18">
        <v>2.1053015861986501E-2</v>
      </c>
      <c r="K16" s="18">
        <v>7.4357103834002897E-3</v>
      </c>
      <c r="L16" s="18">
        <v>1.28417253195894E-2</v>
      </c>
      <c r="M16" s="18"/>
      <c r="N16" s="18">
        <v>1.1229616984521001E-2</v>
      </c>
      <c r="O16" s="18">
        <v>1.0836322774220499E-2</v>
      </c>
      <c r="P16" s="18">
        <v>3.4213905520132003E-2</v>
      </c>
      <c r="Q16" s="18">
        <v>2.5016032561061101E-2</v>
      </c>
      <c r="R16" s="18"/>
      <c r="S16" s="18">
        <v>3.0938681021575799E-2</v>
      </c>
      <c r="T16" s="18">
        <v>1.91139000486731E-2</v>
      </c>
      <c r="U16" s="18">
        <v>5.8243803346451099E-3</v>
      </c>
      <c r="V16" s="18">
        <v>2.8708350409480402E-2</v>
      </c>
      <c r="W16" s="18">
        <v>2.3172971816705499E-2</v>
      </c>
      <c r="X16" s="18">
        <v>3.27396554658997E-2</v>
      </c>
      <c r="Y16" s="18">
        <v>9.8735958909490808E-3</v>
      </c>
      <c r="Z16" s="18">
        <v>2.1711966522985699E-2</v>
      </c>
      <c r="AA16" s="18">
        <v>3.0468803996828702E-3</v>
      </c>
      <c r="AB16" s="18"/>
      <c r="AC16" s="18">
        <v>1.5500164288273201E-2</v>
      </c>
      <c r="AD16" s="18">
        <v>2.7429636632018001E-2</v>
      </c>
      <c r="AE16" s="18">
        <v>1.54435800870256E-2</v>
      </c>
      <c r="AF16" s="18">
        <v>2.0105004375588199E-2</v>
      </c>
      <c r="AG16" s="18">
        <v>2.8762393093582E-2</v>
      </c>
      <c r="AH16" s="18"/>
      <c r="AI16" s="18">
        <v>1.37449379390998E-2</v>
      </c>
      <c r="AJ16" s="18">
        <v>3.5074694682715998E-2</v>
      </c>
      <c r="AK16" s="18">
        <v>1.6818249923965699E-2</v>
      </c>
      <c r="AL16" s="18">
        <v>1.9923659210306598E-2</v>
      </c>
      <c r="AM16" s="18">
        <v>3.9643113482768701E-2</v>
      </c>
      <c r="AN16" s="18">
        <v>6.6719317493672001E-3</v>
      </c>
      <c r="AO16" s="18"/>
      <c r="AP16" s="18">
        <v>1.7250967965320201E-2</v>
      </c>
      <c r="AQ16" s="18">
        <v>2.2253855058678499E-2</v>
      </c>
      <c r="AR16" s="18"/>
      <c r="AS16" s="18">
        <v>2.13145824131298E-2</v>
      </c>
      <c r="AT16" s="18">
        <v>2.25889496679509E-2</v>
      </c>
      <c r="AU16" s="18">
        <v>1.8216274552740101E-2</v>
      </c>
      <c r="AV16" s="18"/>
      <c r="AW16" s="18">
        <v>1.7799479836735299E-2</v>
      </c>
      <c r="AX16" s="18">
        <v>2.6882689380736E-2</v>
      </c>
      <c r="AY16" s="18"/>
      <c r="AZ16" s="18">
        <v>1.7841354700237701E-2</v>
      </c>
      <c r="BA16" s="18">
        <v>2.64527542246418E-2</v>
      </c>
    </row>
    <row r="17" spans="2:53" x14ac:dyDescent="0.35">
      <c r="B17" s="15" t="s">
        <v>82</v>
      </c>
      <c r="C17" s="19">
        <v>0.86377469108206395</v>
      </c>
      <c r="D17" s="19">
        <v>0.89170440351385905</v>
      </c>
      <c r="E17" s="19">
        <v>0.83569057376644795</v>
      </c>
      <c r="F17" s="19"/>
      <c r="G17" s="19">
        <v>0.73096413332480004</v>
      </c>
      <c r="H17" s="19">
        <v>0.83722842089122596</v>
      </c>
      <c r="I17" s="19">
        <v>0.86503291511229896</v>
      </c>
      <c r="J17" s="19">
        <v>0.88490217222286105</v>
      </c>
      <c r="K17" s="19">
        <v>0.85456085804901905</v>
      </c>
      <c r="L17" s="19">
        <v>0.77265348038983495</v>
      </c>
      <c r="M17" s="19"/>
      <c r="N17" s="19">
        <v>0.92136376252174601</v>
      </c>
      <c r="O17" s="19">
        <v>0.89554029256813805</v>
      </c>
      <c r="P17" s="19">
        <v>0.83635931606296199</v>
      </c>
      <c r="Q17" s="19">
        <v>0.79112943258430901</v>
      </c>
      <c r="R17" s="19"/>
      <c r="S17" s="19">
        <v>0.86831495004427495</v>
      </c>
      <c r="T17" s="19">
        <v>0.90150631690643501</v>
      </c>
      <c r="U17" s="19">
        <v>0.84897105656088001</v>
      </c>
      <c r="V17" s="19">
        <v>0.85778125841907604</v>
      </c>
      <c r="W17" s="19">
        <v>0.80584721285197003</v>
      </c>
      <c r="X17" s="19">
        <v>0.81980269462753896</v>
      </c>
      <c r="Y17" s="19">
        <v>0.88032714412462798</v>
      </c>
      <c r="Z17" s="19">
        <v>0.84622346106745705</v>
      </c>
      <c r="AA17" s="19">
        <v>0.89636749109056901</v>
      </c>
      <c r="AB17" s="19"/>
      <c r="AC17" s="19">
        <v>0.82014080493513797</v>
      </c>
      <c r="AD17" s="19">
        <v>0.83917232609765802</v>
      </c>
      <c r="AE17" s="19">
        <v>0.91053188506428095</v>
      </c>
      <c r="AF17" s="19">
        <v>0.89961608868487097</v>
      </c>
      <c r="AG17" s="19">
        <v>0.86091816072576899</v>
      </c>
      <c r="AH17" s="19"/>
      <c r="AI17" s="19">
        <v>0.90120466181715098</v>
      </c>
      <c r="AJ17" s="19">
        <v>0.856266293332415</v>
      </c>
      <c r="AK17" s="19">
        <v>0.89292944252796502</v>
      </c>
      <c r="AL17" s="19">
        <v>0.84583351040289001</v>
      </c>
      <c r="AM17" s="19">
        <v>0.733886753747096</v>
      </c>
      <c r="AN17" s="19">
        <v>0.86103590472950098</v>
      </c>
      <c r="AO17" s="19"/>
      <c r="AP17" s="19">
        <v>0.87967625168338603</v>
      </c>
      <c r="AQ17" s="19">
        <v>0.84544418426870405</v>
      </c>
      <c r="AR17" s="19"/>
      <c r="AS17" s="19">
        <v>0.88355988093822402</v>
      </c>
      <c r="AT17" s="19">
        <v>0.87417178138316098</v>
      </c>
      <c r="AU17" s="19">
        <v>0.85537543687065998</v>
      </c>
      <c r="AV17" s="19"/>
      <c r="AW17" s="19">
        <v>0.87418101939492798</v>
      </c>
      <c r="AX17" s="19">
        <v>0.88410303146680602</v>
      </c>
      <c r="AY17" s="19"/>
      <c r="AZ17" s="19">
        <v>0.88253904062787003</v>
      </c>
      <c r="BA17" s="19">
        <v>0.803817998501412</v>
      </c>
    </row>
    <row r="18" spans="2:53" x14ac:dyDescent="0.35">
      <c r="B18" s="16"/>
    </row>
    <row r="19" spans="2:53" x14ac:dyDescent="0.35">
      <c r="B19" t="s">
        <v>84</v>
      </c>
    </row>
    <row r="20" spans="2:53" x14ac:dyDescent="0.35">
      <c r="B20" t="s">
        <v>85</v>
      </c>
    </row>
    <row r="22" spans="2:53" x14ac:dyDescent="0.35">
      <c r="B22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B2:BA22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416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404</v>
      </c>
      <c r="C9" s="14">
        <v>0.39286266930574698</v>
      </c>
      <c r="D9" s="14">
        <v>0.40740350419791699</v>
      </c>
      <c r="E9" s="14">
        <v>0.37869109365798598</v>
      </c>
      <c r="F9" s="14"/>
      <c r="G9" s="14">
        <v>0.34364222191411697</v>
      </c>
      <c r="H9" s="14">
        <v>0.42140360955136402</v>
      </c>
      <c r="I9" s="14">
        <v>0.40965137843807298</v>
      </c>
      <c r="J9" s="14">
        <v>0.37513261373573198</v>
      </c>
      <c r="K9" s="14">
        <v>0.33777935699197598</v>
      </c>
      <c r="L9" s="14">
        <v>0.33232901054882602</v>
      </c>
      <c r="M9" s="14"/>
      <c r="N9" s="14">
        <v>0.43207634973765502</v>
      </c>
      <c r="O9" s="14">
        <v>0.38960477454231501</v>
      </c>
      <c r="P9" s="14">
        <v>0.36942401994102803</v>
      </c>
      <c r="Q9" s="14">
        <v>0.37656050566958099</v>
      </c>
      <c r="R9" s="14"/>
      <c r="S9" s="14">
        <v>0.45519819448242099</v>
      </c>
      <c r="T9" s="14">
        <v>0.42729133126400498</v>
      </c>
      <c r="U9" s="14">
        <v>0.38225829721058102</v>
      </c>
      <c r="V9" s="14">
        <v>0.415829381632777</v>
      </c>
      <c r="W9" s="14">
        <v>0.356397955168759</v>
      </c>
      <c r="X9" s="14">
        <v>0.36646703424793903</v>
      </c>
      <c r="Y9" s="14">
        <v>0.368366423707508</v>
      </c>
      <c r="Z9" s="14">
        <v>0.35735340094414297</v>
      </c>
      <c r="AA9" s="14">
        <v>0.340733466888198</v>
      </c>
      <c r="AB9" s="14"/>
      <c r="AC9" s="14">
        <v>0.316327938207145</v>
      </c>
      <c r="AD9" s="14">
        <v>0.36044785507788002</v>
      </c>
      <c r="AE9" s="14">
        <v>0.41190825441415402</v>
      </c>
      <c r="AF9" s="14">
        <v>0.546249412110834</v>
      </c>
      <c r="AG9" s="14">
        <v>0.50643922869853297</v>
      </c>
      <c r="AH9" s="14"/>
      <c r="AI9" s="14">
        <v>0.44549397946790398</v>
      </c>
      <c r="AJ9" s="14">
        <v>0.36426955829583402</v>
      </c>
      <c r="AK9" s="14">
        <v>0.41962517057701598</v>
      </c>
      <c r="AL9" s="14">
        <v>0.33294069609925703</v>
      </c>
      <c r="AM9" s="14">
        <v>0.41908390450854199</v>
      </c>
      <c r="AN9" s="14">
        <v>0.374412149031432</v>
      </c>
      <c r="AO9" s="14"/>
      <c r="AP9" s="14">
        <v>0.42164490155047701</v>
      </c>
      <c r="AQ9" s="14">
        <v>0.36054889086825298</v>
      </c>
      <c r="AR9" s="14"/>
      <c r="AS9" s="14">
        <v>0.42871005153804398</v>
      </c>
      <c r="AT9" s="14">
        <v>0.39806523729101001</v>
      </c>
      <c r="AU9" s="14">
        <v>0.38167651447458201</v>
      </c>
      <c r="AV9" s="14"/>
      <c r="AW9" s="14">
        <v>0.376744654084679</v>
      </c>
      <c r="AX9" s="14">
        <v>0.49136979396837499</v>
      </c>
      <c r="AY9" s="14"/>
      <c r="AZ9" s="14">
        <v>0.42163341467944898</v>
      </c>
      <c r="BA9" s="14">
        <v>0.29384667467804299</v>
      </c>
    </row>
    <row r="10" spans="2:53" x14ac:dyDescent="0.35">
      <c r="B10" s="15" t="s">
        <v>405</v>
      </c>
      <c r="C10" s="14">
        <v>0.45806496851284001</v>
      </c>
      <c r="D10" s="14">
        <v>0.45928028266660897</v>
      </c>
      <c r="E10" s="14">
        <v>0.45632326875634699</v>
      </c>
      <c r="F10" s="14"/>
      <c r="G10" s="14">
        <v>0.206042317828671</v>
      </c>
      <c r="H10" s="14">
        <v>0.43082482056121202</v>
      </c>
      <c r="I10" s="14">
        <v>0.448483036323849</v>
      </c>
      <c r="J10" s="14">
        <v>0.479485891545325</v>
      </c>
      <c r="K10" s="14">
        <v>0.48165849678782002</v>
      </c>
      <c r="L10" s="14">
        <v>0.52291500037698802</v>
      </c>
      <c r="M10" s="14"/>
      <c r="N10" s="14">
        <v>0.46407085872339598</v>
      </c>
      <c r="O10" s="14">
        <v>0.46735527364889101</v>
      </c>
      <c r="P10" s="14">
        <v>0.49829734591444502</v>
      </c>
      <c r="Q10" s="14">
        <v>0.40864983608135202</v>
      </c>
      <c r="R10" s="14"/>
      <c r="S10" s="14">
        <v>0.44889825479310602</v>
      </c>
      <c r="T10" s="14">
        <v>0.43561639314186001</v>
      </c>
      <c r="U10" s="14">
        <v>0.42631351187166799</v>
      </c>
      <c r="V10" s="14">
        <v>0.443662963019472</v>
      </c>
      <c r="W10" s="14">
        <v>0.47864251912755901</v>
      </c>
      <c r="X10" s="14">
        <v>0.45925778858004401</v>
      </c>
      <c r="Y10" s="14">
        <v>0.47220128412971901</v>
      </c>
      <c r="Z10" s="14">
        <v>0.47924681138257103</v>
      </c>
      <c r="AA10" s="14">
        <v>0.49945543068136</v>
      </c>
      <c r="AB10" s="14"/>
      <c r="AC10" s="14">
        <v>0.47708138797012201</v>
      </c>
      <c r="AD10" s="14">
        <v>0.50723898923565103</v>
      </c>
      <c r="AE10" s="14">
        <v>0.457152943107549</v>
      </c>
      <c r="AF10" s="14">
        <v>0.36881616416167501</v>
      </c>
      <c r="AG10" s="14">
        <v>0.37303820571722501</v>
      </c>
      <c r="AH10" s="14"/>
      <c r="AI10" s="14">
        <v>0.43060117886934701</v>
      </c>
      <c r="AJ10" s="14">
        <v>0.49891620645279899</v>
      </c>
      <c r="AK10" s="14">
        <v>0.48896685371521398</v>
      </c>
      <c r="AL10" s="14">
        <v>0.49780630765322798</v>
      </c>
      <c r="AM10" s="14">
        <v>0.365751490366304</v>
      </c>
      <c r="AN10" s="14">
        <v>0.38981945307203503</v>
      </c>
      <c r="AO10" s="14"/>
      <c r="AP10" s="14">
        <v>0.43728170016926099</v>
      </c>
      <c r="AQ10" s="14">
        <v>0.480898366284219</v>
      </c>
      <c r="AR10" s="14"/>
      <c r="AS10" s="14">
        <v>0.435287431156402</v>
      </c>
      <c r="AT10" s="14">
        <v>0.43425338573182898</v>
      </c>
      <c r="AU10" s="14">
        <v>0.47123616893592601</v>
      </c>
      <c r="AV10" s="14"/>
      <c r="AW10" s="14">
        <v>0.47789779146745698</v>
      </c>
      <c r="AX10" s="14">
        <v>0.39202591184258401</v>
      </c>
      <c r="AY10" s="14"/>
      <c r="AZ10" s="14">
        <v>0.44662328254406802</v>
      </c>
      <c r="BA10" s="14">
        <v>0.50483480417161197</v>
      </c>
    </row>
    <row r="11" spans="2:53" x14ac:dyDescent="0.35">
      <c r="B11" s="15" t="s">
        <v>406</v>
      </c>
      <c r="C11" s="14">
        <v>0.11442283234363899</v>
      </c>
      <c r="D11" s="14">
        <v>0.105470421068489</v>
      </c>
      <c r="E11" s="14">
        <v>0.12349333651767901</v>
      </c>
      <c r="F11" s="14"/>
      <c r="G11" s="14">
        <v>0.15576743528745901</v>
      </c>
      <c r="H11" s="14">
        <v>0.10375476484945099</v>
      </c>
      <c r="I11" s="14">
        <v>0.118583054555086</v>
      </c>
      <c r="J11" s="14">
        <v>0.103288474998858</v>
      </c>
      <c r="K11" s="14">
        <v>0.159155778333777</v>
      </c>
      <c r="L11" s="14">
        <v>3.4303614182499199E-2</v>
      </c>
      <c r="M11" s="14"/>
      <c r="N11" s="14">
        <v>7.4493468315892902E-2</v>
      </c>
      <c r="O11" s="14">
        <v>0.111300321911688</v>
      </c>
      <c r="P11" s="14">
        <v>0.106485784666498</v>
      </c>
      <c r="Q11" s="14">
        <v>0.16465073641345301</v>
      </c>
      <c r="R11" s="14"/>
      <c r="S11" s="14">
        <v>7.2038910698102601E-2</v>
      </c>
      <c r="T11" s="14">
        <v>0.109987963965081</v>
      </c>
      <c r="U11" s="14">
        <v>0.149650198276646</v>
      </c>
      <c r="V11" s="14">
        <v>0.115244844532151</v>
      </c>
      <c r="W11" s="14">
        <v>0.107408210454536</v>
      </c>
      <c r="X11" s="14">
        <v>0.102902606249092</v>
      </c>
      <c r="Y11" s="14">
        <v>0.138329406844238</v>
      </c>
      <c r="Z11" s="14">
        <v>0.14128078092763199</v>
      </c>
      <c r="AA11" s="14">
        <v>0.12912996337896601</v>
      </c>
      <c r="AB11" s="14"/>
      <c r="AC11" s="14">
        <v>0.157285666238525</v>
      </c>
      <c r="AD11" s="14">
        <v>0.100083733571544</v>
      </c>
      <c r="AE11" s="14">
        <v>0.10571552210207801</v>
      </c>
      <c r="AF11" s="14">
        <v>5.6788599382619903E-2</v>
      </c>
      <c r="AG11" s="14">
        <v>6.2453462115949203E-2</v>
      </c>
      <c r="AH11" s="14"/>
      <c r="AI11" s="14">
        <v>8.0639462404317797E-2</v>
      </c>
      <c r="AJ11" s="14">
        <v>0.10525937482763401</v>
      </c>
      <c r="AK11" s="14">
        <v>6.8020156407147495E-2</v>
      </c>
      <c r="AL11" s="14">
        <v>0.13875740347863</v>
      </c>
      <c r="AM11" s="14">
        <v>0.19271001099771701</v>
      </c>
      <c r="AN11" s="14">
        <v>0.19053272014879399</v>
      </c>
      <c r="AO11" s="14"/>
      <c r="AP11" s="14">
        <v>0.119698073008229</v>
      </c>
      <c r="AQ11" s="14">
        <v>0.10885620473332699</v>
      </c>
      <c r="AR11" s="14"/>
      <c r="AS11" s="14">
        <v>0.108271530338183</v>
      </c>
      <c r="AT11" s="14">
        <v>0.124925097576044</v>
      </c>
      <c r="AU11" s="14">
        <v>0.112972892659869</v>
      </c>
      <c r="AV11" s="14"/>
      <c r="AW11" s="14">
        <v>0.109172269537339</v>
      </c>
      <c r="AX11" s="14">
        <v>9.7785144201686894E-2</v>
      </c>
      <c r="AY11" s="14"/>
      <c r="AZ11" s="14">
        <v>0.103250414589951</v>
      </c>
      <c r="BA11" s="14">
        <v>0.15358215986249099</v>
      </c>
    </row>
    <row r="12" spans="2:53" x14ac:dyDescent="0.35">
      <c r="B12" s="15" t="s">
        <v>407</v>
      </c>
      <c r="C12" s="14">
        <v>1.43060119645151E-2</v>
      </c>
      <c r="D12" s="14">
        <v>1.54286888765346E-2</v>
      </c>
      <c r="E12" s="14">
        <v>1.3196307250123201E-2</v>
      </c>
      <c r="F12" s="14"/>
      <c r="G12" s="14">
        <v>0.11326843138774099</v>
      </c>
      <c r="H12" s="14">
        <v>2.54324243447283E-2</v>
      </c>
      <c r="I12" s="14">
        <v>1.24269848949565E-2</v>
      </c>
      <c r="J12" s="14">
        <v>1.04654142509212E-2</v>
      </c>
      <c r="K12" s="14">
        <v>1.2197435122425101E-2</v>
      </c>
      <c r="L12" s="14">
        <v>1.28417253195894E-2</v>
      </c>
      <c r="M12" s="14"/>
      <c r="N12" s="14">
        <v>1.55152170977923E-2</v>
      </c>
      <c r="O12" s="14">
        <v>1.1315292520093599E-2</v>
      </c>
      <c r="P12" s="14">
        <v>1.20418652466175E-2</v>
      </c>
      <c r="Q12" s="14">
        <v>1.8265645740193199E-2</v>
      </c>
      <c r="R12" s="14"/>
      <c r="S12" s="14">
        <v>1.2223512214053E-2</v>
      </c>
      <c r="T12" s="14">
        <v>2.00039217427156E-3</v>
      </c>
      <c r="U12" s="14">
        <v>2.5945321364793401E-2</v>
      </c>
      <c r="V12" s="14">
        <v>9.5637481947267197E-4</v>
      </c>
      <c r="W12" s="14">
        <v>2.7031455356109999E-2</v>
      </c>
      <c r="X12" s="14">
        <v>4.3049502297328603E-2</v>
      </c>
      <c r="Y12" s="14">
        <v>1.13511820275149E-2</v>
      </c>
      <c r="Z12" s="14">
        <v>0</v>
      </c>
      <c r="AA12" s="14">
        <v>1.10869552481673E-2</v>
      </c>
      <c r="AB12" s="14"/>
      <c r="AC12" s="14">
        <v>1.6272383085889301E-2</v>
      </c>
      <c r="AD12" s="14">
        <v>1.68823107349893E-2</v>
      </c>
      <c r="AE12" s="14">
        <v>1.5662846558656299E-2</v>
      </c>
      <c r="AF12" s="14">
        <v>1.19502720724999E-2</v>
      </c>
      <c r="AG12" s="14">
        <v>2.52635666428941E-2</v>
      </c>
      <c r="AH12" s="14"/>
      <c r="AI12" s="14">
        <v>1.8994205197583498E-2</v>
      </c>
      <c r="AJ12" s="14">
        <v>9.7138527218080094E-3</v>
      </c>
      <c r="AK12" s="14">
        <v>1.50106541550815E-2</v>
      </c>
      <c r="AL12" s="14">
        <v>1.94065174333201E-2</v>
      </c>
      <c r="AM12" s="14">
        <v>0</v>
      </c>
      <c r="AN12" s="14">
        <v>1.27225457061093E-2</v>
      </c>
      <c r="AO12" s="14"/>
      <c r="AP12" s="14">
        <v>6.9608213630181102E-3</v>
      </c>
      <c r="AQ12" s="14">
        <v>2.26164860028953E-2</v>
      </c>
      <c r="AR12" s="14"/>
      <c r="AS12" s="14">
        <v>1.7759396999273199E-2</v>
      </c>
      <c r="AT12" s="14">
        <v>1.39793121882591E-2</v>
      </c>
      <c r="AU12" s="14">
        <v>1.3473189206269401E-2</v>
      </c>
      <c r="AV12" s="14"/>
      <c r="AW12" s="14">
        <v>1.4414503733036399E-2</v>
      </c>
      <c r="AX12" s="14">
        <v>1.4077798238735201E-2</v>
      </c>
      <c r="AY12" s="14"/>
      <c r="AZ12" s="14">
        <v>1.43257511277789E-2</v>
      </c>
      <c r="BA12" s="14">
        <v>1.4533200153780399E-2</v>
      </c>
    </row>
    <row r="13" spans="2:53" x14ac:dyDescent="0.35">
      <c r="B13" s="15" t="s">
        <v>408</v>
      </c>
      <c r="C13" s="14">
        <v>1.97963063504982E-3</v>
      </c>
      <c r="D13" s="14">
        <v>1.94571090192704E-3</v>
      </c>
      <c r="E13" s="14">
        <v>2.0154967707479501E-3</v>
      </c>
      <c r="F13" s="14"/>
      <c r="G13" s="14">
        <v>0.18127959358201301</v>
      </c>
      <c r="H13" s="14">
        <v>4.2766061212377703E-3</v>
      </c>
      <c r="I13" s="14">
        <v>0</v>
      </c>
      <c r="J13" s="14">
        <v>1.2215928670229401E-3</v>
      </c>
      <c r="K13" s="14">
        <v>0</v>
      </c>
      <c r="L13" s="14">
        <v>0</v>
      </c>
      <c r="M13" s="14"/>
      <c r="N13" s="14">
        <v>0</v>
      </c>
      <c r="O13" s="14">
        <v>1.4196884004560001E-3</v>
      </c>
      <c r="P13" s="14">
        <v>0</v>
      </c>
      <c r="Q13" s="14">
        <v>6.4629203784684203E-3</v>
      </c>
      <c r="R13" s="14"/>
      <c r="S13" s="14">
        <v>0</v>
      </c>
      <c r="T13" s="14">
        <v>6.0870088451657096E-3</v>
      </c>
      <c r="U13" s="14">
        <v>0</v>
      </c>
      <c r="V13" s="14">
        <v>5.8126399678665496E-3</v>
      </c>
      <c r="W13" s="14">
        <v>0</v>
      </c>
      <c r="X13" s="14">
        <v>0</v>
      </c>
      <c r="Y13" s="14">
        <v>0</v>
      </c>
      <c r="Z13" s="14">
        <v>7.3730022847892599E-3</v>
      </c>
      <c r="AA13" s="14">
        <v>0</v>
      </c>
      <c r="AB13" s="14"/>
      <c r="AC13" s="14">
        <v>3.1982142381254399E-3</v>
      </c>
      <c r="AD13" s="14">
        <v>0</v>
      </c>
      <c r="AE13" s="14">
        <v>1.2673145367955399E-3</v>
      </c>
      <c r="AF13" s="14">
        <v>6.4848649057151504E-3</v>
      </c>
      <c r="AG13" s="14">
        <v>0</v>
      </c>
      <c r="AH13" s="14"/>
      <c r="AI13" s="14">
        <v>2.7709775741636298E-3</v>
      </c>
      <c r="AJ13" s="14">
        <v>3.6053276316378698E-3</v>
      </c>
      <c r="AK13" s="14">
        <v>0</v>
      </c>
      <c r="AL13" s="14">
        <v>2.3888051512939499E-3</v>
      </c>
      <c r="AM13" s="14">
        <v>0</v>
      </c>
      <c r="AN13" s="14">
        <v>0</v>
      </c>
      <c r="AO13" s="14"/>
      <c r="AP13" s="14">
        <v>2.5359086479540202E-3</v>
      </c>
      <c r="AQ13" s="14">
        <v>1.3601197661568601E-3</v>
      </c>
      <c r="AR13" s="14"/>
      <c r="AS13" s="14">
        <v>0</v>
      </c>
      <c r="AT13" s="14">
        <v>8.5298004233366406E-3</v>
      </c>
      <c r="AU13" s="14">
        <v>5.7556442957483901E-4</v>
      </c>
      <c r="AV13" s="14"/>
      <c r="AW13" s="14">
        <v>2.1448945754941602E-3</v>
      </c>
      <c r="AX13" s="14">
        <v>2.2310076864743501E-3</v>
      </c>
      <c r="AY13" s="14"/>
      <c r="AZ13" s="14">
        <v>2.5217176102080899E-3</v>
      </c>
      <c r="BA13" s="14">
        <v>0</v>
      </c>
    </row>
    <row r="14" spans="2:53" x14ac:dyDescent="0.35">
      <c r="B14" s="15" t="s">
        <v>80</v>
      </c>
      <c r="C14" s="14">
        <v>1.83638872382095E-2</v>
      </c>
      <c r="D14" s="14">
        <v>1.04713922885235E-2</v>
      </c>
      <c r="E14" s="14">
        <v>2.62804970471168E-2</v>
      </c>
      <c r="F14" s="14"/>
      <c r="G14" s="14">
        <v>0</v>
      </c>
      <c r="H14" s="14">
        <v>1.4307774572007201E-2</v>
      </c>
      <c r="I14" s="14">
        <v>1.0855545788034901E-2</v>
      </c>
      <c r="J14" s="14">
        <v>3.0406012602141302E-2</v>
      </c>
      <c r="K14" s="14">
        <v>9.2089327640018006E-3</v>
      </c>
      <c r="L14" s="14">
        <v>9.7610649572097294E-2</v>
      </c>
      <c r="M14" s="14"/>
      <c r="N14" s="14">
        <v>1.38441061252634E-2</v>
      </c>
      <c r="O14" s="14">
        <v>1.9004648976556401E-2</v>
      </c>
      <c r="P14" s="14">
        <v>1.37509842314115E-2</v>
      </c>
      <c r="Q14" s="14">
        <v>2.54103557169519E-2</v>
      </c>
      <c r="R14" s="14"/>
      <c r="S14" s="14">
        <v>1.16411278123173E-2</v>
      </c>
      <c r="T14" s="14">
        <v>1.9016910609616799E-2</v>
      </c>
      <c r="U14" s="14">
        <v>1.5832671276311001E-2</v>
      </c>
      <c r="V14" s="14">
        <v>1.8493796028261299E-2</v>
      </c>
      <c r="W14" s="14">
        <v>3.05198598930362E-2</v>
      </c>
      <c r="X14" s="14">
        <v>2.8323068625596099E-2</v>
      </c>
      <c r="Y14" s="14">
        <v>9.7517032910197504E-3</v>
      </c>
      <c r="Z14" s="14">
        <v>1.47460044608652E-2</v>
      </c>
      <c r="AA14" s="14">
        <v>1.9594183803309101E-2</v>
      </c>
      <c r="AB14" s="14"/>
      <c r="AC14" s="14">
        <v>2.98344102601934E-2</v>
      </c>
      <c r="AD14" s="14">
        <v>1.53471113799358E-2</v>
      </c>
      <c r="AE14" s="14">
        <v>8.2931192807663198E-3</v>
      </c>
      <c r="AF14" s="14">
        <v>9.7106873666553094E-3</v>
      </c>
      <c r="AG14" s="14">
        <v>3.2805536825398697E-2</v>
      </c>
      <c r="AH14" s="14"/>
      <c r="AI14" s="14">
        <v>2.15001964866849E-2</v>
      </c>
      <c r="AJ14" s="14">
        <v>1.8235680070287301E-2</v>
      </c>
      <c r="AK14" s="14">
        <v>8.3771651455403408E-3</v>
      </c>
      <c r="AL14" s="14">
        <v>8.7002701842704908E-3</v>
      </c>
      <c r="AM14" s="14">
        <v>2.2454594127436799E-2</v>
      </c>
      <c r="AN14" s="14">
        <v>3.2513132041629297E-2</v>
      </c>
      <c r="AO14" s="14"/>
      <c r="AP14" s="14">
        <v>1.1878595261061E-2</v>
      </c>
      <c r="AQ14" s="14">
        <v>2.5719932345149198E-2</v>
      </c>
      <c r="AR14" s="14"/>
      <c r="AS14" s="14">
        <v>9.9715899680974506E-3</v>
      </c>
      <c r="AT14" s="14">
        <v>2.0247166789521799E-2</v>
      </c>
      <c r="AU14" s="14">
        <v>2.0065670293778499E-2</v>
      </c>
      <c r="AV14" s="14"/>
      <c r="AW14" s="14">
        <v>1.96258866019948E-2</v>
      </c>
      <c r="AX14" s="14">
        <v>2.5103440621440198E-3</v>
      </c>
      <c r="AY14" s="14"/>
      <c r="AZ14" s="14">
        <v>1.1645419448544801E-2</v>
      </c>
      <c r="BA14" s="14">
        <v>3.32031611340739E-2</v>
      </c>
    </row>
    <row r="15" spans="2:53" x14ac:dyDescent="0.35">
      <c r="B15" s="15" t="s">
        <v>409</v>
      </c>
      <c r="C15" s="18">
        <v>0.85092763781858705</v>
      </c>
      <c r="D15" s="18">
        <v>0.86668378686452496</v>
      </c>
      <c r="E15" s="18">
        <v>0.83501436241433302</v>
      </c>
      <c r="F15" s="18"/>
      <c r="G15" s="18">
        <v>0.54968453974278797</v>
      </c>
      <c r="H15" s="18">
        <v>0.85222843011257599</v>
      </c>
      <c r="I15" s="18">
        <v>0.85813441476192298</v>
      </c>
      <c r="J15" s="18">
        <v>0.85461850528105698</v>
      </c>
      <c r="K15" s="18">
        <v>0.81943785377979605</v>
      </c>
      <c r="L15" s="18">
        <v>0.85524401092581404</v>
      </c>
      <c r="M15" s="18"/>
      <c r="N15" s="18">
        <v>0.896147208461052</v>
      </c>
      <c r="O15" s="18">
        <v>0.85696004819120597</v>
      </c>
      <c r="P15" s="18">
        <v>0.86772136585547299</v>
      </c>
      <c r="Q15" s="18">
        <v>0.78521034175093296</v>
      </c>
      <c r="R15" s="18"/>
      <c r="S15" s="18">
        <v>0.90409644927552701</v>
      </c>
      <c r="T15" s="18">
        <v>0.86290772440586505</v>
      </c>
      <c r="U15" s="18">
        <v>0.80857180908225001</v>
      </c>
      <c r="V15" s="18">
        <v>0.859492344652249</v>
      </c>
      <c r="W15" s="18">
        <v>0.835040474296318</v>
      </c>
      <c r="X15" s="18">
        <v>0.82572482282798298</v>
      </c>
      <c r="Y15" s="18">
        <v>0.84056770783722701</v>
      </c>
      <c r="Z15" s="18">
        <v>0.836600212326714</v>
      </c>
      <c r="AA15" s="18">
        <v>0.84018889756955795</v>
      </c>
      <c r="AB15" s="18"/>
      <c r="AC15" s="18">
        <v>0.793409326177267</v>
      </c>
      <c r="AD15" s="18">
        <v>0.86768684431353105</v>
      </c>
      <c r="AE15" s="18">
        <v>0.86906119752170397</v>
      </c>
      <c r="AF15" s="18">
        <v>0.91506557627250995</v>
      </c>
      <c r="AG15" s="18">
        <v>0.87947743441575799</v>
      </c>
      <c r="AH15" s="18"/>
      <c r="AI15" s="18">
        <v>0.87609515833725005</v>
      </c>
      <c r="AJ15" s="18">
        <v>0.86318576474863296</v>
      </c>
      <c r="AK15" s="18">
        <v>0.90859202429223096</v>
      </c>
      <c r="AL15" s="18">
        <v>0.830747003752485</v>
      </c>
      <c r="AM15" s="18">
        <v>0.78483539487484599</v>
      </c>
      <c r="AN15" s="18">
        <v>0.76423160210346697</v>
      </c>
      <c r="AO15" s="18"/>
      <c r="AP15" s="18">
        <v>0.858926601719738</v>
      </c>
      <c r="AQ15" s="18">
        <v>0.84144725715247204</v>
      </c>
      <c r="AR15" s="18"/>
      <c r="AS15" s="18">
        <v>0.86399748269444598</v>
      </c>
      <c r="AT15" s="18">
        <v>0.83231862302283899</v>
      </c>
      <c r="AU15" s="18">
        <v>0.85291268341050797</v>
      </c>
      <c r="AV15" s="18"/>
      <c r="AW15" s="18">
        <v>0.85464244555213598</v>
      </c>
      <c r="AX15" s="18">
        <v>0.88339570581095905</v>
      </c>
      <c r="AY15" s="18"/>
      <c r="AZ15" s="18">
        <v>0.86825669722351695</v>
      </c>
      <c r="BA15" s="18">
        <v>0.79868147884965401</v>
      </c>
    </row>
    <row r="16" spans="2:53" x14ac:dyDescent="0.35">
      <c r="B16" s="15" t="s">
        <v>410</v>
      </c>
      <c r="C16" s="18">
        <v>1.6285642599564901E-2</v>
      </c>
      <c r="D16" s="18">
        <v>1.7374399778461599E-2</v>
      </c>
      <c r="E16" s="18">
        <v>1.5211804020871101E-2</v>
      </c>
      <c r="F16" s="18"/>
      <c r="G16" s="18">
        <v>0.29454802496975302</v>
      </c>
      <c r="H16" s="18">
        <v>2.97090304659661E-2</v>
      </c>
      <c r="I16" s="18">
        <v>1.24269848949565E-2</v>
      </c>
      <c r="J16" s="18">
        <v>1.16870071179441E-2</v>
      </c>
      <c r="K16" s="18">
        <v>1.2197435122425101E-2</v>
      </c>
      <c r="L16" s="18">
        <v>1.28417253195894E-2</v>
      </c>
      <c r="M16" s="18"/>
      <c r="N16" s="18">
        <v>1.55152170977923E-2</v>
      </c>
      <c r="O16" s="18">
        <v>1.27349809205496E-2</v>
      </c>
      <c r="P16" s="18">
        <v>1.20418652466175E-2</v>
      </c>
      <c r="Q16" s="18">
        <v>2.4728566118661598E-2</v>
      </c>
      <c r="R16" s="18"/>
      <c r="S16" s="18">
        <v>1.2223512214053E-2</v>
      </c>
      <c r="T16" s="18">
        <v>8.0874010194372705E-3</v>
      </c>
      <c r="U16" s="18">
        <v>2.5945321364793401E-2</v>
      </c>
      <c r="V16" s="18">
        <v>6.7690147873392297E-3</v>
      </c>
      <c r="W16" s="18">
        <v>2.7031455356109999E-2</v>
      </c>
      <c r="X16" s="18">
        <v>4.3049502297328603E-2</v>
      </c>
      <c r="Y16" s="18">
        <v>1.13511820275149E-2</v>
      </c>
      <c r="Z16" s="18">
        <v>7.3730022847892599E-3</v>
      </c>
      <c r="AA16" s="18">
        <v>1.10869552481673E-2</v>
      </c>
      <c r="AB16" s="18"/>
      <c r="AC16" s="18">
        <v>1.94705973240148E-2</v>
      </c>
      <c r="AD16" s="18">
        <v>1.68823107349893E-2</v>
      </c>
      <c r="AE16" s="18">
        <v>1.6930161095451798E-2</v>
      </c>
      <c r="AF16" s="18">
        <v>1.8435136978215E-2</v>
      </c>
      <c r="AG16" s="18">
        <v>2.52635666428941E-2</v>
      </c>
      <c r="AH16" s="18"/>
      <c r="AI16" s="18">
        <v>2.1765182771747101E-2</v>
      </c>
      <c r="AJ16" s="18">
        <v>1.3319180353445899E-2</v>
      </c>
      <c r="AK16" s="18">
        <v>1.50106541550815E-2</v>
      </c>
      <c r="AL16" s="18">
        <v>2.1795322584614099E-2</v>
      </c>
      <c r="AM16" s="18">
        <v>0</v>
      </c>
      <c r="AN16" s="18">
        <v>1.27225457061093E-2</v>
      </c>
      <c r="AO16" s="18"/>
      <c r="AP16" s="18">
        <v>9.4967300109721296E-3</v>
      </c>
      <c r="AQ16" s="18">
        <v>2.3976605769052198E-2</v>
      </c>
      <c r="AR16" s="18"/>
      <c r="AS16" s="18">
        <v>1.7759396999273199E-2</v>
      </c>
      <c r="AT16" s="18">
        <v>2.2509112611595699E-2</v>
      </c>
      <c r="AU16" s="18">
        <v>1.40487536358443E-2</v>
      </c>
      <c r="AV16" s="18"/>
      <c r="AW16" s="18">
        <v>1.6559398308530499E-2</v>
      </c>
      <c r="AX16" s="18">
        <v>1.6308805925209599E-2</v>
      </c>
      <c r="AY16" s="18"/>
      <c r="AZ16" s="18">
        <v>1.6847468737986999E-2</v>
      </c>
      <c r="BA16" s="18">
        <v>1.4533200153780399E-2</v>
      </c>
    </row>
    <row r="17" spans="2:53" x14ac:dyDescent="0.35">
      <c r="B17" s="15" t="s">
        <v>82</v>
      </c>
      <c r="C17" s="19">
        <v>0.83464199521902205</v>
      </c>
      <c r="D17" s="19">
        <v>0.84930938708606396</v>
      </c>
      <c r="E17" s="19">
        <v>0.81980255839346206</v>
      </c>
      <c r="F17" s="19"/>
      <c r="G17" s="19">
        <v>0.25513651477303501</v>
      </c>
      <c r="H17" s="19">
        <v>0.82251939964660903</v>
      </c>
      <c r="I17" s="19">
        <v>0.84570742986696601</v>
      </c>
      <c r="J17" s="19">
        <v>0.84293149816311297</v>
      </c>
      <c r="K17" s="19">
        <v>0.80724041865737095</v>
      </c>
      <c r="L17" s="19">
        <v>0.84240228560622499</v>
      </c>
      <c r="M17" s="19"/>
      <c r="N17" s="19">
        <v>0.88063199136325898</v>
      </c>
      <c r="O17" s="19">
        <v>0.84422506727065705</v>
      </c>
      <c r="P17" s="19">
        <v>0.855679500608855</v>
      </c>
      <c r="Q17" s="19">
        <v>0.76048177563227204</v>
      </c>
      <c r="R17" s="19"/>
      <c r="S17" s="19">
        <v>0.89187293706147397</v>
      </c>
      <c r="T17" s="19">
        <v>0.85482032338642799</v>
      </c>
      <c r="U17" s="19">
        <v>0.78262648771745602</v>
      </c>
      <c r="V17" s="19">
        <v>0.85272332986490995</v>
      </c>
      <c r="W17" s="19">
        <v>0.80800901894020805</v>
      </c>
      <c r="X17" s="19">
        <v>0.78267532053065503</v>
      </c>
      <c r="Y17" s="19">
        <v>0.82921652580971195</v>
      </c>
      <c r="Z17" s="19">
        <v>0.82922721004192401</v>
      </c>
      <c r="AA17" s="19">
        <v>0.82910194232139001</v>
      </c>
      <c r="AB17" s="19"/>
      <c r="AC17" s="19">
        <v>0.77393872885325199</v>
      </c>
      <c r="AD17" s="19">
        <v>0.85080453357854202</v>
      </c>
      <c r="AE17" s="19">
        <v>0.85213103642625199</v>
      </c>
      <c r="AF17" s="19">
        <v>0.89663043929429498</v>
      </c>
      <c r="AG17" s="19">
        <v>0.85421386777286401</v>
      </c>
      <c r="AH17" s="19"/>
      <c r="AI17" s="19">
        <v>0.85432997556550305</v>
      </c>
      <c r="AJ17" s="19">
        <v>0.84986658439518703</v>
      </c>
      <c r="AK17" s="19">
        <v>0.893581370137149</v>
      </c>
      <c r="AL17" s="19">
        <v>0.80895168116787097</v>
      </c>
      <c r="AM17" s="19">
        <v>0.78483539487484599</v>
      </c>
      <c r="AN17" s="19">
        <v>0.75150905639735799</v>
      </c>
      <c r="AO17" s="19"/>
      <c r="AP17" s="19">
        <v>0.84942987170876605</v>
      </c>
      <c r="AQ17" s="19">
        <v>0.81747065138342001</v>
      </c>
      <c r="AR17" s="19"/>
      <c r="AS17" s="19">
        <v>0.846238085695173</v>
      </c>
      <c r="AT17" s="19">
        <v>0.80980951041124305</v>
      </c>
      <c r="AU17" s="19">
        <v>0.83886392977466395</v>
      </c>
      <c r="AV17" s="19"/>
      <c r="AW17" s="19">
        <v>0.83808304724360505</v>
      </c>
      <c r="AX17" s="19">
        <v>0.86708689988575005</v>
      </c>
      <c r="AY17" s="19"/>
      <c r="AZ17" s="19">
        <v>0.85140922848553002</v>
      </c>
      <c r="BA17" s="19">
        <v>0.784148278695874</v>
      </c>
    </row>
    <row r="18" spans="2:53" x14ac:dyDescent="0.35">
      <c r="B18" s="16"/>
    </row>
    <row r="19" spans="2:53" x14ac:dyDescent="0.35">
      <c r="B19" t="s">
        <v>84</v>
      </c>
    </row>
    <row r="20" spans="2:53" x14ac:dyDescent="0.35">
      <c r="B20" t="s">
        <v>85</v>
      </c>
    </row>
    <row r="22" spans="2:53" x14ac:dyDescent="0.35">
      <c r="B22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B2:BA22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417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404</v>
      </c>
      <c r="C9" s="14">
        <v>0.37337405510313099</v>
      </c>
      <c r="D9" s="14">
        <v>0.378470838733521</v>
      </c>
      <c r="E9" s="14">
        <v>0.36863518764713898</v>
      </c>
      <c r="F9" s="14"/>
      <c r="G9" s="14">
        <v>0.48636907307314597</v>
      </c>
      <c r="H9" s="14">
        <v>0.41411217514739301</v>
      </c>
      <c r="I9" s="14">
        <v>0.383016258655276</v>
      </c>
      <c r="J9" s="14">
        <v>0.34912075831434802</v>
      </c>
      <c r="K9" s="14">
        <v>0.315683750070614</v>
      </c>
      <c r="L9" s="14">
        <v>0.486399007212798</v>
      </c>
      <c r="M9" s="14"/>
      <c r="N9" s="14">
        <v>0.42072638506776699</v>
      </c>
      <c r="O9" s="14">
        <v>0.35484939668113902</v>
      </c>
      <c r="P9" s="14">
        <v>0.33709102808172597</v>
      </c>
      <c r="Q9" s="14">
        <v>0.37377696516736397</v>
      </c>
      <c r="R9" s="14"/>
      <c r="S9" s="14">
        <v>0.46355624358654401</v>
      </c>
      <c r="T9" s="14">
        <v>0.37000495933112698</v>
      </c>
      <c r="U9" s="14">
        <v>0.31125100271779099</v>
      </c>
      <c r="V9" s="14">
        <v>0.29983764050536899</v>
      </c>
      <c r="W9" s="14">
        <v>0.37322326028873498</v>
      </c>
      <c r="X9" s="14">
        <v>0.36457792696416702</v>
      </c>
      <c r="Y9" s="14">
        <v>0.35976769359393401</v>
      </c>
      <c r="Z9" s="14">
        <v>0.29686655147749302</v>
      </c>
      <c r="AA9" s="14">
        <v>0.423606221528181</v>
      </c>
      <c r="AB9" s="14"/>
      <c r="AC9" s="14">
        <v>0.35680633458588801</v>
      </c>
      <c r="AD9" s="14">
        <v>0.330838525110975</v>
      </c>
      <c r="AE9" s="14">
        <v>0.38197096473178499</v>
      </c>
      <c r="AF9" s="14">
        <v>0.45663299815679798</v>
      </c>
      <c r="AG9" s="14">
        <v>0.50416275600629001</v>
      </c>
      <c r="AH9" s="14"/>
      <c r="AI9" s="14">
        <v>0.44942510212548797</v>
      </c>
      <c r="AJ9" s="14">
        <v>0.37776511543020103</v>
      </c>
      <c r="AK9" s="14">
        <v>0.37248302836904201</v>
      </c>
      <c r="AL9" s="14">
        <v>0.31397687270887298</v>
      </c>
      <c r="AM9" s="14">
        <v>0.31783895012005797</v>
      </c>
      <c r="AN9" s="14">
        <v>0.30864607862307902</v>
      </c>
      <c r="AO9" s="14"/>
      <c r="AP9" s="14">
        <v>0.39805610043414003</v>
      </c>
      <c r="AQ9" s="14">
        <v>0.34613978272041002</v>
      </c>
      <c r="AR9" s="14"/>
      <c r="AS9" s="14">
        <v>0.38623482921166402</v>
      </c>
      <c r="AT9" s="14">
        <v>0.34677577226672202</v>
      </c>
      <c r="AU9" s="14">
        <v>0.37777775721805501</v>
      </c>
      <c r="AV9" s="14"/>
      <c r="AW9" s="14">
        <v>0.37025374258315102</v>
      </c>
      <c r="AX9" s="14">
        <v>0.45271958310693799</v>
      </c>
      <c r="AY9" s="14"/>
      <c r="AZ9" s="14">
        <v>0.40162577188086501</v>
      </c>
      <c r="BA9" s="14">
        <v>0.27588358229312798</v>
      </c>
    </row>
    <row r="10" spans="2:53" x14ac:dyDescent="0.35">
      <c r="B10" s="15" t="s">
        <v>405</v>
      </c>
      <c r="C10" s="14">
        <v>0.40428557052909198</v>
      </c>
      <c r="D10" s="14">
        <v>0.41999816947985802</v>
      </c>
      <c r="E10" s="14">
        <v>0.38895236855297199</v>
      </c>
      <c r="F10" s="14"/>
      <c r="G10" s="14">
        <v>0.418135287267827</v>
      </c>
      <c r="H10" s="14">
        <v>0.34262923612606999</v>
      </c>
      <c r="I10" s="14">
        <v>0.40913127718286701</v>
      </c>
      <c r="J10" s="14">
        <v>0.42436539436874099</v>
      </c>
      <c r="K10" s="14">
        <v>0.43385545789255298</v>
      </c>
      <c r="L10" s="14">
        <v>0.288990448093073</v>
      </c>
      <c r="M10" s="14"/>
      <c r="N10" s="14">
        <v>0.43313187510520301</v>
      </c>
      <c r="O10" s="14">
        <v>0.38909182988345498</v>
      </c>
      <c r="P10" s="14">
        <v>0.44759992565971701</v>
      </c>
      <c r="Q10" s="14">
        <v>0.34976406291368101</v>
      </c>
      <c r="R10" s="14"/>
      <c r="S10" s="14">
        <v>0.39340329426558102</v>
      </c>
      <c r="T10" s="14">
        <v>0.42206677363377398</v>
      </c>
      <c r="U10" s="14">
        <v>0.38399441886542701</v>
      </c>
      <c r="V10" s="14">
        <v>0.43743270280193802</v>
      </c>
      <c r="W10" s="14">
        <v>0.36886227571651198</v>
      </c>
      <c r="X10" s="14">
        <v>0.43003399153893201</v>
      </c>
      <c r="Y10" s="14">
        <v>0.41404166859472202</v>
      </c>
      <c r="Z10" s="14">
        <v>0.43062359330364602</v>
      </c>
      <c r="AA10" s="14">
        <v>0.37041410988287299</v>
      </c>
      <c r="AB10" s="14"/>
      <c r="AC10" s="14">
        <v>0.35625928848687799</v>
      </c>
      <c r="AD10" s="14">
        <v>0.41256336144355199</v>
      </c>
      <c r="AE10" s="14">
        <v>0.43670175964846403</v>
      </c>
      <c r="AF10" s="14">
        <v>0.411861796853703</v>
      </c>
      <c r="AG10" s="14">
        <v>0.334111833156224</v>
      </c>
      <c r="AH10" s="14"/>
      <c r="AI10" s="14">
        <v>0.37305584997447599</v>
      </c>
      <c r="AJ10" s="14">
        <v>0.43449869459097801</v>
      </c>
      <c r="AK10" s="14">
        <v>0.44981593497946198</v>
      </c>
      <c r="AL10" s="14">
        <v>0.43640518214761198</v>
      </c>
      <c r="AM10" s="14">
        <v>0.41204298510493997</v>
      </c>
      <c r="AN10" s="14">
        <v>0.403720474666317</v>
      </c>
      <c r="AO10" s="14"/>
      <c r="AP10" s="14">
        <v>0.39743507018271901</v>
      </c>
      <c r="AQ10" s="14">
        <v>0.41210042492674298</v>
      </c>
      <c r="AR10" s="14"/>
      <c r="AS10" s="14">
        <v>0.38241660078538298</v>
      </c>
      <c r="AT10" s="14">
        <v>0.444174862221489</v>
      </c>
      <c r="AU10" s="14">
        <v>0.398376200282334</v>
      </c>
      <c r="AV10" s="14"/>
      <c r="AW10" s="14">
        <v>0.41265506645535499</v>
      </c>
      <c r="AX10" s="14">
        <v>0.39346453549767002</v>
      </c>
      <c r="AY10" s="14"/>
      <c r="AZ10" s="14">
        <v>0.39558684306882502</v>
      </c>
      <c r="BA10" s="14">
        <v>0.43969714215820799</v>
      </c>
    </row>
    <row r="11" spans="2:53" x14ac:dyDescent="0.35">
      <c r="B11" s="15" t="s">
        <v>406</v>
      </c>
      <c r="C11" s="14">
        <v>0.16138473568077399</v>
      </c>
      <c r="D11" s="14">
        <v>0.14594283363288699</v>
      </c>
      <c r="E11" s="14">
        <v>0.17602593539275099</v>
      </c>
      <c r="F11" s="14"/>
      <c r="G11" s="14">
        <v>9.5495639659026202E-2</v>
      </c>
      <c r="H11" s="14">
        <v>0.183156731483097</v>
      </c>
      <c r="I11" s="14">
        <v>0.15562202377307199</v>
      </c>
      <c r="J11" s="14">
        <v>0.15673145350103199</v>
      </c>
      <c r="K11" s="14">
        <v>0.18657653843959501</v>
      </c>
      <c r="L11" s="14">
        <v>7.5447386470151603E-2</v>
      </c>
      <c r="M11" s="14"/>
      <c r="N11" s="14">
        <v>9.9922610881845605E-2</v>
      </c>
      <c r="O11" s="14">
        <v>0.18936056083387001</v>
      </c>
      <c r="P11" s="14">
        <v>0.15116604720985599</v>
      </c>
      <c r="Q11" s="14">
        <v>0.20765268852225</v>
      </c>
      <c r="R11" s="14"/>
      <c r="S11" s="14">
        <v>0.115134053576102</v>
      </c>
      <c r="T11" s="14">
        <v>0.155837144299838</v>
      </c>
      <c r="U11" s="14">
        <v>0.21813731661540101</v>
      </c>
      <c r="V11" s="14">
        <v>0.163172317779406</v>
      </c>
      <c r="W11" s="14">
        <v>0.163797670326114</v>
      </c>
      <c r="X11" s="14">
        <v>0.14530480949580099</v>
      </c>
      <c r="Y11" s="14">
        <v>0.19310928174120601</v>
      </c>
      <c r="Z11" s="14">
        <v>0.19101454369680201</v>
      </c>
      <c r="AA11" s="14">
        <v>0.15465135312810899</v>
      </c>
      <c r="AB11" s="14"/>
      <c r="AC11" s="14">
        <v>0.22031264991657401</v>
      </c>
      <c r="AD11" s="14">
        <v>0.191018356731049</v>
      </c>
      <c r="AE11" s="14">
        <v>0.141013894646945</v>
      </c>
      <c r="AF11" s="14">
        <v>8.2243748728588001E-2</v>
      </c>
      <c r="AG11" s="14">
        <v>7.7622879965179706E-2</v>
      </c>
      <c r="AH11" s="14"/>
      <c r="AI11" s="14">
        <v>0.13895403761198799</v>
      </c>
      <c r="AJ11" s="14">
        <v>0.12857491032985799</v>
      </c>
      <c r="AK11" s="14">
        <v>0.144034678005865</v>
      </c>
      <c r="AL11" s="14">
        <v>0.15150619460776801</v>
      </c>
      <c r="AM11" s="14">
        <v>0.19885717501421499</v>
      </c>
      <c r="AN11" s="14">
        <v>0.19593109236318901</v>
      </c>
      <c r="AO11" s="14"/>
      <c r="AP11" s="14">
        <v>0.15208760435233701</v>
      </c>
      <c r="AQ11" s="14">
        <v>0.17100529628033401</v>
      </c>
      <c r="AR11" s="14"/>
      <c r="AS11" s="14">
        <v>0.159971243966475</v>
      </c>
      <c r="AT11" s="14">
        <v>0.16053981403916001</v>
      </c>
      <c r="AU11" s="14">
        <v>0.16201499486547</v>
      </c>
      <c r="AV11" s="14"/>
      <c r="AW11" s="14">
        <v>0.163569823692643</v>
      </c>
      <c r="AX11" s="14">
        <v>0.110728892552416</v>
      </c>
      <c r="AY11" s="14"/>
      <c r="AZ11" s="14">
        <v>0.146562889924783</v>
      </c>
      <c r="BA11" s="14">
        <v>0.21513889533587099</v>
      </c>
    </row>
    <row r="12" spans="2:53" x14ac:dyDescent="0.35">
      <c r="B12" s="15" t="s">
        <v>407</v>
      </c>
      <c r="C12" s="14">
        <v>3.5656333332198503E-2</v>
      </c>
      <c r="D12" s="14">
        <v>4.0578451750292802E-2</v>
      </c>
      <c r="E12" s="14">
        <v>3.0764848539570799E-2</v>
      </c>
      <c r="F12" s="14"/>
      <c r="G12" s="14">
        <v>0</v>
      </c>
      <c r="H12" s="14">
        <v>4.0074160924703402E-2</v>
      </c>
      <c r="I12" s="14">
        <v>3.1325760823706E-2</v>
      </c>
      <c r="J12" s="14">
        <v>3.8319134313772298E-2</v>
      </c>
      <c r="K12" s="14">
        <v>3.5550020109063302E-2</v>
      </c>
      <c r="L12" s="14">
        <v>7.7235959291058906E-2</v>
      </c>
      <c r="M12" s="14"/>
      <c r="N12" s="14">
        <v>2.6312995406005301E-2</v>
      </c>
      <c r="O12" s="14">
        <v>4.0787381941315398E-2</v>
      </c>
      <c r="P12" s="14">
        <v>3.8014397049369097E-2</v>
      </c>
      <c r="Q12" s="14">
        <v>3.8754430512714502E-2</v>
      </c>
      <c r="R12" s="14"/>
      <c r="S12" s="14">
        <v>1.18160769854416E-2</v>
      </c>
      <c r="T12" s="14">
        <v>2.9586388893015601E-2</v>
      </c>
      <c r="U12" s="14">
        <v>5.1938527237540298E-2</v>
      </c>
      <c r="V12" s="14">
        <v>7.7734002447316E-2</v>
      </c>
      <c r="W12" s="14">
        <v>5.3257077376381697E-2</v>
      </c>
      <c r="X12" s="14">
        <v>2.8390800207488801E-2</v>
      </c>
      <c r="Y12" s="14">
        <v>1.3483233701513501E-2</v>
      </c>
      <c r="Z12" s="14">
        <v>5.7048531020312397E-2</v>
      </c>
      <c r="AA12" s="14">
        <v>2.65581404842756E-2</v>
      </c>
      <c r="AB12" s="14"/>
      <c r="AC12" s="14">
        <v>2.1346917710736799E-2</v>
      </c>
      <c r="AD12" s="14">
        <v>4.8129939012909198E-2</v>
      </c>
      <c r="AE12" s="14">
        <v>2.8553537911641499E-2</v>
      </c>
      <c r="AF12" s="14">
        <v>3.5141369386064103E-2</v>
      </c>
      <c r="AG12" s="14">
        <v>5.3923334371574101E-2</v>
      </c>
      <c r="AH12" s="14"/>
      <c r="AI12" s="14">
        <v>1.78795879887861E-2</v>
      </c>
      <c r="AJ12" s="14">
        <v>3.2188419260072598E-2</v>
      </c>
      <c r="AK12" s="14">
        <v>2.0090700459946199E-2</v>
      </c>
      <c r="AL12" s="14">
        <v>5.7525954760473799E-2</v>
      </c>
      <c r="AM12" s="14">
        <v>5.2229975732217798E-2</v>
      </c>
      <c r="AN12" s="14">
        <v>6.4054717032839603E-2</v>
      </c>
      <c r="AO12" s="14"/>
      <c r="AP12" s="14">
        <v>3.3109460392832898E-2</v>
      </c>
      <c r="AQ12" s="14">
        <v>3.8636834349370902E-2</v>
      </c>
      <c r="AR12" s="14"/>
      <c r="AS12" s="14">
        <v>4.5133642270653598E-2</v>
      </c>
      <c r="AT12" s="14">
        <v>2.6972090163776299E-2</v>
      </c>
      <c r="AU12" s="14">
        <v>3.5673548171315003E-2</v>
      </c>
      <c r="AV12" s="14"/>
      <c r="AW12" s="14">
        <v>2.8244058934883499E-2</v>
      </c>
      <c r="AX12" s="14">
        <v>4.0131025203793899E-2</v>
      </c>
      <c r="AY12" s="14"/>
      <c r="AZ12" s="14">
        <v>3.4153791880000402E-2</v>
      </c>
      <c r="BA12" s="14">
        <v>4.2008471902127302E-2</v>
      </c>
    </row>
    <row r="13" spans="2:53" x14ac:dyDescent="0.35">
      <c r="B13" s="15" t="s">
        <v>408</v>
      </c>
      <c r="C13" s="14">
        <v>5.07146309598429E-3</v>
      </c>
      <c r="D13" s="14">
        <v>6.44261865195591E-3</v>
      </c>
      <c r="E13" s="14">
        <v>3.70412802663289E-3</v>
      </c>
      <c r="F13" s="14"/>
      <c r="G13" s="14">
        <v>0</v>
      </c>
      <c r="H13" s="14">
        <v>1.1758702802612099E-3</v>
      </c>
      <c r="I13" s="14">
        <v>2.7911501920937299E-3</v>
      </c>
      <c r="J13" s="14">
        <v>7.6236235686067601E-3</v>
      </c>
      <c r="K13" s="14">
        <v>1.4985918063316001E-2</v>
      </c>
      <c r="L13" s="14">
        <v>0</v>
      </c>
      <c r="M13" s="14"/>
      <c r="N13" s="14">
        <v>6.8548990799584203E-3</v>
      </c>
      <c r="O13" s="14">
        <v>4.3164946473980099E-3</v>
      </c>
      <c r="P13" s="14">
        <v>9.6068934694814902E-3</v>
      </c>
      <c r="Q13" s="14">
        <v>0</v>
      </c>
      <c r="R13" s="14"/>
      <c r="S13" s="14">
        <v>4.5861952894098003E-3</v>
      </c>
      <c r="T13" s="14">
        <v>8.1635298768727195E-3</v>
      </c>
      <c r="U13" s="14">
        <v>8.2914898080735898E-3</v>
      </c>
      <c r="V13" s="14">
        <v>5.9160240069183103E-3</v>
      </c>
      <c r="W13" s="14">
        <v>6.9201738219462402E-3</v>
      </c>
      <c r="X13" s="14">
        <v>7.7255229412305504E-4</v>
      </c>
      <c r="Y13" s="14">
        <v>0</v>
      </c>
      <c r="Z13" s="14">
        <v>1.7073778271313799E-2</v>
      </c>
      <c r="AA13" s="14">
        <v>0</v>
      </c>
      <c r="AB13" s="14"/>
      <c r="AC13" s="14">
        <v>3.2550979101777502E-3</v>
      </c>
      <c r="AD13" s="14">
        <v>8.2774782799285105E-3</v>
      </c>
      <c r="AE13" s="14">
        <v>5.4044997834032003E-4</v>
      </c>
      <c r="AF13" s="14">
        <v>5.6537636262004804E-3</v>
      </c>
      <c r="AG13" s="14">
        <v>4.12371804303884E-3</v>
      </c>
      <c r="AH13" s="14"/>
      <c r="AI13" s="14">
        <v>2.3916646597455199E-3</v>
      </c>
      <c r="AJ13" s="14">
        <v>1.0370509666131801E-2</v>
      </c>
      <c r="AK13" s="14">
        <v>1.74672821582208E-3</v>
      </c>
      <c r="AL13" s="14">
        <v>1.38891600251447E-2</v>
      </c>
      <c r="AM13" s="14">
        <v>0</v>
      </c>
      <c r="AN13" s="14">
        <v>1.32463091811486E-3</v>
      </c>
      <c r="AO13" s="14"/>
      <c r="AP13" s="14">
        <v>5.2064489486589802E-3</v>
      </c>
      <c r="AQ13" s="14">
        <v>4.9359292118464401E-3</v>
      </c>
      <c r="AR13" s="14"/>
      <c r="AS13" s="14">
        <v>4.0191174095563298E-3</v>
      </c>
      <c r="AT13" s="14">
        <v>5.1998711091699496E-4</v>
      </c>
      <c r="AU13" s="14">
        <v>6.7005356575624399E-3</v>
      </c>
      <c r="AV13" s="14"/>
      <c r="AW13" s="14">
        <v>5.1727480817607401E-3</v>
      </c>
      <c r="AX13" s="14">
        <v>1.42119882466071E-3</v>
      </c>
      <c r="AY13" s="14"/>
      <c r="AZ13" s="14">
        <v>6.2120547104020998E-3</v>
      </c>
      <c r="BA13" s="14">
        <v>9.2522446991834197E-4</v>
      </c>
    </row>
    <row r="14" spans="2:53" x14ac:dyDescent="0.35">
      <c r="B14" s="15" t="s">
        <v>80</v>
      </c>
      <c r="C14" s="14">
        <v>2.0227842258819701E-2</v>
      </c>
      <c r="D14" s="14">
        <v>8.5670877514847504E-3</v>
      </c>
      <c r="E14" s="14">
        <v>3.1917531840934599E-2</v>
      </c>
      <c r="F14" s="14"/>
      <c r="G14" s="14">
        <v>0</v>
      </c>
      <c r="H14" s="14">
        <v>1.88518260384751E-2</v>
      </c>
      <c r="I14" s="14">
        <v>1.8113529372985E-2</v>
      </c>
      <c r="J14" s="14">
        <v>2.3839635933499501E-2</v>
      </c>
      <c r="K14" s="14">
        <v>1.33483154248593E-2</v>
      </c>
      <c r="L14" s="14">
        <v>7.1927198932918504E-2</v>
      </c>
      <c r="M14" s="14"/>
      <c r="N14" s="14">
        <v>1.30512344592213E-2</v>
      </c>
      <c r="O14" s="14">
        <v>2.1594336012823401E-2</v>
      </c>
      <c r="P14" s="14">
        <v>1.6521708529850201E-2</v>
      </c>
      <c r="Q14" s="14">
        <v>3.005185288399E-2</v>
      </c>
      <c r="R14" s="14"/>
      <c r="S14" s="14">
        <v>1.15041362969221E-2</v>
      </c>
      <c r="T14" s="14">
        <v>1.43412039653729E-2</v>
      </c>
      <c r="U14" s="14">
        <v>2.63872447557667E-2</v>
      </c>
      <c r="V14" s="14">
        <v>1.5907312459053E-2</v>
      </c>
      <c r="W14" s="14">
        <v>3.3939542470310897E-2</v>
      </c>
      <c r="X14" s="14">
        <v>3.0919919499487501E-2</v>
      </c>
      <c r="Y14" s="14">
        <v>1.9598122368625098E-2</v>
      </c>
      <c r="Z14" s="14">
        <v>7.3730022304325802E-3</v>
      </c>
      <c r="AA14" s="14">
        <v>2.4770174976561098E-2</v>
      </c>
      <c r="AB14" s="14"/>
      <c r="AC14" s="14">
        <v>4.20197113897453E-2</v>
      </c>
      <c r="AD14" s="14">
        <v>9.1723394215865901E-3</v>
      </c>
      <c r="AE14" s="14">
        <v>1.12193930828247E-2</v>
      </c>
      <c r="AF14" s="14">
        <v>8.4663232486469897E-3</v>
      </c>
      <c r="AG14" s="14">
        <v>2.6055478457694001E-2</v>
      </c>
      <c r="AH14" s="14"/>
      <c r="AI14" s="14">
        <v>1.8293757639516701E-2</v>
      </c>
      <c r="AJ14" s="14">
        <v>1.6602350722759E-2</v>
      </c>
      <c r="AK14" s="14">
        <v>1.18289299698631E-2</v>
      </c>
      <c r="AL14" s="14">
        <v>2.6696635750128799E-2</v>
      </c>
      <c r="AM14" s="14">
        <v>1.9030914028568699E-2</v>
      </c>
      <c r="AN14" s="14">
        <v>2.6323006396460801E-2</v>
      </c>
      <c r="AO14" s="14"/>
      <c r="AP14" s="14">
        <v>1.41053156893128E-2</v>
      </c>
      <c r="AQ14" s="14">
        <v>2.7181732511296901E-2</v>
      </c>
      <c r="AR14" s="14"/>
      <c r="AS14" s="14">
        <v>2.2224566356267201E-2</v>
      </c>
      <c r="AT14" s="14">
        <v>2.1017474197935301E-2</v>
      </c>
      <c r="AU14" s="14">
        <v>1.9456963805263398E-2</v>
      </c>
      <c r="AV14" s="14"/>
      <c r="AW14" s="14">
        <v>2.0104560252206E-2</v>
      </c>
      <c r="AX14" s="14">
        <v>1.5347648145217099E-3</v>
      </c>
      <c r="AY14" s="14"/>
      <c r="AZ14" s="14">
        <v>1.5858648535124299E-2</v>
      </c>
      <c r="BA14" s="14">
        <v>2.6346683840746999E-2</v>
      </c>
    </row>
    <row r="15" spans="2:53" x14ac:dyDescent="0.35">
      <c r="B15" s="15" t="s">
        <v>409</v>
      </c>
      <c r="C15" s="18">
        <v>0.77765962563222302</v>
      </c>
      <c r="D15" s="18">
        <v>0.79846900821337896</v>
      </c>
      <c r="E15" s="18">
        <v>0.75758755620011098</v>
      </c>
      <c r="F15" s="18"/>
      <c r="G15" s="18">
        <v>0.90450436034097403</v>
      </c>
      <c r="H15" s="18">
        <v>0.75674141127346295</v>
      </c>
      <c r="I15" s="18">
        <v>0.79214753583814401</v>
      </c>
      <c r="J15" s="18">
        <v>0.77348615268308896</v>
      </c>
      <c r="K15" s="18">
        <v>0.74953920796316598</v>
      </c>
      <c r="L15" s="18">
        <v>0.775389455305871</v>
      </c>
      <c r="M15" s="18"/>
      <c r="N15" s="18">
        <v>0.85385826017296995</v>
      </c>
      <c r="O15" s="18">
        <v>0.74394122656459305</v>
      </c>
      <c r="P15" s="18">
        <v>0.78469095374144304</v>
      </c>
      <c r="Q15" s="18">
        <v>0.72354102808104503</v>
      </c>
      <c r="R15" s="18"/>
      <c r="S15" s="18">
        <v>0.85695953785212498</v>
      </c>
      <c r="T15" s="18">
        <v>0.79207173296490097</v>
      </c>
      <c r="U15" s="18">
        <v>0.695245421583219</v>
      </c>
      <c r="V15" s="18">
        <v>0.73727034330730701</v>
      </c>
      <c r="W15" s="18">
        <v>0.74208553600524696</v>
      </c>
      <c r="X15" s="18">
        <v>0.79461191850309898</v>
      </c>
      <c r="Y15" s="18">
        <v>0.77380936218865504</v>
      </c>
      <c r="Z15" s="18">
        <v>0.72749014478113905</v>
      </c>
      <c r="AA15" s="18">
        <v>0.79402033141105499</v>
      </c>
      <c r="AB15" s="18"/>
      <c r="AC15" s="18">
        <v>0.713065623072766</v>
      </c>
      <c r="AD15" s="18">
        <v>0.74340188655452699</v>
      </c>
      <c r="AE15" s="18">
        <v>0.81867272438024896</v>
      </c>
      <c r="AF15" s="18">
        <v>0.86849479501049998</v>
      </c>
      <c r="AG15" s="18">
        <v>0.83827458916251296</v>
      </c>
      <c r="AH15" s="18"/>
      <c r="AI15" s="18">
        <v>0.82248095209996397</v>
      </c>
      <c r="AJ15" s="18">
        <v>0.81226381002117898</v>
      </c>
      <c r="AK15" s="18">
        <v>0.82229896334850305</v>
      </c>
      <c r="AL15" s="18">
        <v>0.75038205485648501</v>
      </c>
      <c r="AM15" s="18">
        <v>0.729881935224999</v>
      </c>
      <c r="AN15" s="18">
        <v>0.71236655328939602</v>
      </c>
      <c r="AO15" s="18"/>
      <c r="AP15" s="18">
        <v>0.79549117061685903</v>
      </c>
      <c r="AQ15" s="18">
        <v>0.75824020764715205</v>
      </c>
      <c r="AR15" s="18"/>
      <c r="AS15" s="18">
        <v>0.76865142999704805</v>
      </c>
      <c r="AT15" s="18">
        <v>0.79095063448821101</v>
      </c>
      <c r="AU15" s="18">
        <v>0.77615395750038996</v>
      </c>
      <c r="AV15" s="18"/>
      <c r="AW15" s="18">
        <v>0.78290880903850701</v>
      </c>
      <c r="AX15" s="18">
        <v>0.84618411860460796</v>
      </c>
      <c r="AY15" s="18"/>
      <c r="AZ15" s="18">
        <v>0.79721261494968998</v>
      </c>
      <c r="BA15" s="18">
        <v>0.71558072445133603</v>
      </c>
    </row>
    <row r="16" spans="2:53" x14ac:dyDescent="0.35">
      <c r="B16" s="15" t="s">
        <v>410</v>
      </c>
      <c r="C16" s="18">
        <v>4.0727796428182701E-2</v>
      </c>
      <c r="D16" s="18">
        <v>4.7021070402248698E-2</v>
      </c>
      <c r="E16" s="18">
        <v>3.44689765662037E-2</v>
      </c>
      <c r="F16" s="18"/>
      <c r="G16" s="18">
        <v>0</v>
      </c>
      <c r="H16" s="18">
        <v>4.12500312049646E-2</v>
      </c>
      <c r="I16" s="18">
        <v>3.4116911015799702E-2</v>
      </c>
      <c r="J16" s="18">
        <v>4.5942757882378997E-2</v>
      </c>
      <c r="K16" s="18">
        <v>5.0535938172379301E-2</v>
      </c>
      <c r="L16" s="18">
        <v>7.7235959291058906E-2</v>
      </c>
      <c r="M16" s="18"/>
      <c r="N16" s="18">
        <v>3.3167894485963703E-2</v>
      </c>
      <c r="O16" s="18">
        <v>4.5103876588713399E-2</v>
      </c>
      <c r="P16" s="18">
        <v>4.7621290518850501E-2</v>
      </c>
      <c r="Q16" s="18">
        <v>3.8754430512714502E-2</v>
      </c>
      <c r="R16" s="18"/>
      <c r="S16" s="18">
        <v>1.6402272274851401E-2</v>
      </c>
      <c r="T16" s="18">
        <v>3.7749918769888299E-2</v>
      </c>
      <c r="U16" s="18">
        <v>6.0230017045613898E-2</v>
      </c>
      <c r="V16" s="18">
        <v>8.3650026454234305E-2</v>
      </c>
      <c r="W16" s="18">
        <v>6.0177251198328001E-2</v>
      </c>
      <c r="X16" s="18">
        <v>2.9163352501611801E-2</v>
      </c>
      <c r="Y16" s="18">
        <v>1.3483233701513501E-2</v>
      </c>
      <c r="Z16" s="18">
        <v>7.4122309291626207E-2</v>
      </c>
      <c r="AA16" s="18">
        <v>2.65581404842756E-2</v>
      </c>
      <c r="AB16" s="18"/>
      <c r="AC16" s="18">
        <v>2.4602015620914599E-2</v>
      </c>
      <c r="AD16" s="18">
        <v>5.64074172928377E-2</v>
      </c>
      <c r="AE16" s="18">
        <v>2.9093987889981798E-2</v>
      </c>
      <c r="AF16" s="18">
        <v>4.0795133012264603E-2</v>
      </c>
      <c r="AG16" s="18">
        <v>5.8047052414612901E-2</v>
      </c>
      <c r="AH16" s="18"/>
      <c r="AI16" s="18">
        <v>2.02712526485316E-2</v>
      </c>
      <c r="AJ16" s="18">
        <v>4.2558928926204401E-2</v>
      </c>
      <c r="AK16" s="18">
        <v>2.1837428675768301E-2</v>
      </c>
      <c r="AL16" s="18">
        <v>7.1415114785618503E-2</v>
      </c>
      <c r="AM16" s="18">
        <v>5.2229975732217798E-2</v>
      </c>
      <c r="AN16" s="18">
        <v>6.53793479509545E-2</v>
      </c>
      <c r="AO16" s="18"/>
      <c r="AP16" s="18">
        <v>3.8315909341491899E-2</v>
      </c>
      <c r="AQ16" s="18">
        <v>4.3572763561217399E-2</v>
      </c>
      <c r="AR16" s="18"/>
      <c r="AS16" s="18">
        <v>4.91527596802099E-2</v>
      </c>
      <c r="AT16" s="18">
        <v>2.74920772746933E-2</v>
      </c>
      <c r="AU16" s="18">
        <v>4.2374083828877397E-2</v>
      </c>
      <c r="AV16" s="18"/>
      <c r="AW16" s="18">
        <v>3.34168070166442E-2</v>
      </c>
      <c r="AX16" s="18">
        <v>4.1552224028454599E-2</v>
      </c>
      <c r="AY16" s="18"/>
      <c r="AZ16" s="18">
        <v>4.0365846590402502E-2</v>
      </c>
      <c r="BA16" s="18">
        <v>4.29336963720457E-2</v>
      </c>
    </row>
    <row r="17" spans="2:53" x14ac:dyDescent="0.35">
      <c r="B17" s="15" t="s">
        <v>82</v>
      </c>
      <c r="C17" s="19">
        <v>0.73693182920404099</v>
      </c>
      <c r="D17" s="19">
        <v>0.75144793781113095</v>
      </c>
      <c r="E17" s="19">
        <v>0.72311857963390702</v>
      </c>
      <c r="F17" s="19"/>
      <c r="G17" s="19">
        <v>0.90450436034097403</v>
      </c>
      <c r="H17" s="19">
        <v>0.715491380068498</v>
      </c>
      <c r="I17" s="19">
        <v>0.75803062482234396</v>
      </c>
      <c r="J17" s="19">
        <v>0.72754339480070995</v>
      </c>
      <c r="K17" s="19">
        <v>0.69900326979078697</v>
      </c>
      <c r="L17" s="19">
        <v>0.69815349601481203</v>
      </c>
      <c r="M17" s="19"/>
      <c r="N17" s="19">
        <v>0.82069036568700604</v>
      </c>
      <c r="O17" s="19">
        <v>0.69883734997587998</v>
      </c>
      <c r="P17" s="19">
        <v>0.73706966322259204</v>
      </c>
      <c r="Q17" s="19">
        <v>0.68478659756833105</v>
      </c>
      <c r="R17" s="19"/>
      <c r="S17" s="19">
        <v>0.84055726557727395</v>
      </c>
      <c r="T17" s="19">
        <v>0.75432181419501199</v>
      </c>
      <c r="U17" s="19">
        <v>0.63501540453760497</v>
      </c>
      <c r="V17" s="19">
        <v>0.65362031685307298</v>
      </c>
      <c r="W17" s="19">
        <v>0.68190828480691901</v>
      </c>
      <c r="X17" s="19">
        <v>0.76544856600148703</v>
      </c>
      <c r="Y17" s="19">
        <v>0.76032612848714198</v>
      </c>
      <c r="Z17" s="19">
        <v>0.65336783548951305</v>
      </c>
      <c r="AA17" s="19">
        <v>0.76746219092677903</v>
      </c>
      <c r="AB17" s="19"/>
      <c r="AC17" s="19">
        <v>0.68846360745185198</v>
      </c>
      <c r="AD17" s="19">
        <v>0.68699446926168894</v>
      </c>
      <c r="AE17" s="19">
        <v>0.789578736490267</v>
      </c>
      <c r="AF17" s="19">
        <v>0.82769966199823597</v>
      </c>
      <c r="AG17" s="19">
        <v>0.78022753674790102</v>
      </c>
      <c r="AH17" s="19"/>
      <c r="AI17" s="19">
        <v>0.80220969945143195</v>
      </c>
      <c r="AJ17" s="19">
        <v>0.76970488109497404</v>
      </c>
      <c r="AK17" s="19">
        <v>0.80046153467273495</v>
      </c>
      <c r="AL17" s="19">
        <v>0.678966940070867</v>
      </c>
      <c r="AM17" s="19">
        <v>0.67765195949278101</v>
      </c>
      <c r="AN17" s="19">
        <v>0.64698720533844201</v>
      </c>
      <c r="AO17" s="19"/>
      <c r="AP17" s="19">
        <v>0.75717526127536705</v>
      </c>
      <c r="AQ17" s="19">
        <v>0.71466744408593497</v>
      </c>
      <c r="AR17" s="19"/>
      <c r="AS17" s="19">
        <v>0.71949867031683801</v>
      </c>
      <c r="AT17" s="19">
        <v>0.76345855721351796</v>
      </c>
      <c r="AU17" s="19">
        <v>0.73377987367151198</v>
      </c>
      <c r="AV17" s="19"/>
      <c r="AW17" s="19">
        <v>0.74949200202186295</v>
      </c>
      <c r="AX17" s="19">
        <v>0.80463189457615303</v>
      </c>
      <c r="AY17" s="19"/>
      <c r="AZ17" s="19">
        <v>0.75684676835928699</v>
      </c>
      <c r="BA17" s="19">
        <v>0.67264702807929</v>
      </c>
    </row>
    <row r="18" spans="2:53" x14ac:dyDescent="0.35">
      <c r="B18" s="16"/>
    </row>
    <row r="19" spans="2:53" x14ac:dyDescent="0.35">
      <c r="B19" t="s">
        <v>84</v>
      </c>
    </row>
    <row r="20" spans="2:53" x14ac:dyDescent="0.35">
      <c r="B20" t="s">
        <v>85</v>
      </c>
    </row>
    <row r="22" spans="2:53" x14ac:dyDescent="0.35">
      <c r="B22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B2:BA22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418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404</v>
      </c>
      <c r="C9" s="14">
        <v>0.32653947307599201</v>
      </c>
      <c r="D9" s="14">
        <v>0.36111701252803502</v>
      </c>
      <c r="E9" s="14">
        <v>0.29225087030807001</v>
      </c>
      <c r="F9" s="14"/>
      <c r="G9" s="14">
        <v>0.45030956481519002</v>
      </c>
      <c r="H9" s="14">
        <v>0.42973332053320101</v>
      </c>
      <c r="I9" s="14">
        <v>0.33860000270843499</v>
      </c>
      <c r="J9" s="14">
        <v>0.26803884089619001</v>
      </c>
      <c r="K9" s="14">
        <v>0.278040064129214</v>
      </c>
      <c r="L9" s="14">
        <v>0.37481345930973298</v>
      </c>
      <c r="M9" s="14"/>
      <c r="N9" s="14">
        <v>0.36521363813616903</v>
      </c>
      <c r="O9" s="14">
        <v>0.31090684488981601</v>
      </c>
      <c r="P9" s="14">
        <v>0.31942882457584199</v>
      </c>
      <c r="Q9" s="14">
        <v>0.30664638822585899</v>
      </c>
      <c r="R9" s="14"/>
      <c r="S9" s="14">
        <v>0.40629573088288601</v>
      </c>
      <c r="T9" s="14">
        <v>0.33313614025371802</v>
      </c>
      <c r="U9" s="14">
        <v>0.33537443301285502</v>
      </c>
      <c r="V9" s="14">
        <v>0.30287530368931298</v>
      </c>
      <c r="W9" s="14">
        <v>0.32656999992476399</v>
      </c>
      <c r="X9" s="14">
        <v>0.27131270907187499</v>
      </c>
      <c r="Y9" s="14">
        <v>0.32658939465103698</v>
      </c>
      <c r="Z9" s="14">
        <v>0.24202070015508201</v>
      </c>
      <c r="AA9" s="14">
        <v>0.30854479037567301</v>
      </c>
      <c r="AB9" s="14"/>
      <c r="AC9" s="14">
        <v>0.29111284378079899</v>
      </c>
      <c r="AD9" s="14">
        <v>0.266910479137691</v>
      </c>
      <c r="AE9" s="14">
        <v>0.34548766825273203</v>
      </c>
      <c r="AF9" s="14">
        <v>0.45502713181706</v>
      </c>
      <c r="AG9" s="14">
        <v>0.50614479962887104</v>
      </c>
      <c r="AH9" s="14"/>
      <c r="AI9" s="14">
        <v>0.36757156660326901</v>
      </c>
      <c r="AJ9" s="14">
        <v>0.33030093337371003</v>
      </c>
      <c r="AK9" s="14">
        <v>0.378892934473123</v>
      </c>
      <c r="AL9" s="14">
        <v>0.28010655364167703</v>
      </c>
      <c r="AM9" s="14">
        <v>0.31554969042480302</v>
      </c>
      <c r="AN9" s="14">
        <v>0.26724409182452902</v>
      </c>
      <c r="AO9" s="14"/>
      <c r="AP9" s="14">
        <v>0.36197828939693</v>
      </c>
      <c r="AQ9" s="14">
        <v>0.28705138857372497</v>
      </c>
      <c r="AR9" s="14"/>
      <c r="AS9" s="14">
        <v>0.39755377621986498</v>
      </c>
      <c r="AT9" s="14">
        <v>0.35508010267832202</v>
      </c>
      <c r="AU9" s="14">
        <v>0.29898772068385798</v>
      </c>
      <c r="AV9" s="14"/>
      <c r="AW9" s="14">
        <v>0.32052799068708698</v>
      </c>
      <c r="AX9" s="14">
        <v>0.42665306369226103</v>
      </c>
      <c r="AY9" s="14"/>
      <c r="AZ9" s="14">
        <v>0.363779764573188</v>
      </c>
      <c r="BA9" s="14">
        <v>0.19454903151601799</v>
      </c>
    </row>
    <row r="10" spans="2:53" x14ac:dyDescent="0.35">
      <c r="B10" s="15" t="s">
        <v>405</v>
      </c>
      <c r="C10" s="14">
        <v>0.379872263865418</v>
      </c>
      <c r="D10" s="14">
        <v>0.396542386259498</v>
      </c>
      <c r="E10" s="14">
        <v>0.36355710376080602</v>
      </c>
      <c r="F10" s="14"/>
      <c r="G10" s="14">
        <v>0.14459573204541201</v>
      </c>
      <c r="H10" s="14">
        <v>0.38552810406676802</v>
      </c>
      <c r="I10" s="14">
        <v>0.38586892994792799</v>
      </c>
      <c r="J10" s="14">
        <v>0.39177408140305298</v>
      </c>
      <c r="K10" s="14">
        <v>0.34334673400658899</v>
      </c>
      <c r="L10" s="14">
        <v>0.220413195291009</v>
      </c>
      <c r="M10" s="14"/>
      <c r="N10" s="14">
        <v>0.40741744792087498</v>
      </c>
      <c r="O10" s="14">
        <v>0.40472142605744799</v>
      </c>
      <c r="P10" s="14">
        <v>0.35628440750475998</v>
      </c>
      <c r="Q10" s="14">
        <v>0.34550984629800302</v>
      </c>
      <c r="R10" s="14"/>
      <c r="S10" s="14">
        <v>0.34498106732830103</v>
      </c>
      <c r="T10" s="14">
        <v>0.38992743102465499</v>
      </c>
      <c r="U10" s="14">
        <v>0.37335624929867001</v>
      </c>
      <c r="V10" s="14">
        <v>0.34166726407605702</v>
      </c>
      <c r="W10" s="14">
        <v>0.37921707961963602</v>
      </c>
      <c r="X10" s="14">
        <v>0.415071969523572</v>
      </c>
      <c r="Y10" s="14">
        <v>0.33804519563145702</v>
      </c>
      <c r="Z10" s="14">
        <v>0.46957955392930201</v>
      </c>
      <c r="AA10" s="14">
        <v>0.41893224858904499</v>
      </c>
      <c r="AB10" s="14"/>
      <c r="AC10" s="14">
        <v>0.35741822879671598</v>
      </c>
      <c r="AD10" s="14">
        <v>0.39062332831171498</v>
      </c>
      <c r="AE10" s="14">
        <v>0.40805076540410301</v>
      </c>
      <c r="AF10" s="14">
        <v>0.37373606760341999</v>
      </c>
      <c r="AG10" s="14">
        <v>0.36632873749431499</v>
      </c>
      <c r="AH10" s="14"/>
      <c r="AI10" s="14">
        <v>0.39520894746540902</v>
      </c>
      <c r="AJ10" s="14">
        <v>0.39319968302139802</v>
      </c>
      <c r="AK10" s="14">
        <v>0.350888075509871</v>
      </c>
      <c r="AL10" s="14">
        <v>0.38881240113210902</v>
      </c>
      <c r="AM10" s="14">
        <v>0.34634440616170498</v>
      </c>
      <c r="AN10" s="14">
        <v>0.32388071307190303</v>
      </c>
      <c r="AO10" s="14"/>
      <c r="AP10" s="14">
        <v>0.39588915508483502</v>
      </c>
      <c r="AQ10" s="14">
        <v>0.363075254122528</v>
      </c>
      <c r="AR10" s="14"/>
      <c r="AS10" s="14">
        <v>0.415964416833974</v>
      </c>
      <c r="AT10" s="14">
        <v>0.42844377225452002</v>
      </c>
      <c r="AU10" s="14">
        <v>0.35579624475968102</v>
      </c>
      <c r="AV10" s="14"/>
      <c r="AW10" s="14">
        <v>0.38552654464944203</v>
      </c>
      <c r="AX10" s="14">
        <v>0.39807045254754098</v>
      </c>
      <c r="AY10" s="14"/>
      <c r="AZ10" s="14">
        <v>0.39601106070012998</v>
      </c>
      <c r="BA10" s="14">
        <v>0.32216008323765999</v>
      </c>
    </row>
    <row r="11" spans="2:53" x14ac:dyDescent="0.35">
      <c r="B11" s="15" t="s">
        <v>406</v>
      </c>
      <c r="C11" s="14">
        <v>0.15707756950548499</v>
      </c>
      <c r="D11" s="14">
        <v>0.15228168735620801</v>
      </c>
      <c r="E11" s="14">
        <v>0.161060060947008</v>
      </c>
      <c r="F11" s="14"/>
      <c r="G11" s="14">
        <v>0.29182627175165798</v>
      </c>
      <c r="H11" s="14">
        <v>8.73034040641361E-2</v>
      </c>
      <c r="I11" s="14">
        <v>0.14680515539911501</v>
      </c>
      <c r="J11" s="14">
        <v>0.174161149276234</v>
      </c>
      <c r="K11" s="14">
        <v>0.23194290003963999</v>
      </c>
      <c r="L11" s="14">
        <v>0.29854253228383998</v>
      </c>
      <c r="M11" s="14"/>
      <c r="N11" s="14">
        <v>0.11588309460044401</v>
      </c>
      <c r="O11" s="14">
        <v>0.16996845916760001</v>
      </c>
      <c r="P11" s="14">
        <v>0.172977172075957</v>
      </c>
      <c r="Q11" s="14">
        <v>0.17600465245730501</v>
      </c>
      <c r="R11" s="14"/>
      <c r="S11" s="14">
        <v>0.14402306874292101</v>
      </c>
      <c r="T11" s="14">
        <v>0.119665489809239</v>
      </c>
      <c r="U11" s="14">
        <v>0.201944719289223</v>
      </c>
      <c r="V11" s="14">
        <v>0.18640361382596901</v>
      </c>
      <c r="W11" s="14">
        <v>0.16452427059302799</v>
      </c>
      <c r="X11" s="14">
        <v>0.12970036095057599</v>
      </c>
      <c r="Y11" s="14">
        <v>0.199321753557444</v>
      </c>
      <c r="Z11" s="14">
        <v>0.145819351458045</v>
      </c>
      <c r="AA11" s="14">
        <v>0.14739271970092099</v>
      </c>
      <c r="AB11" s="14"/>
      <c r="AC11" s="14">
        <v>0.20643956544936801</v>
      </c>
      <c r="AD11" s="14">
        <v>0.142182800377576</v>
      </c>
      <c r="AE11" s="14">
        <v>0.145359771902449</v>
      </c>
      <c r="AF11" s="14">
        <v>9.4329956592122802E-2</v>
      </c>
      <c r="AG11" s="14">
        <v>0.106050619232562</v>
      </c>
      <c r="AH11" s="14"/>
      <c r="AI11" s="14">
        <v>0.12346981763010299</v>
      </c>
      <c r="AJ11" s="14">
        <v>0.14942090637177999</v>
      </c>
      <c r="AK11" s="14">
        <v>0.14293587331642801</v>
      </c>
      <c r="AL11" s="14">
        <v>0.17763535234439301</v>
      </c>
      <c r="AM11" s="14">
        <v>0.149031885305458</v>
      </c>
      <c r="AN11" s="14">
        <v>0.24068805672813301</v>
      </c>
      <c r="AO11" s="14"/>
      <c r="AP11" s="14">
        <v>0.13637525221560901</v>
      </c>
      <c r="AQ11" s="14">
        <v>0.17968096704643399</v>
      </c>
      <c r="AR11" s="14"/>
      <c r="AS11" s="14">
        <v>0.13955125135110999</v>
      </c>
      <c r="AT11" s="14">
        <v>0.107956098134386</v>
      </c>
      <c r="AU11" s="14">
        <v>0.17631949657335499</v>
      </c>
      <c r="AV11" s="14"/>
      <c r="AW11" s="14">
        <v>0.15902135555394101</v>
      </c>
      <c r="AX11" s="14">
        <v>0.104422979099232</v>
      </c>
      <c r="AY11" s="14"/>
      <c r="AZ11" s="14">
        <v>0.13639336251713</v>
      </c>
      <c r="BA11" s="14">
        <v>0.23259986736447699</v>
      </c>
    </row>
    <row r="12" spans="2:53" x14ac:dyDescent="0.35">
      <c r="B12" s="15" t="s">
        <v>407</v>
      </c>
      <c r="C12" s="14">
        <v>7.4105786362680295E-2</v>
      </c>
      <c r="D12" s="14">
        <v>4.6183371393444202E-2</v>
      </c>
      <c r="E12" s="14">
        <v>0.10212237460611701</v>
      </c>
      <c r="F12" s="14"/>
      <c r="G12" s="14">
        <v>0</v>
      </c>
      <c r="H12" s="14">
        <v>5.9390844359048997E-2</v>
      </c>
      <c r="I12" s="14">
        <v>8.0763976715770902E-2</v>
      </c>
      <c r="J12" s="14">
        <v>8.4158036013899096E-2</v>
      </c>
      <c r="K12" s="14">
        <v>4.44369022107894E-2</v>
      </c>
      <c r="L12" s="14">
        <v>3.4303614182499199E-2</v>
      </c>
      <c r="M12" s="14"/>
      <c r="N12" s="14">
        <v>6.2045950828628203E-2</v>
      </c>
      <c r="O12" s="14">
        <v>6.7213660229871103E-2</v>
      </c>
      <c r="P12" s="14">
        <v>9.4230748767895806E-2</v>
      </c>
      <c r="Q12" s="14">
        <v>7.4218903724554794E-2</v>
      </c>
      <c r="R12" s="14"/>
      <c r="S12" s="14">
        <v>5.3901662862507499E-2</v>
      </c>
      <c r="T12" s="14">
        <v>9.348721735493E-2</v>
      </c>
      <c r="U12" s="14">
        <v>6.7864980489135598E-2</v>
      </c>
      <c r="V12" s="14">
        <v>7.9080561047116193E-2</v>
      </c>
      <c r="W12" s="14">
        <v>7.2715612909584906E-2</v>
      </c>
      <c r="X12" s="14">
        <v>8.5984344898078602E-2</v>
      </c>
      <c r="Y12" s="14">
        <v>8.0474246041124506E-2</v>
      </c>
      <c r="Z12" s="14">
        <v>8.6161392749236704E-2</v>
      </c>
      <c r="AA12" s="14">
        <v>5.7952990332439502E-2</v>
      </c>
      <c r="AB12" s="14"/>
      <c r="AC12" s="14">
        <v>8.7609947271166999E-2</v>
      </c>
      <c r="AD12" s="14">
        <v>0.108304481999806</v>
      </c>
      <c r="AE12" s="14">
        <v>6.1468453451676001E-2</v>
      </c>
      <c r="AF12" s="14">
        <v>2.8662975693013099E-2</v>
      </c>
      <c r="AG12" s="14">
        <v>0</v>
      </c>
      <c r="AH12" s="14"/>
      <c r="AI12" s="14">
        <v>5.7966357466410802E-2</v>
      </c>
      <c r="AJ12" s="14">
        <v>7.8564898170416897E-2</v>
      </c>
      <c r="AK12" s="14">
        <v>7.1984237070983198E-2</v>
      </c>
      <c r="AL12" s="14">
        <v>7.8278699405461005E-2</v>
      </c>
      <c r="AM12" s="14">
        <v>0.13940404715225799</v>
      </c>
      <c r="AN12" s="14">
        <v>9.82318647206884E-2</v>
      </c>
      <c r="AO12" s="14"/>
      <c r="AP12" s="14">
        <v>6.4676951546706704E-2</v>
      </c>
      <c r="AQ12" s="14">
        <v>8.4953372752117298E-2</v>
      </c>
      <c r="AR12" s="14"/>
      <c r="AS12" s="14">
        <v>1.34015041117207E-2</v>
      </c>
      <c r="AT12" s="14">
        <v>7.0096712635530106E-2</v>
      </c>
      <c r="AU12" s="14">
        <v>9.1628889104171302E-2</v>
      </c>
      <c r="AV12" s="14"/>
      <c r="AW12" s="14">
        <v>7.7514974709530393E-2</v>
      </c>
      <c r="AX12" s="14">
        <v>3.7338203719910201E-2</v>
      </c>
      <c r="AY12" s="14"/>
      <c r="AZ12" s="14">
        <v>5.7669240944291301E-2</v>
      </c>
      <c r="BA12" s="14">
        <v>0.136950022985424</v>
      </c>
    </row>
    <row r="13" spans="2:53" x14ac:dyDescent="0.35">
      <c r="B13" s="15" t="s">
        <v>408</v>
      </c>
      <c r="C13" s="14">
        <v>4.1188461601842599E-2</v>
      </c>
      <c r="D13" s="14">
        <v>2.40100021416088E-2</v>
      </c>
      <c r="E13" s="14">
        <v>5.8420589693438399E-2</v>
      </c>
      <c r="F13" s="14"/>
      <c r="G13" s="14">
        <v>0.11326843138774099</v>
      </c>
      <c r="H13" s="14">
        <v>1.6544714072393302E-2</v>
      </c>
      <c r="I13" s="14">
        <v>3.483951175905E-2</v>
      </c>
      <c r="J13" s="14">
        <v>5.8199788106072702E-2</v>
      </c>
      <c r="K13" s="14">
        <v>5.8239219579397698E-2</v>
      </c>
      <c r="L13" s="14">
        <v>0</v>
      </c>
      <c r="M13" s="14"/>
      <c r="N13" s="14">
        <v>4.19732708430113E-2</v>
      </c>
      <c r="O13" s="14">
        <v>2.6981816173543199E-2</v>
      </c>
      <c r="P13" s="14">
        <v>4.6085388041422502E-2</v>
      </c>
      <c r="Q13" s="14">
        <v>5.12720043636858E-2</v>
      </c>
      <c r="R13" s="14"/>
      <c r="S13" s="14">
        <v>2.8280216961571802E-2</v>
      </c>
      <c r="T13" s="14">
        <v>4.29795630986664E-2</v>
      </c>
      <c r="U13" s="14">
        <v>2.14596179101171E-2</v>
      </c>
      <c r="V13" s="14">
        <v>6.51836393560941E-2</v>
      </c>
      <c r="W13" s="14">
        <v>3.2282472940327302E-2</v>
      </c>
      <c r="X13" s="14">
        <v>4.2728245572793699E-2</v>
      </c>
      <c r="Y13" s="14">
        <v>3.6659664104194099E-2</v>
      </c>
      <c r="Z13" s="14">
        <v>5.6419001708334998E-2</v>
      </c>
      <c r="AA13" s="14">
        <v>5.24215274859662E-2</v>
      </c>
      <c r="AB13" s="14"/>
      <c r="AC13" s="14">
        <v>2.85083504034335E-2</v>
      </c>
      <c r="AD13" s="14">
        <v>7.44036461403845E-2</v>
      </c>
      <c r="AE13" s="14">
        <v>2.8864151809752599E-2</v>
      </c>
      <c r="AF13" s="14">
        <v>3.3667033291868903E-2</v>
      </c>
      <c r="AG13" s="14">
        <v>2.1475843644251699E-2</v>
      </c>
      <c r="AH13" s="14"/>
      <c r="AI13" s="14">
        <v>3.2633539342412803E-2</v>
      </c>
      <c r="AJ13" s="14">
        <v>3.38938727693072E-2</v>
      </c>
      <c r="AK13" s="14">
        <v>4.6864530373980598E-2</v>
      </c>
      <c r="AL13" s="14">
        <v>4.9275145543056197E-2</v>
      </c>
      <c r="AM13" s="14">
        <v>2.2734157674643499E-2</v>
      </c>
      <c r="AN13" s="14">
        <v>4.1932245758042802E-2</v>
      </c>
      <c r="AO13" s="14"/>
      <c r="AP13" s="14">
        <v>2.2543879350490001E-2</v>
      </c>
      <c r="AQ13" s="14">
        <v>6.0938850802370298E-2</v>
      </c>
      <c r="AR13" s="14"/>
      <c r="AS13" s="14">
        <v>1.36167232847836E-2</v>
      </c>
      <c r="AT13" s="14">
        <v>2.1566446050872799E-2</v>
      </c>
      <c r="AU13" s="14">
        <v>5.4411113694641397E-2</v>
      </c>
      <c r="AV13" s="14"/>
      <c r="AW13" s="14">
        <v>3.7836528817191101E-2</v>
      </c>
      <c r="AX13" s="14">
        <v>2.3280581017093599E-2</v>
      </c>
      <c r="AY13" s="14"/>
      <c r="AZ13" s="14">
        <v>2.9054779428716E-2</v>
      </c>
      <c r="BA13" s="14">
        <v>8.4378631001710905E-2</v>
      </c>
    </row>
    <row r="14" spans="2:53" x14ac:dyDescent="0.35">
      <c r="B14" s="15" t="s">
        <v>80</v>
      </c>
      <c r="C14" s="14">
        <v>2.1216445588581798E-2</v>
      </c>
      <c r="D14" s="14">
        <v>1.9865540321206399E-2</v>
      </c>
      <c r="E14" s="14">
        <v>2.2589000684561201E-2</v>
      </c>
      <c r="F14" s="14"/>
      <c r="G14" s="14">
        <v>0</v>
      </c>
      <c r="H14" s="14">
        <v>2.1499612904453302E-2</v>
      </c>
      <c r="I14" s="14">
        <v>1.3122423469701701E-2</v>
      </c>
      <c r="J14" s="14">
        <v>2.36681043045513E-2</v>
      </c>
      <c r="K14" s="14">
        <v>4.3994180034369397E-2</v>
      </c>
      <c r="L14" s="14">
        <v>7.1927198932918504E-2</v>
      </c>
      <c r="M14" s="14"/>
      <c r="N14" s="14">
        <v>7.4665976708723197E-3</v>
      </c>
      <c r="O14" s="14">
        <v>2.0207793481721099E-2</v>
      </c>
      <c r="P14" s="14">
        <v>1.0993459034121999E-2</v>
      </c>
      <c r="Q14" s="14">
        <v>4.63482049305926E-2</v>
      </c>
      <c r="R14" s="14"/>
      <c r="S14" s="14">
        <v>2.25182532218124E-2</v>
      </c>
      <c r="T14" s="14">
        <v>2.0804158458791602E-2</v>
      </c>
      <c r="U14" s="14">
        <v>0</v>
      </c>
      <c r="V14" s="14">
        <v>2.4789618005451101E-2</v>
      </c>
      <c r="W14" s="14">
        <v>2.4690564012660201E-2</v>
      </c>
      <c r="X14" s="14">
        <v>5.52023699831043E-2</v>
      </c>
      <c r="Y14" s="14">
        <v>1.8909746014742601E-2</v>
      </c>
      <c r="Z14" s="14">
        <v>0</v>
      </c>
      <c r="AA14" s="14">
        <v>1.4755723515955299E-2</v>
      </c>
      <c r="AB14" s="14"/>
      <c r="AC14" s="14">
        <v>2.8911064298516798E-2</v>
      </c>
      <c r="AD14" s="14">
        <v>1.75752640328268E-2</v>
      </c>
      <c r="AE14" s="14">
        <v>1.07691891792875E-2</v>
      </c>
      <c r="AF14" s="14">
        <v>1.4576835002515399E-2</v>
      </c>
      <c r="AG14" s="14">
        <v>0</v>
      </c>
      <c r="AH14" s="14"/>
      <c r="AI14" s="14">
        <v>2.3149771492395301E-2</v>
      </c>
      <c r="AJ14" s="14">
        <v>1.4619706293386801E-2</v>
      </c>
      <c r="AK14" s="14">
        <v>8.4343492556134894E-3</v>
      </c>
      <c r="AL14" s="14">
        <v>2.5891847933303201E-2</v>
      </c>
      <c r="AM14" s="14">
        <v>2.6935813281133699E-2</v>
      </c>
      <c r="AN14" s="14">
        <v>2.8023027896704099E-2</v>
      </c>
      <c r="AO14" s="14"/>
      <c r="AP14" s="14">
        <v>1.8536472405429001E-2</v>
      </c>
      <c r="AQ14" s="14">
        <v>2.43001667028254E-2</v>
      </c>
      <c r="AR14" s="14"/>
      <c r="AS14" s="14">
        <v>1.9912328198547002E-2</v>
      </c>
      <c r="AT14" s="14">
        <v>1.6856868246369498E-2</v>
      </c>
      <c r="AU14" s="14">
        <v>2.2856535184292801E-2</v>
      </c>
      <c r="AV14" s="14"/>
      <c r="AW14" s="14">
        <v>1.9572605582807798E-2</v>
      </c>
      <c r="AX14" s="14">
        <v>1.02347199239617E-2</v>
      </c>
      <c r="AY14" s="14"/>
      <c r="AZ14" s="14">
        <v>1.7091791836544301E-2</v>
      </c>
      <c r="BA14" s="14">
        <v>2.9362363894709601E-2</v>
      </c>
    </row>
    <row r="15" spans="2:53" x14ac:dyDescent="0.35">
      <c r="B15" s="15" t="s">
        <v>409</v>
      </c>
      <c r="C15" s="18">
        <v>0.70641173694141002</v>
      </c>
      <c r="D15" s="18">
        <v>0.75765939878753297</v>
      </c>
      <c r="E15" s="18">
        <v>0.65580797406887503</v>
      </c>
      <c r="F15" s="18"/>
      <c r="G15" s="18">
        <v>0.59490529686060201</v>
      </c>
      <c r="H15" s="18">
        <v>0.81526142459996798</v>
      </c>
      <c r="I15" s="18">
        <v>0.72446893265636303</v>
      </c>
      <c r="J15" s="18">
        <v>0.65981292229924304</v>
      </c>
      <c r="K15" s="18">
        <v>0.621386798135804</v>
      </c>
      <c r="L15" s="18">
        <v>0.59522665460074298</v>
      </c>
      <c r="M15" s="18"/>
      <c r="N15" s="18">
        <v>0.772631086057044</v>
      </c>
      <c r="O15" s="18">
        <v>0.715628270947264</v>
      </c>
      <c r="P15" s="18">
        <v>0.67571323208060197</v>
      </c>
      <c r="Q15" s="18">
        <v>0.65215623452386196</v>
      </c>
      <c r="R15" s="18"/>
      <c r="S15" s="18">
        <v>0.75127679821118698</v>
      </c>
      <c r="T15" s="18">
        <v>0.72306357127837295</v>
      </c>
      <c r="U15" s="18">
        <v>0.70873068231152503</v>
      </c>
      <c r="V15" s="18">
        <v>0.64454256776537</v>
      </c>
      <c r="W15" s="18">
        <v>0.70578707954440001</v>
      </c>
      <c r="X15" s="18">
        <v>0.68638467859544705</v>
      </c>
      <c r="Y15" s="18">
        <v>0.66463459028249405</v>
      </c>
      <c r="Z15" s="18">
        <v>0.71160025408438399</v>
      </c>
      <c r="AA15" s="18">
        <v>0.72747703896471805</v>
      </c>
      <c r="AB15" s="18"/>
      <c r="AC15" s="18">
        <v>0.64853107257751497</v>
      </c>
      <c r="AD15" s="18">
        <v>0.65753380744940604</v>
      </c>
      <c r="AE15" s="18">
        <v>0.75353843365683504</v>
      </c>
      <c r="AF15" s="18">
        <v>0.82876319942048005</v>
      </c>
      <c r="AG15" s="18">
        <v>0.87247353712318598</v>
      </c>
      <c r="AH15" s="18"/>
      <c r="AI15" s="18">
        <v>0.76278051406867797</v>
      </c>
      <c r="AJ15" s="18">
        <v>0.72350061639510899</v>
      </c>
      <c r="AK15" s="18">
        <v>0.729781009982994</v>
      </c>
      <c r="AL15" s="18">
        <v>0.66891895477378704</v>
      </c>
      <c r="AM15" s="18">
        <v>0.661894096586507</v>
      </c>
      <c r="AN15" s="18">
        <v>0.59112480489643204</v>
      </c>
      <c r="AO15" s="18"/>
      <c r="AP15" s="18">
        <v>0.75786744448176502</v>
      </c>
      <c r="AQ15" s="18">
        <v>0.65012664269625298</v>
      </c>
      <c r="AR15" s="18"/>
      <c r="AS15" s="18">
        <v>0.81351819305383899</v>
      </c>
      <c r="AT15" s="18">
        <v>0.78352387493284203</v>
      </c>
      <c r="AU15" s="18">
        <v>0.65478396544353901</v>
      </c>
      <c r="AV15" s="18"/>
      <c r="AW15" s="18">
        <v>0.70605453533652895</v>
      </c>
      <c r="AX15" s="18">
        <v>0.824723516239802</v>
      </c>
      <c r="AY15" s="18"/>
      <c r="AZ15" s="18">
        <v>0.75979082527331798</v>
      </c>
      <c r="BA15" s="18">
        <v>0.51670911475367798</v>
      </c>
    </row>
    <row r="16" spans="2:53" x14ac:dyDescent="0.35">
      <c r="B16" s="15" t="s">
        <v>410</v>
      </c>
      <c r="C16" s="18">
        <v>0.11529424796452301</v>
      </c>
      <c r="D16" s="18">
        <v>7.0193373535053005E-2</v>
      </c>
      <c r="E16" s="18">
        <v>0.160542964299555</v>
      </c>
      <c r="F16" s="18"/>
      <c r="G16" s="18">
        <v>0.11326843138774099</v>
      </c>
      <c r="H16" s="18">
        <v>7.5935558431442299E-2</v>
      </c>
      <c r="I16" s="18">
        <v>0.11560348847482101</v>
      </c>
      <c r="J16" s="18">
        <v>0.142357824119972</v>
      </c>
      <c r="K16" s="18">
        <v>0.10267612179018699</v>
      </c>
      <c r="L16" s="18">
        <v>3.4303614182499199E-2</v>
      </c>
      <c r="M16" s="18"/>
      <c r="N16" s="18">
        <v>0.10401922167164</v>
      </c>
      <c r="O16" s="18">
        <v>9.4195476403414205E-2</v>
      </c>
      <c r="P16" s="18">
        <v>0.14031613680931801</v>
      </c>
      <c r="Q16" s="18">
        <v>0.12549090808824101</v>
      </c>
      <c r="R16" s="18"/>
      <c r="S16" s="18">
        <v>8.2181879824079304E-2</v>
      </c>
      <c r="T16" s="18">
        <v>0.136466780453596</v>
      </c>
      <c r="U16" s="18">
        <v>8.9324598399252594E-2</v>
      </c>
      <c r="V16" s="18">
        <v>0.14426420040321</v>
      </c>
      <c r="W16" s="18">
        <v>0.10499808584991201</v>
      </c>
      <c r="X16" s="18">
        <v>0.128712590470872</v>
      </c>
      <c r="Y16" s="18">
        <v>0.117133910145319</v>
      </c>
      <c r="Z16" s="18">
        <v>0.14258039445757201</v>
      </c>
      <c r="AA16" s="18">
        <v>0.110374517818406</v>
      </c>
      <c r="AB16" s="18"/>
      <c r="AC16" s="18">
        <v>0.1161182976746</v>
      </c>
      <c r="AD16" s="18">
        <v>0.182708128140191</v>
      </c>
      <c r="AE16" s="18">
        <v>9.0332605261428597E-2</v>
      </c>
      <c r="AF16" s="18">
        <v>6.2330008984882002E-2</v>
      </c>
      <c r="AG16" s="18">
        <v>2.1475843644251699E-2</v>
      </c>
      <c r="AH16" s="18"/>
      <c r="AI16" s="18">
        <v>9.0599896808823605E-2</v>
      </c>
      <c r="AJ16" s="18">
        <v>0.11245877093972401</v>
      </c>
      <c r="AK16" s="18">
        <v>0.118848767444964</v>
      </c>
      <c r="AL16" s="18">
        <v>0.12755384494851699</v>
      </c>
      <c r="AM16" s="18">
        <v>0.162138204826901</v>
      </c>
      <c r="AN16" s="18">
        <v>0.14016411047873101</v>
      </c>
      <c r="AO16" s="18"/>
      <c r="AP16" s="18">
        <v>8.7220830897196705E-2</v>
      </c>
      <c r="AQ16" s="18">
        <v>0.145892223554488</v>
      </c>
      <c r="AR16" s="18"/>
      <c r="AS16" s="18">
        <v>2.7018227396504401E-2</v>
      </c>
      <c r="AT16" s="18">
        <v>9.1663158686402901E-2</v>
      </c>
      <c r="AU16" s="18">
        <v>0.14604000279881299</v>
      </c>
      <c r="AV16" s="18"/>
      <c r="AW16" s="18">
        <v>0.11535150352672199</v>
      </c>
      <c r="AX16" s="18">
        <v>6.06187847370038E-2</v>
      </c>
      <c r="AY16" s="18"/>
      <c r="AZ16" s="18">
        <v>8.6724020373007304E-2</v>
      </c>
      <c r="BA16" s="18">
        <v>0.221328653987135</v>
      </c>
    </row>
    <row r="17" spans="2:53" x14ac:dyDescent="0.35">
      <c r="B17" s="15" t="s">
        <v>82</v>
      </c>
      <c r="C17" s="19">
        <v>0.59111748897688698</v>
      </c>
      <c r="D17" s="19">
        <v>0.68746602525248002</v>
      </c>
      <c r="E17" s="19">
        <v>0.49526500976931997</v>
      </c>
      <c r="F17" s="19"/>
      <c r="G17" s="19">
        <v>0.481636865472861</v>
      </c>
      <c r="H17" s="19">
        <v>0.73932586616852602</v>
      </c>
      <c r="I17" s="19">
        <v>0.60886544418154198</v>
      </c>
      <c r="J17" s="19">
        <v>0.51745509817927104</v>
      </c>
      <c r="K17" s="19">
        <v>0.51871067634561696</v>
      </c>
      <c r="L17" s="19">
        <v>0.56092304041824403</v>
      </c>
      <c r="M17" s="19"/>
      <c r="N17" s="19">
        <v>0.66861186438540399</v>
      </c>
      <c r="O17" s="19">
        <v>0.62143279454385003</v>
      </c>
      <c r="P17" s="19">
        <v>0.53539709527128398</v>
      </c>
      <c r="Q17" s="19">
        <v>0.52666532643562103</v>
      </c>
      <c r="R17" s="19"/>
      <c r="S17" s="19">
        <v>0.669094918387108</v>
      </c>
      <c r="T17" s="19">
        <v>0.586596790824777</v>
      </c>
      <c r="U17" s="19">
        <v>0.61940608391227203</v>
      </c>
      <c r="V17" s="19">
        <v>0.50027836736216003</v>
      </c>
      <c r="W17" s="19">
        <v>0.60078899369448802</v>
      </c>
      <c r="X17" s="19">
        <v>0.55767208812457503</v>
      </c>
      <c r="Y17" s="19">
        <v>0.54750068013717601</v>
      </c>
      <c r="Z17" s="19">
        <v>0.56901985962681201</v>
      </c>
      <c r="AA17" s="19">
        <v>0.61710252114631203</v>
      </c>
      <c r="AB17" s="19"/>
      <c r="AC17" s="19">
        <v>0.53241277490291405</v>
      </c>
      <c r="AD17" s="19">
        <v>0.47482567930921499</v>
      </c>
      <c r="AE17" s="19">
        <v>0.66320582839540698</v>
      </c>
      <c r="AF17" s="19">
        <v>0.76643319043559799</v>
      </c>
      <c r="AG17" s="19">
        <v>0.85099769347893495</v>
      </c>
      <c r="AH17" s="19"/>
      <c r="AI17" s="19">
        <v>0.67218061725985401</v>
      </c>
      <c r="AJ17" s="19">
        <v>0.61104184545538398</v>
      </c>
      <c r="AK17" s="19">
        <v>0.61093224253803102</v>
      </c>
      <c r="AL17" s="19">
        <v>0.54136510982526898</v>
      </c>
      <c r="AM17" s="19">
        <v>0.499755891759606</v>
      </c>
      <c r="AN17" s="19">
        <v>0.45096069441769998</v>
      </c>
      <c r="AO17" s="19"/>
      <c r="AP17" s="19">
        <v>0.67064661358456801</v>
      </c>
      <c r="AQ17" s="19">
        <v>0.50423441914176503</v>
      </c>
      <c r="AR17" s="19"/>
      <c r="AS17" s="19">
        <v>0.78649996565733404</v>
      </c>
      <c r="AT17" s="19">
        <v>0.69186071624643897</v>
      </c>
      <c r="AU17" s="19">
        <v>0.50874396264472699</v>
      </c>
      <c r="AV17" s="19"/>
      <c r="AW17" s="19">
        <v>0.59070303180980799</v>
      </c>
      <c r="AX17" s="19">
        <v>0.76410473150279801</v>
      </c>
      <c r="AY17" s="19"/>
      <c r="AZ17" s="19">
        <v>0.67306680490031101</v>
      </c>
      <c r="BA17" s="19">
        <v>0.29538046076654301</v>
      </c>
    </row>
    <row r="18" spans="2:53" x14ac:dyDescent="0.35">
      <c r="B18" s="16"/>
    </row>
    <row r="19" spans="2:53" x14ac:dyDescent="0.35">
      <c r="B19" t="s">
        <v>84</v>
      </c>
    </row>
    <row r="20" spans="2:53" x14ac:dyDescent="0.35">
      <c r="B20" t="s">
        <v>85</v>
      </c>
    </row>
    <row r="22" spans="2:53" x14ac:dyDescent="0.35">
      <c r="B22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B2:F18"/>
  <sheetViews>
    <sheetView showGridLines="0" workbookViewId="0">
      <pane xSplit="2" topLeftCell="C1" activePane="topRight" state="frozen"/>
      <selection pane="topRight" activeCell="B8" sqref="B8"/>
    </sheetView>
  </sheetViews>
  <sheetFormatPr defaultColWidth="10.90625" defaultRowHeight="14.5" x14ac:dyDescent="0.35"/>
  <cols>
    <col min="2" max="2" width="25.7265625" customWidth="1"/>
    <col min="3" max="6" width="20.7265625" customWidth="1"/>
  </cols>
  <sheetData>
    <row r="2" spans="2:6" ht="40" customHeight="1" x14ac:dyDescent="0.35">
      <c r="D2" s="35" t="s">
        <v>426</v>
      </c>
      <c r="E2" s="32"/>
      <c r="F2" s="32"/>
    </row>
    <row r="6" spans="2:6" ht="50" customHeight="1" x14ac:dyDescent="0.35">
      <c r="B6" s="17" t="s">
        <v>14</v>
      </c>
      <c r="C6" s="17" t="s">
        <v>419</v>
      </c>
      <c r="D6" s="17" t="s">
        <v>420</v>
      </c>
      <c r="E6" s="17" t="s">
        <v>421</v>
      </c>
    </row>
    <row r="7" spans="2:6" x14ac:dyDescent="0.35">
      <c r="B7" s="15" t="s">
        <v>422</v>
      </c>
      <c r="C7" s="14">
        <v>0.244096231748029</v>
      </c>
      <c r="D7" s="14">
        <v>0.26831984829557598</v>
      </c>
      <c r="E7" s="14">
        <v>0.111359918871077</v>
      </c>
    </row>
    <row r="8" spans="2:6" x14ac:dyDescent="0.35">
      <c r="B8" s="15" t="s">
        <v>423</v>
      </c>
      <c r="C8" s="14">
        <v>0.35368981179277698</v>
      </c>
      <c r="D8" s="14">
        <v>0.43929856663595401</v>
      </c>
      <c r="E8" s="14">
        <v>0.20293071809954899</v>
      </c>
    </row>
    <row r="9" spans="2:6" x14ac:dyDescent="0.35">
      <c r="B9" s="15" t="s">
        <v>87</v>
      </c>
      <c r="C9" s="14">
        <v>0.16395524582664001</v>
      </c>
      <c r="D9" s="14">
        <v>0.163255233429282</v>
      </c>
      <c r="E9" s="14">
        <v>0.14015424476638899</v>
      </c>
    </row>
    <row r="10" spans="2:6" x14ac:dyDescent="0.35">
      <c r="B10" s="15" t="s">
        <v>424</v>
      </c>
      <c r="C10" s="14">
        <v>0.16745396260158299</v>
      </c>
      <c r="D10" s="14">
        <v>0.105783060394329</v>
      </c>
      <c r="E10" s="14">
        <v>0.36382963274934699</v>
      </c>
    </row>
    <row r="11" spans="2:6" x14ac:dyDescent="0.35">
      <c r="B11" s="15" t="s">
        <v>425</v>
      </c>
      <c r="C11" s="14">
        <v>7.0804748030970796E-2</v>
      </c>
      <c r="D11" s="14">
        <v>2.3343291244859499E-2</v>
      </c>
      <c r="E11" s="14">
        <v>0.18172548551363801</v>
      </c>
    </row>
    <row r="12" spans="2:6" x14ac:dyDescent="0.35">
      <c r="B12" s="16"/>
      <c r="C12" s="16"/>
      <c r="D12" s="16"/>
      <c r="E12" s="16"/>
    </row>
    <row r="13" spans="2:6" x14ac:dyDescent="0.35">
      <c r="B13" t="s">
        <v>84</v>
      </c>
    </row>
    <row r="14" spans="2:6" x14ac:dyDescent="0.35">
      <c r="B14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F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B2:BA18"/>
  <sheetViews>
    <sheetView showGridLines="0" workbookViewId="0">
      <pane xSplit="2" topLeftCell="C1" activePane="topRight" state="frozen"/>
      <selection pane="topRight" activeCell="D6" sqref="D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427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422</v>
      </c>
      <c r="C9" s="14">
        <v>0.244096231748029</v>
      </c>
      <c r="D9" s="14">
        <v>0.26306073774514099</v>
      </c>
      <c r="E9" s="14">
        <v>0.225353216636277</v>
      </c>
      <c r="F9" s="14"/>
      <c r="G9" s="14">
        <v>0.439078325645195</v>
      </c>
      <c r="H9" s="14">
        <v>0.28153140091964302</v>
      </c>
      <c r="I9" s="14">
        <v>0.24528643912447501</v>
      </c>
      <c r="J9" s="14">
        <v>0.22594987857110099</v>
      </c>
      <c r="K9" s="14">
        <v>0.21202313891882199</v>
      </c>
      <c r="L9" s="14">
        <v>0.32714982418581001</v>
      </c>
      <c r="M9" s="14"/>
      <c r="N9" s="14">
        <v>0.27565001945603701</v>
      </c>
      <c r="O9" s="14">
        <v>0.239028183031185</v>
      </c>
      <c r="P9" s="14">
        <v>0.22590306189537099</v>
      </c>
      <c r="Q9" s="14">
        <v>0.232248327409805</v>
      </c>
      <c r="R9" s="14"/>
      <c r="S9" s="14">
        <v>0.31319439689607498</v>
      </c>
      <c r="T9" s="14">
        <v>0.27301297984189299</v>
      </c>
      <c r="U9" s="14">
        <v>0.26057276357256998</v>
      </c>
      <c r="V9" s="14">
        <v>0.221525930081201</v>
      </c>
      <c r="W9" s="14">
        <v>0.18711584680437399</v>
      </c>
      <c r="X9" s="14">
        <v>0.17859470704779801</v>
      </c>
      <c r="Y9" s="14">
        <v>0.21707310400694599</v>
      </c>
      <c r="Z9" s="14">
        <v>0.18684489160381301</v>
      </c>
      <c r="AA9" s="14">
        <v>0.262845017154619</v>
      </c>
      <c r="AB9" s="14"/>
      <c r="AC9" s="14">
        <v>0.191914621963894</v>
      </c>
      <c r="AD9" s="14">
        <v>0.20599156378688699</v>
      </c>
      <c r="AE9" s="14">
        <v>0.25681547271729499</v>
      </c>
      <c r="AF9" s="14">
        <v>0.34578910895222298</v>
      </c>
      <c r="AG9" s="14">
        <v>0.40312701704516002</v>
      </c>
      <c r="AH9" s="14"/>
      <c r="AI9" s="14">
        <v>0.29266992382352702</v>
      </c>
      <c r="AJ9" s="14">
        <v>0.20948371972305199</v>
      </c>
      <c r="AK9" s="14">
        <v>0.26507792143028203</v>
      </c>
      <c r="AL9" s="14">
        <v>0.19806857621413201</v>
      </c>
      <c r="AM9" s="14">
        <v>0.259341051325231</v>
      </c>
      <c r="AN9" s="14">
        <v>0.22229377789931301</v>
      </c>
      <c r="AO9" s="14"/>
      <c r="AP9" s="14">
        <v>0.266285717062961</v>
      </c>
      <c r="AQ9" s="14">
        <v>0.219249807024957</v>
      </c>
      <c r="AR9" s="14"/>
      <c r="AS9" s="14">
        <v>0.30537304682057598</v>
      </c>
      <c r="AT9" s="14">
        <v>0.28764316039719701</v>
      </c>
      <c r="AU9" s="14">
        <v>0.214727886152836</v>
      </c>
      <c r="AV9" s="14"/>
      <c r="AW9" s="14">
        <v>0.24208306307498301</v>
      </c>
      <c r="AX9" s="14">
        <v>0.32529137405049002</v>
      </c>
      <c r="AY9" s="14"/>
      <c r="AZ9" s="14">
        <v>0.26534330772259801</v>
      </c>
      <c r="BA9" s="14">
        <v>0.16482327693773499</v>
      </c>
    </row>
    <row r="10" spans="2:53" x14ac:dyDescent="0.35">
      <c r="B10" s="15" t="s">
        <v>423</v>
      </c>
      <c r="C10" s="14">
        <v>0.35368981179277698</v>
      </c>
      <c r="D10" s="14">
        <v>0.37793445947683801</v>
      </c>
      <c r="E10" s="14">
        <v>0.329768685574576</v>
      </c>
      <c r="F10" s="14"/>
      <c r="G10" s="14">
        <v>0.37964208077279299</v>
      </c>
      <c r="H10" s="14">
        <v>0.36689145538592299</v>
      </c>
      <c r="I10" s="14">
        <v>0.34976663955611698</v>
      </c>
      <c r="J10" s="14">
        <v>0.35726588195313602</v>
      </c>
      <c r="K10" s="14">
        <v>0.35046466685558603</v>
      </c>
      <c r="L10" s="14">
        <v>0.27603939950873302</v>
      </c>
      <c r="M10" s="14"/>
      <c r="N10" s="14">
        <v>0.39791583024927202</v>
      </c>
      <c r="O10" s="14">
        <v>0.38595513042373902</v>
      </c>
      <c r="P10" s="14">
        <v>0.32550677031605302</v>
      </c>
      <c r="Q10" s="14">
        <v>0.29624537262803402</v>
      </c>
      <c r="R10" s="14"/>
      <c r="S10" s="14">
        <v>0.32454109800353198</v>
      </c>
      <c r="T10" s="14">
        <v>0.33258094299486601</v>
      </c>
      <c r="U10" s="14">
        <v>0.340705309308587</v>
      </c>
      <c r="V10" s="14">
        <v>0.30851100813307197</v>
      </c>
      <c r="W10" s="14">
        <v>0.39479021967493599</v>
      </c>
      <c r="X10" s="14">
        <v>0.35790825019420203</v>
      </c>
      <c r="Y10" s="14">
        <v>0.36401887060555499</v>
      </c>
      <c r="Z10" s="14">
        <v>0.46250584306831399</v>
      </c>
      <c r="AA10" s="14">
        <v>0.38227855489694901</v>
      </c>
      <c r="AB10" s="14"/>
      <c r="AC10" s="14">
        <v>0.31799081886479502</v>
      </c>
      <c r="AD10" s="14">
        <v>0.38074956627274298</v>
      </c>
      <c r="AE10" s="14">
        <v>0.389679513445159</v>
      </c>
      <c r="AF10" s="14">
        <v>0.32780593739376801</v>
      </c>
      <c r="AG10" s="14">
        <v>0.39800914271924298</v>
      </c>
      <c r="AH10" s="14"/>
      <c r="AI10" s="14">
        <v>0.34655587826305501</v>
      </c>
      <c r="AJ10" s="14">
        <v>0.40329198594899601</v>
      </c>
      <c r="AK10" s="14">
        <v>0.40861221565588601</v>
      </c>
      <c r="AL10" s="14">
        <v>0.36079365549938702</v>
      </c>
      <c r="AM10" s="14">
        <v>0.19147543735537101</v>
      </c>
      <c r="AN10" s="14">
        <v>0.31542844860846297</v>
      </c>
      <c r="AO10" s="14"/>
      <c r="AP10" s="14">
        <v>0.37409037578662702</v>
      </c>
      <c r="AQ10" s="14">
        <v>0.33187617579099599</v>
      </c>
      <c r="AR10" s="14"/>
      <c r="AS10" s="14">
        <v>0.40582808101058798</v>
      </c>
      <c r="AT10" s="14">
        <v>0.32256654883830099</v>
      </c>
      <c r="AU10" s="14">
        <v>0.34886058548655302</v>
      </c>
      <c r="AV10" s="14"/>
      <c r="AW10" s="14">
        <v>0.33864014873063403</v>
      </c>
      <c r="AX10" s="14">
        <v>0.43732269097016702</v>
      </c>
      <c r="AY10" s="14"/>
      <c r="AZ10" s="14">
        <v>0.38203010386060898</v>
      </c>
      <c r="BA10" s="14">
        <v>0.24701392652462401</v>
      </c>
    </row>
    <row r="11" spans="2:53" x14ac:dyDescent="0.35">
      <c r="B11" s="15" t="s">
        <v>87</v>
      </c>
      <c r="C11" s="14">
        <v>0.16395524582664001</v>
      </c>
      <c r="D11" s="14">
        <v>0.15179611765588499</v>
      </c>
      <c r="E11" s="14">
        <v>0.17531353891624901</v>
      </c>
      <c r="F11" s="14"/>
      <c r="G11" s="14">
        <v>0</v>
      </c>
      <c r="H11" s="14">
        <v>0.104463321432525</v>
      </c>
      <c r="I11" s="14">
        <v>0.16464152770757201</v>
      </c>
      <c r="J11" s="14">
        <v>0.17651415529280801</v>
      </c>
      <c r="K11" s="14">
        <v>0.22022345998534601</v>
      </c>
      <c r="L11" s="14">
        <v>0.19706588607471501</v>
      </c>
      <c r="M11" s="14"/>
      <c r="N11" s="14">
        <v>0.13840946789606301</v>
      </c>
      <c r="O11" s="14">
        <v>0.16397097785791201</v>
      </c>
      <c r="P11" s="14">
        <v>0.17552537674846799</v>
      </c>
      <c r="Q11" s="14">
        <v>0.178584532914009</v>
      </c>
      <c r="R11" s="14"/>
      <c r="S11" s="14">
        <v>0.13598117542941099</v>
      </c>
      <c r="T11" s="14">
        <v>0.14940128077819601</v>
      </c>
      <c r="U11" s="14">
        <v>0.189084815054154</v>
      </c>
      <c r="V11" s="14">
        <v>0.221455453203072</v>
      </c>
      <c r="W11" s="14">
        <v>0.15659824929104299</v>
      </c>
      <c r="X11" s="14">
        <v>0.19941807346922</v>
      </c>
      <c r="Y11" s="14">
        <v>0.18954061297413199</v>
      </c>
      <c r="Z11" s="14">
        <v>0.124015905420266</v>
      </c>
      <c r="AA11" s="14">
        <v>0.12149258251787499</v>
      </c>
      <c r="AB11" s="14"/>
      <c r="AC11" s="14">
        <v>0.20972041965838401</v>
      </c>
      <c r="AD11" s="14">
        <v>0.14366182511043701</v>
      </c>
      <c r="AE11" s="14">
        <v>0.16922694608106401</v>
      </c>
      <c r="AF11" s="14">
        <v>0.10078966483160499</v>
      </c>
      <c r="AG11" s="14">
        <v>0.120988027348647</v>
      </c>
      <c r="AH11" s="14"/>
      <c r="AI11" s="14">
        <v>0.116913402112752</v>
      </c>
      <c r="AJ11" s="14">
        <v>0.17013175631363101</v>
      </c>
      <c r="AK11" s="14">
        <v>0.123464158779458</v>
      </c>
      <c r="AL11" s="14">
        <v>0.167117121324667</v>
      </c>
      <c r="AM11" s="14">
        <v>0.221243797271472</v>
      </c>
      <c r="AN11" s="14">
        <v>0.26273330531570899</v>
      </c>
      <c r="AO11" s="14"/>
      <c r="AP11" s="14">
        <v>0.16292553438509899</v>
      </c>
      <c r="AQ11" s="14">
        <v>0.16444636899923201</v>
      </c>
      <c r="AR11" s="14"/>
      <c r="AS11" s="14">
        <v>0.13413046132790599</v>
      </c>
      <c r="AT11" s="14">
        <v>0.15215882342534201</v>
      </c>
      <c r="AU11" s="14">
        <v>0.17547028079181301</v>
      </c>
      <c r="AV11" s="14"/>
      <c r="AW11" s="14">
        <v>0.17433460909863699</v>
      </c>
      <c r="AX11" s="14">
        <v>9.0169045113689797E-2</v>
      </c>
      <c r="AY11" s="14"/>
      <c r="AZ11" s="14">
        <v>0.14709557971318901</v>
      </c>
      <c r="BA11" s="14">
        <v>0.22549339770164101</v>
      </c>
    </row>
    <row r="12" spans="2:53" x14ac:dyDescent="0.35">
      <c r="B12" s="15" t="s">
        <v>424</v>
      </c>
      <c r="C12" s="14">
        <v>0.16745396260158299</v>
      </c>
      <c r="D12" s="14">
        <v>0.156777907039445</v>
      </c>
      <c r="E12" s="14">
        <v>0.178300903728178</v>
      </c>
      <c r="F12" s="14"/>
      <c r="G12" s="14">
        <v>0</v>
      </c>
      <c r="H12" s="14">
        <v>0.173258807912059</v>
      </c>
      <c r="I12" s="14">
        <v>0.175355940271441</v>
      </c>
      <c r="J12" s="14">
        <v>0.16125805564662099</v>
      </c>
      <c r="K12" s="14">
        <v>0.14527186078732299</v>
      </c>
      <c r="L12" s="14">
        <v>0.19974489023074199</v>
      </c>
      <c r="M12" s="14"/>
      <c r="N12" s="14">
        <v>0.117699015510382</v>
      </c>
      <c r="O12" s="14">
        <v>0.15864026219911601</v>
      </c>
      <c r="P12" s="14">
        <v>0.214835654768193</v>
      </c>
      <c r="Q12" s="14">
        <v>0.19059939532669301</v>
      </c>
      <c r="R12" s="14"/>
      <c r="S12" s="14">
        <v>0.14004023949178901</v>
      </c>
      <c r="T12" s="14">
        <v>0.177156051567565</v>
      </c>
      <c r="U12" s="14">
        <v>0.156607284061064</v>
      </c>
      <c r="V12" s="14">
        <v>0.16086769286299099</v>
      </c>
      <c r="W12" s="14">
        <v>0.19507803438360999</v>
      </c>
      <c r="X12" s="14">
        <v>0.21210582874213099</v>
      </c>
      <c r="Y12" s="14">
        <v>0.15699999944621501</v>
      </c>
      <c r="Z12" s="14">
        <v>0.14688989809431799</v>
      </c>
      <c r="AA12" s="14">
        <v>0.165527178690276</v>
      </c>
      <c r="AB12" s="14"/>
      <c r="AC12" s="14">
        <v>0.22661492006943401</v>
      </c>
      <c r="AD12" s="14">
        <v>0.18243643225928499</v>
      </c>
      <c r="AE12" s="14">
        <v>0.127917182073604</v>
      </c>
      <c r="AF12" s="14">
        <v>0.13194251975414401</v>
      </c>
      <c r="AG12" s="14">
        <v>2.6479700470006501E-2</v>
      </c>
      <c r="AH12" s="14"/>
      <c r="AI12" s="14">
        <v>0.165570806436977</v>
      </c>
      <c r="AJ12" s="14">
        <v>0.17283584831978199</v>
      </c>
      <c r="AK12" s="14">
        <v>0.13691153160206701</v>
      </c>
      <c r="AL12" s="14">
        <v>0.22141408316615899</v>
      </c>
      <c r="AM12" s="14">
        <v>0.21780161477646701</v>
      </c>
      <c r="AN12" s="14">
        <v>0.11326311868594</v>
      </c>
      <c r="AO12" s="14"/>
      <c r="AP12" s="14">
        <v>0.14026112110748401</v>
      </c>
      <c r="AQ12" s="14">
        <v>0.19858938589921901</v>
      </c>
      <c r="AR12" s="14"/>
      <c r="AS12" s="14">
        <v>0.112034042859025</v>
      </c>
      <c r="AT12" s="14">
        <v>0.17370316178072501</v>
      </c>
      <c r="AU12" s="14">
        <v>0.180521536989529</v>
      </c>
      <c r="AV12" s="14"/>
      <c r="AW12" s="14">
        <v>0.17741545567162501</v>
      </c>
      <c r="AX12" s="14">
        <v>9.8216454249777804E-2</v>
      </c>
      <c r="AY12" s="14"/>
      <c r="AZ12" s="14">
        <v>0.14826866771522401</v>
      </c>
      <c r="BA12" s="14">
        <v>0.23988105092605599</v>
      </c>
    </row>
    <row r="13" spans="2:53" x14ac:dyDescent="0.35">
      <c r="B13" s="15" t="s">
        <v>425</v>
      </c>
      <c r="C13" s="23">
        <v>7.0804748030970796E-2</v>
      </c>
      <c r="D13" s="23">
        <v>5.0430778082691398E-2</v>
      </c>
      <c r="E13" s="23">
        <v>9.1263655144719902E-2</v>
      </c>
      <c r="F13" s="23"/>
      <c r="G13" s="23">
        <v>0.18127959358201301</v>
      </c>
      <c r="H13" s="23">
        <v>7.3855014349850895E-2</v>
      </c>
      <c r="I13" s="23">
        <v>6.4949453340394606E-2</v>
      </c>
      <c r="J13" s="23">
        <v>7.9012028536333198E-2</v>
      </c>
      <c r="K13" s="23">
        <v>7.2016873452923E-2</v>
      </c>
      <c r="L13" s="23">
        <v>0</v>
      </c>
      <c r="M13" s="23"/>
      <c r="N13" s="23">
        <v>7.0325666888245805E-2</v>
      </c>
      <c r="O13" s="23">
        <v>5.2405446488049102E-2</v>
      </c>
      <c r="P13" s="23">
        <v>5.8229136271915199E-2</v>
      </c>
      <c r="Q13" s="23">
        <v>0.102322371721459</v>
      </c>
      <c r="R13" s="23"/>
      <c r="S13" s="23">
        <v>8.6243090179193002E-2</v>
      </c>
      <c r="T13" s="23">
        <v>6.7848744817479503E-2</v>
      </c>
      <c r="U13" s="23">
        <v>5.3029828003623797E-2</v>
      </c>
      <c r="V13" s="23">
        <v>8.7639915719664396E-2</v>
      </c>
      <c r="W13" s="23">
        <v>6.6417649846037499E-2</v>
      </c>
      <c r="X13" s="23">
        <v>5.1973140546649303E-2</v>
      </c>
      <c r="Y13" s="23">
        <v>7.2367412967152198E-2</v>
      </c>
      <c r="Z13" s="23">
        <v>7.9743461813288799E-2</v>
      </c>
      <c r="AA13" s="23">
        <v>6.7856666740281305E-2</v>
      </c>
      <c r="AB13" s="23"/>
      <c r="AC13" s="23">
        <v>5.37592194434941E-2</v>
      </c>
      <c r="AD13" s="23">
        <v>8.7160612570647694E-2</v>
      </c>
      <c r="AE13" s="23">
        <v>5.63608856828779E-2</v>
      </c>
      <c r="AF13" s="23">
        <v>9.36727690682609E-2</v>
      </c>
      <c r="AG13" s="23">
        <v>5.1396112416944098E-2</v>
      </c>
      <c r="AH13" s="23"/>
      <c r="AI13" s="23">
        <v>7.8289989363690402E-2</v>
      </c>
      <c r="AJ13" s="23">
        <v>4.4256689694539601E-2</v>
      </c>
      <c r="AK13" s="23">
        <v>6.5934172532306698E-2</v>
      </c>
      <c r="AL13" s="23">
        <v>5.2606563795655301E-2</v>
      </c>
      <c r="AM13" s="23">
        <v>0.110138099271459</v>
      </c>
      <c r="AN13" s="23">
        <v>8.6281349490574297E-2</v>
      </c>
      <c r="AO13" s="23"/>
      <c r="AP13" s="23">
        <v>5.64372516578283E-2</v>
      </c>
      <c r="AQ13" s="23">
        <v>8.5838262285596503E-2</v>
      </c>
      <c r="AR13" s="23"/>
      <c r="AS13" s="23">
        <v>4.2634367981905397E-2</v>
      </c>
      <c r="AT13" s="23">
        <v>6.3928305558434401E-2</v>
      </c>
      <c r="AU13" s="23">
        <v>8.0419710579268694E-2</v>
      </c>
      <c r="AV13" s="23"/>
      <c r="AW13" s="23">
        <v>6.7526723424121304E-2</v>
      </c>
      <c r="AX13" s="23">
        <v>4.90004356158752E-2</v>
      </c>
      <c r="AY13" s="23"/>
      <c r="AZ13" s="23">
        <v>5.72623409883792E-2</v>
      </c>
      <c r="BA13" s="23">
        <v>0.122788347909944</v>
      </c>
    </row>
    <row r="14" spans="2:53" x14ac:dyDescent="0.35">
      <c r="B14" s="16"/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428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422</v>
      </c>
      <c r="C9" s="14">
        <v>0.26831984829557598</v>
      </c>
      <c r="D9" s="14">
        <v>0.29417697564046802</v>
      </c>
      <c r="E9" s="14">
        <v>0.242702185671691</v>
      </c>
      <c r="F9" s="14"/>
      <c r="G9" s="14">
        <v>0.18970316391389799</v>
      </c>
      <c r="H9" s="14">
        <v>0.26795760180421102</v>
      </c>
      <c r="I9" s="14">
        <v>0.26509856291801998</v>
      </c>
      <c r="J9" s="14">
        <v>0.265076798044247</v>
      </c>
      <c r="K9" s="14">
        <v>0.28006602589832802</v>
      </c>
      <c r="L9" s="14">
        <v>0.38545309985651899</v>
      </c>
      <c r="M9" s="14"/>
      <c r="N9" s="14">
        <v>0.26606240413481203</v>
      </c>
      <c r="O9" s="14">
        <v>0.25605635879475702</v>
      </c>
      <c r="P9" s="14">
        <v>0.26745157591892998</v>
      </c>
      <c r="Q9" s="14">
        <v>0.28484157048369702</v>
      </c>
      <c r="R9" s="14"/>
      <c r="S9" s="14">
        <v>0.333901054894997</v>
      </c>
      <c r="T9" s="14">
        <v>0.273515704868729</v>
      </c>
      <c r="U9" s="14">
        <v>0.247886312450119</v>
      </c>
      <c r="V9" s="14">
        <v>0.211607562837763</v>
      </c>
      <c r="W9" s="14">
        <v>0.28504405851469</v>
      </c>
      <c r="X9" s="14">
        <v>0.23648184259612301</v>
      </c>
      <c r="Y9" s="14">
        <v>0.25810091823598402</v>
      </c>
      <c r="Z9" s="14">
        <v>0.273051946756803</v>
      </c>
      <c r="AA9" s="14">
        <v>0.26407632837954698</v>
      </c>
      <c r="AB9" s="14"/>
      <c r="AC9" s="14">
        <v>0.275155234412229</v>
      </c>
      <c r="AD9" s="14">
        <v>0.227264412035487</v>
      </c>
      <c r="AE9" s="14">
        <v>0.245689670937736</v>
      </c>
      <c r="AF9" s="14">
        <v>0.36026516248159302</v>
      </c>
      <c r="AG9" s="14">
        <v>0.37084625471001897</v>
      </c>
      <c r="AH9" s="14"/>
      <c r="AI9" s="14">
        <v>0.29681974138976402</v>
      </c>
      <c r="AJ9" s="14">
        <v>0.28610781379832101</v>
      </c>
      <c r="AK9" s="14">
        <v>0.28689661417478102</v>
      </c>
      <c r="AL9" s="14">
        <v>0.24274409609522099</v>
      </c>
      <c r="AM9" s="14">
        <v>0.211206375684239</v>
      </c>
      <c r="AN9" s="14">
        <v>0.27004643184701099</v>
      </c>
      <c r="AO9" s="14"/>
      <c r="AP9" s="14">
        <v>0.27717818992337001</v>
      </c>
      <c r="AQ9" s="14">
        <v>0.25855089609477899</v>
      </c>
      <c r="AR9" s="14"/>
      <c r="AS9" s="14">
        <v>0.21910195130391999</v>
      </c>
      <c r="AT9" s="14">
        <v>0.27613963842364297</v>
      </c>
      <c r="AU9" s="14">
        <v>0.279253825903788</v>
      </c>
      <c r="AV9" s="14"/>
      <c r="AW9" s="14">
        <v>0.263611449050622</v>
      </c>
      <c r="AX9" s="14">
        <v>0.346465853933283</v>
      </c>
      <c r="AY9" s="14"/>
      <c r="AZ9" s="14">
        <v>0.29387617421088302</v>
      </c>
      <c r="BA9" s="14">
        <v>0.17348851487468001</v>
      </c>
    </row>
    <row r="10" spans="2:53" x14ac:dyDescent="0.35">
      <c r="B10" s="15" t="s">
        <v>423</v>
      </c>
      <c r="C10" s="14">
        <v>0.43929856663595401</v>
      </c>
      <c r="D10" s="14">
        <v>0.43933384910709899</v>
      </c>
      <c r="E10" s="14">
        <v>0.43871964781262401</v>
      </c>
      <c r="F10" s="14"/>
      <c r="G10" s="14">
        <v>0.65259762814454003</v>
      </c>
      <c r="H10" s="14">
        <v>0.38779408446660901</v>
      </c>
      <c r="I10" s="14">
        <v>0.44071631799904898</v>
      </c>
      <c r="J10" s="14">
        <v>0.462259334687672</v>
      </c>
      <c r="K10" s="14">
        <v>0.43772210427788499</v>
      </c>
      <c r="L10" s="14">
        <v>0.38421044861829801</v>
      </c>
      <c r="M10" s="14"/>
      <c r="N10" s="14">
        <v>0.45571789689840297</v>
      </c>
      <c r="O10" s="14">
        <v>0.45622517531501799</v>
      </c>
      <c r="P10" s="14">
        <v>0.45727144733658198</v>
      </c>
      <c r="Q10" s="14">
        <v>0.38775707150277</v>
      </c>
      <c r="R10" s="14"/>
      <c r="S10" s="14">
        <v>0.35161279977486798</v>
      </c>
      <c r="T10" s="14">
        <v>0.47390215496007598</v>
      </c>
      <c r="U10" s="14">
        <v>0.45491077380741601</v>
      </c>
      <c r="V10" s="14">
        <v>0.47857473701977898</v>
      </c>
      <c r="W10" s="14">
        <v>0.40601444330967601</v>
      </c>
      <c r="X10" s="14">
        <v>0.41658546428546001</v>
      </c>
      <c r="Y10" s="14">
        <v>0.44862968273798198</v>
      </c>
      <c r="Z10" s="14">
        <v>0.51089754698933298</v>
      </c>
      <c r="AA10" s="14">
        <v>0.46521727011052599</v>
      </c>
      <c r="AB10" s="14"/>
      <c r="AC10" s="14">
        <v>0.41566845678243303</v>
      </c>
      <c r="AD10" s="14">
        <v>0.47032775419880102</v>
      </c>
      <c r="AE10" s="14">
        <v>0.47327575745029898</v>
      </c>
      <c r="AF10" s="14">
        <v>0.37244425331307501</v>
      </c>
      <c r="AG10" s="14">
        <v>0.39371923236788797</v>
      </c>
      <c r="AH10" s="14"/>
      <c r="AI10" s="14">
        <v>0.40193375494854799</v>
      </c>
      <c r="AJ10" s="14">
        <v>0.48462559670259098</v>
      </c>
      <c r="AK10" s="14">
        <v>0.41491990462634998</v>
      </c>
      <c r="AL10" s="14">
        <v>0.50778247507272201</v>
      </c>
      <c r="AM10" s="14">
        <v>0.38049283567382203</v>
      </c>
      <c r="AN10" s="14">
        <v>0.39074690316250499</v>
      </c>
      <c r="AO10" s="14"/>
      <c r="AP10" s="14">
        <v>0.44122458273805798</v>
      </c>
      <c r="AQ10" s="14">
        <v>0.43854728369748902</v>
      </c>
      <c r="AR10" s="14"/>
      <c r="AS10" s="14">
        <v>0.468060817667041</v>
      </c>
      <c r="AT10" s="14">
        <v>0.42642257877294298</v>
      </c>
      <c r="AU10" s="14">
        <v>0.43536501000434702</v>
      </c>
      <c r="AV10" s="14"/>
      <c r="AW10" s="14">
        <v>0.43671866309480001</v>
      </c>
      <c r="AX10" s="14">
        <v>0.42188610480211403</v>
      </c>
      <c r="AY10" s="14"/>
      <c r="AZ10" s="14">
        <v>0.43812611655691203</v>
      </c>
      <c r="BA10" s="14">
        <v>0.44183639142645598</v>
      </c>
    </row>
    <row r="11" spans="2:53" x14ac:dyDescent="0.35">
      <c r="B11" s="15" t="s">
        <v>87</v>
      </c>
      <c r="C11" s="14">
        <v>0.163255233429282</v>
      </c>
      <c r="D11" s="14">
        <v>0.14575302435739901</v>
      </c>
      <c r="E11" s="14">
        <v>0.18092971550019901</v>
      </c>
      <c r="F11" s="14"/>
      <c r="G11" s="14">
        <v>0.157699207941562</v>
      </c>
      <c r="H11" s="14">
        <v>0.15237612783465601</v>
      </c>
      <c r="I11" s="14">
        <v>0.150851360900813</v>
      </c>
      <c r="J11" s="14">
        <v>0.17911853150686399</v>
      </c>
      <c r="K11" s="14">
        <v>0.17713498333525901</v>
      </c>
      <c r="L11" s="14">
        <v>0.23033645152518301</v>
      </c>
      <c r="M11" s="14"/>
      <c r="N11" s="14">
        <v>0.17307049787412099</v>
      </c>
      <c r="O11" s="14">
        <v>0.172970646365042</v>
      </c>
      <c r="P11" s="14">
        <v>0.13415790781703399</v>
      </c>
      <c r="Q11" s="14">
        <v>0.16649662228207401</v>
      </c>
      <c r="R11" s="14"/>
      <c r="S11" s="14">
        <v>0.13709773313922</v>
      </c>
      <c r="T11" s="14">
        <v>0.165426364299087</v>
      </c>
      <c r="U11" s="14">
        <v>0.145436980549765</v>
      </c>
      <c r="V11" s="14">
        <v>0.20673837739342199</v>
      </c>
      <c r="W11" s="14">
        <v>0.180474849908457</v>
      </c>
      <c r="X11" s="14">
        <v>0.18387401572689399</v>
      </c>
      <c r="Y11" s="14">
        <v>0.18597522742234299</v>
      </c>
      <c r="Z11" s="14">
        <v>0.128011900463008</v>
      </c>
      <c r="AA11" s="14">
        <v>0.13782805153410699</v>
      </c>
      <c r="AB11" s="14"/>
      <c r="AC11" s="14">
        <v>0.163829024437469</v>
      </c>
      <c r="AD11" s="14">
        <v>0.18433119457865199</v>
      </c>
      <c r="AE11" s="14">
        <v>0.17021299938835999</v>
      </c>
      <c r="AF11" s="14">
        <v>0.116576829444487</v>
      </c>
      <c r="AG11" s="14">
        <v>0.13664396106948001</v>
      </c>
      <c r="AH11" s="14"/>
      <c r="AI11" s="14">
        <v>0.134733105238661</v>
      </c>
      <c r="AJ11" s="14">
        <v>0.109100828855922</v>
      </c>
      <c r="AK11" s="14">
        <v>0.22154449778257801</v>
      </c>
      <c r="AL11" s="14">
        <v>0.14876344086169899</v>
      </c>
      <c r="AM11" s="14">
        <v>0.223471618838122</v>
      </c>
      <c r="AN11" s="14">
        <v>0.223957040209673</v>
      </c>
      <c r="AO11" s="14"/>
      <c r="AP11" s="14">
        <v>0.15076018433308599</v>
      </c>
      <c r="AQ11" s="14">
        <v>0.17528409254417801</v>
      </c>
      <c r="AR11" s="14"/>
      <c r="AS11" s="14">
        <v>0.17457188010492999</v>
      </c>
      <c r="AT11" s="14">
        <v>0.14761743876206099</v>
      </c>
      <c r="AU11" s="14">
        <v>0.16483355022363699</v>
      </c>
      <c r="AV11" s="14"/>
      <c r="AW11" s="14">
        <v>0.180918761074118</v>
      </c>
      <c r="AX11" s="14">
        <v>9.2492727194510196E-2</v>
      </c>
      <c r="AY11" s="14"/>
      <c r="AZ11" s="14">
        <v>0.146826333216099</v>
      </c>
      <c r="BA11" s="14">
        <v>0.22544803484998499</v>
      </c>
    </row>
    <row r="12" spans="2:53" x14ac:dyDescent="0.35">
      <c r="B12" s="15" t="s">
        <v>424</v>
      </c>
      <c r="C12" s="14">
        <v>0.105783060394329</v>
      </c>
      <c r="D12" s="14">
        <v>9.8081507056864803E-2</v>
      </c>
      <c r="E12" s="14">
        <v>0.113593330066295</v>
      </c>
      <c r="F12" s="14"/>
      <c r="G12" s="14">
        <v>0</v>
      </c>
      <c r="H12" s="14">
        <v>0.14299520023967099</v>
      </c>
      <c r="I12" s="14">
        <v>0.121515626516427</v>
      </c>
      <c r="J12" s="14">
        <v>7.6439079292999507E-2</v>
      </c>
      <c r="K12" s="14">
        <v>9.0326676890892896E-2</v>
      </c>
      <c r="L12" s="14">
        <v>0</v>
      </c>
      <c r="M12" s="14"/>
      <c r="N12" s="14">
        <v>8.3951432421039293E-2</v>
      </c>
      <c r="O12" s="14">
        <v>9.6203628071697703E-2</v>
      </c>
      <c r="P12" s="14">
        <v>0.124959432606377</v>
      </c>
      <c r="Q12" s="14">
        <v>0.123668853353852</v>
      </c>
      <c r="R12" s="14"/>
      <c r="S12" s="14">
        <v>0.13225109075146099</v>
      </c>
      <c r="T12" s="14">
        <v>7.7688557518955897E-2</v>
      </c>
      <c r="U12" s="14">
        <v>0.13648035550825399</v>
      </c>
      <c r="V12" s="14">
        <v>7.7293047244722995E-2</v>
      </c>
      <c r="W12" s="14">
        <v>9.8379550624043896E-2</v>
      </c>
      <c r="X12" s="14">
        <v>0.13299236842072301</v>
      </c>
      <c r="Y12" s="14">
        <v>9.2135240738470195E-2</v>
      </c>
      <c r="Z12" s="14">
        <v>7.5912631239931597E-2</v>
      </c>
      <c r="AA12" s="14">
        <v>0.114362825178922</v>
      </c>
      <c r="AB12" s="14"/>
      <c r="AC12" s="14">
        <v>0.108542816451041</v>
      </c>
      <c r="AD12" s="14">
        <v>0.109971457797217</v>
      </c>
      <c r="AE12" s="14">
        <v>9.2181855001802496E-2</v>
      </c>
      <c r="AF12" s="14">
        <v>0.115548829733103</v>
      </c>
      <c r="AG12" s="14">
        <v>8.8083935769417102E-2</v>
      </c>
      <c r="AH12" s="14"/>
      <c r="AI12" s="14">
        <v>0.13701815287727401</v>
      </c>
      <c r="AJ12" s="14">
        <v>0.101692775033647</v>
      </c>
      <c r="AK12" s="14">
        <v>6.5492526848039703E-2</v>
      </c>
      <c r="AL12" s="14">
        <v>8.5032047216698103E-2</v>
      </c>
      <c r="AM12" s="14">
        <v>0.17483327820088401</v>
      </c>
      <c r="AN12" s="14">
        <v>7.22651271921122E-2</v>
      </c>
      <c r="AO12" s="14"/>
      <c r="AP12" s="14">
        <v>0.10723375963680699</v>
      </c>
      <c r="AQ12" s="14">
        <v>0.104491734110064</v>
      </c>
      <c r="AR12" s="14"/>
      <c r="AS12" s="14">
        <v>0.11379558751026</v>
      </c>
      <c r="AT12" s="14">
        <v>0.126895913796473</v>
      </c>
      <c r="AU12" s="14">
        <v>9.7383640367857197E-2</v>
      </c>
      <c r="AV12" s="14"/>
      <c r="AW12" s="14">
        <v>9.8554210377807899E-2</v>
      </c>
      <c r="AX12" s="14">
        <v>0.10298594735434299</v>
      </c>
      <c r="AY12" s="14"/>
      <c r="AZ12" s="14">
        <v>0.100379169309031</v>
      </c>
      <c r="BA12" s="14">
        <v>0.12588086382184599</v>
      </c>
    </row>
    <row r="13" spans="2:53" x14ac:dyDescent="0.35">
      <c r="B13" s="15" t="s">
        <v>425</v>
      </c>
      <c r="C13" s="23">
        <v>2.3343291244859499E-2</v>
      </c>
      <c r="D13" s="23">
        <v>2.2654643838169099E-2</v>
      </c>
      <c r="E13" s="23">
        <v>2.4055120949190802E-2</v>
      </c>
      <c r="F13" s="23"/>
      <c r="G13" s="23">
        <v>0</v>
      </c>
      <c r="H13" s="23">
        <v>4.8876985654853398E-2</v>
      </c>
      <c r="I13" s="23">
        <v>2.1818131665690001E-2</v>
      </c>
      <c r="J13" s="23">
        <v>1.7106256468218398E-2</v>
      </c>
      <c r="K13" s="23">
        <v>1.47502095976348E-2</v>
      </c>
      <c r="L13" s="23">
        <v>0</v>
      </c>
      <c r="M13" s="23"/>
      <c r="N13" s="23">
        <v>2.1197768671625698E-2</v>
      </c>
      <c r="O13" s="23">
        <v>1.8544191453485698E-2</v>
      </c>
      <c r="P13" s="23">
        <v>1.6159636321077399E-2</v>
      </c>
      <c r="Q13" s="23">
        <v>3.7235882377607402E-2</v>
      </c>
      <c r="R13" s="23"/>
      <c r="S13" s="23">
        <v>4.5137321439454002E-2</v>
      </c>
      <c r="T13" s="23">
        <v>9.4672183531514294E-3</v>
      </c>
      <c r="U13" s="23">
        <v>1.5285577684446E-2</v>
      </c>
      <c r="V13" s="23">
        <v>2.5786275504312901E-2</v>
      </c>
      <c r="W13" s="23">
        <v>3.00870976431327E-2</v>
      </c>
      <c r="X13" s="23">
        <v>3.0066308970799701E-2</v>
      </c>
      <c r="Y13" s="23">
        <v>1.5158930865221E-2</v>
      </c>
      <c r="Z13" s="23">
        <v>1.2125974550924601E-2</v>
      </c>
      <c r="AA13" s="23">
        <v>1.8515524796897501E-2</v>
      </c>
      <c r="AB13" s="23"/>
      <c r="AC13" s="23">
        <v>3.6804467916828003E-2</v>
      </c>
      <c r="AD13" s="23">
        <v>8.1051813898426698E-3</v>
      </c>
      <c r="AE13" s="23">
        <v>1.8639717221802E-2</v>
      </c>
      <c r="AF13" s="23">
        <v>3.5164925027741302E-2</v>
      </c>
      <c r="AG13" s="23">
        <v>1.07066160831959E-2</v>
      </c>
      <c r="AH13" s="23"/>
      <c r="AI13" s="23">
        <v>2.9495245545753699E-2</v>
      </c>
      <c r="AJ13" s="23">
        <v>1.84729856095187E-2</v>
      </c>
      <c r="AK13" s="23">
        <v>1.11464565682517E-2</v>
      </c>
      <c r="AL13" s="23">
        <v>1.5677940753660299E-2</v>
      </c>
      <c r="AM13" s="23">
        <v>9.9958916029331598E-3</v>
      </c>
      <c r="AN13" s="23">
        <v>4.29844975886991E-2</v>
      </c>
      <c r="AO13" s="23"/>
      <c r="AP13" s="23">
        <v>2.3603283368679999E-2</v>
      </c>
      <c r="AQ13" s="23">
        <v>2.3125993553489502E-2</v>
      </c>
      <c r="AR13" s="23"/>
      <c r="AS13" s="23">
        <v>2.4469763413849401E-2</v>
      </c>
      <c r="AT13" s="23">
        <v>2.2924430244880601E-2</v>
      </c>
      <c r="AU13" s="23">
        <v>2.31639735003717E-2</v>
      </c>
      <c r="AV13" s="23"/>
      <c r="AW13" s="23">
        <v>2.0196916402652601E-2</v>
      </c>
      <c r="AX13" s="23">
        <v>3.6169366715748698E-2</v>
      </c>
      <c r="AY13" s="23"/>
      <c r="AZ13" s="23">
        <v>2.07922067070751E-2</v>
      </c>
      <c r="BA13" s="23">
        <v>3.3346195027033197E-2</v>
      </c>
    </row>
    <row r="14" spans="2:53" x14ac:dyDescent="0.35">
      <c r="B14" s="16"/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429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422</v>
      </c>
      <c r="C9" s="14">
        <v>0.111359918871077</v>
      </c>
      <c r="D9" s="14">
        <v>0.12876593853864399</v>
      </c>
      <c r="E9" s="14">
        <v>9.4047946474814001E-2</v>
      </c>
      <c r="F9" s="14"/>
      <c r="G9" s="14">
        <v>0.26444187673094899</v>
      </c>
      <c r="H9" s="14">
        <v>0.107749689179348</v>
      </c>
      <c r="I9" s="14">
        <v>0.113987041417596</v>
      </c>
      <c r="J9" s="14">
        <v>9.2021876906212899E-2</v>
      </c>
      <c r="K9" s="14">
        <v>0.14055845786366999</v>
      </c>
      <c r="L9" s="14">
        <v>0.22355518686089099</v>
      </c>
      <c r="M9" s="14"/>
      <c r="N9" s="14">
        <v>0.11184600138202901</v>
      </c>
      <c r="O9" s="14">
        <v>8.4411754259227506E-2</v>
      </c>
      <c r="P9" s="14">
        <v>0.111529878190797</v>
      </c>
      <c r="Q9" s="14">
        <v>0.13997773299990299</v>
      </c>
      <c r="R9" s="14"/>
      <c r="S9" s="14">
        <v>0.13039880233537099</v>
      </c>
      <c r="T9" s="14">
        <v>0.15191732982365599</v>
      </c>
      <c r="U9" s="14">
        <v>9.7965578125184999E-2</v>
      </c>
      <c r="V9" s="14">
        <v>6.72829660792129E-2</v>
      </c>
      <c r="W9" s="14">
        <v>0.114137249804415</v>
      </c>
      <c r="X9" s="14">
        <v>0.10353740084539401</v>
      </c>
      <c r="Y9" s="14">
        <v>8.1962504459149599E-2</v>
      </c>
      <c r="Z9" s="14">
        <v>0.12696842155037899</v>
      </c>
      <c r="AA9" s="14">
        <v>0.106488480280766</v>
      </c>
      <c r="AB9" s="14"/>
      <c r="AC9" s="14">
        <v>0.118575297047312</v>
      </c>
      <c r="AD9" s="14">
        <v>8.3602916840147395E-2</v>
      </c>
      <c r="AE9" s="14">
        <v>9.8746094138863205E-2</v>
      </c>
      <c r="AF9" s="14">
        <v>0.145457106860646</v>
      </c>
      <c r="AG9" s="14">
        <v>0.24326349395174399</v>
      </c>
      <c r="AH9" s="14"/>
      <c r="AI9" s="14">
        <v>0.13761953355314099</v>
      </c>
      <c r="AJ9" s="14">
        <v>0.107238154320806</v>
      </c>
      <c r="AK9" s="14">
        <v>0.117978501918059</v>
      </c>
      <c r="AL9" s="14">
        <v>0.102882790895531</v>
      </c>
      <c r="AM9" s="14">
        <v>8.2893346974895199E-2</v>
      </c>
      <c r="AN9" s="14">
        <v>9.8397123252879998E-2</v>
      </c>
      <c r="AO9" s="14"/>
      <c r="AP9" s="14">
        <v>0.109996585431896</v>
      </c>
      <c r="AQ9" s="14">
        <v>0.112585939441361</v>
      </c>
      <c r="AR9" s="14"/>
      <c r="AS9" s="14">
        <v>0.11816143442725199</v>
      </c>
      <c r="AT9" s="14">
        <v>0.10089688024071899</v>
      </c>
      <c r="AU9" s="14">
        <v>0.112623264299943</v>
      </c>
      <c r="AV9" s="14"/>
      <c r="AW9" s="14">
        <v>0.107133584752136</v>
      </c>
      <c r="AX9" s="14">
        <v>0.15745588866489699</v>
      </c>
      <c r="AY9" s="14"/>
      <c r="AZ9" s="14">
        <v>0.11921953595775001</v>
      </c>
      <c r="BA9" s="14">
        <v>7.9213298218333297E-2</v>
      </c>
    </row>
    <row r="10" spans="2:53" x14ac:dyDescent="0.35">
      <c r="B10" s="15" t="s">
        <v>423</v>
      </c>
      <c r="C10" s="14">
        <v>0.20293071809954899</v>
      </c>
      <c r="D10" s="14">
        <v>0.20476036305256001</v>
      </c>
      <c r="E10" s="14">
        <v>0.200326839985664</v>
      </c>
      <c r="F10" s="14"/>
      <c r="G10" s="14">
        <v>0.22373642782929901</v>
      </c>
      <c r="H10" s="14">
        <v>0.19619989260517301</v>
      </c>
      <c r="I10" s="14">
        <v>0.21520652982194499</v>
      </c>
      <c r="J10" s="14">
        <v>0.19187865623052699</v>
      </c>
      <c r="K10" s="14">
        <v>0.192442629780116</v>
      </c>
      <c r="L10" s="14">
        <v>0.19150783675483801</v>
      </c>
      <c r="M10" s="14"/>
      <c r="N10" s="14">
        <v>0.17534432639042</v>
      </c>
      <c r="O10" s="14">
        <v>0.19630274484044499</v>
      </c>
      <c r="P10" s="14">
        <v>0.24408549966266799</v>
      </c>
      <c r="Q10" s="14">
        <v>0.204090815502977</v>
      </c>
      <c r="R10" s="14"/>
      <c r="S10" s="14">
        <v>0.203736124638108</v>
      </c>
      <c r="T10" s="14">
        <v>0.199295965041312</v>
      </c>
      <c r="U10" s="14">
        <v>0.23565439872248001</v>
      </c>
      <c r="V10" s="14">
        <v>0.17147977940216599</v>
      </c>
      <c r="W10" s="14">
        <v>0.19333510547010699</v>
      </c>
      <c r="X10" s="14">
        <v>0.210401434186096</v>
      </c>
      <c r="Y10" s="14">
        <v>0.21086979899625299</v>
      </c>
      <c r="Z10" s="14">
        <v>0.199516361986977</v>
      </c>
      <c r="AA10" s="14">
        <v>0.20384974777443801</v>
      </c>
      <c r="AB10" s="14"/>
      <c r="AC10" s="14">
        <v>0.22531823203596801</v>
      </c>
      <c r="AD10" s="14">
        <v>0.21792984974087201</v>
      </c>
      <c r="AE10" s="14">
        <v>0.20053187826730801</v>
      </c>
      <c r="AF10" s="14">
        <v>0.1885120295646</v>
      </c>
      <c r="AG10" s="14">
        <v>0.166532127687752</v>
      </c>
      <c r="AH10" s="14"/>
      <c r="AI10" s="14">
        <v>0.18713815188156999</v>
      </c>
      <c r="AJ10" s="14">
        <v>0.25882527547067602</v>
      </c>
      <c r="AK10" s="14">
        <v>0.17502752693788101</v>
      </c>
      <c r="AL10" s="14">
        <v>0.15314841087449699</v>
      </c>
      <c r="AM10" s="14">
        <v>0.18159469531092101</v>
      </c>
      <c r="AN10" s="14">
        <v>0.18659396035492001</v>
      </c>
      <c r="AO10" s="14"/>
      <c r="AP10" s="14">
        <v>0.199684348647928</v>
      </c>
      <c r="AQ10" s="14">
        <v>0.20723733646093201</v>
      </c>
      <c r="AR10" s="14"/>
      <c r="AS10" s="14">
        <v>0.19887326630578001</v>
      </c>
      <c r="AT10" s="14">
        <v>0.24569230589857399</v>
      </c>
      <c r="AU10" s="14">
        <v>0.19137832316328801</v>
      </c>
      <c r="AV10" s="14"/>
      <c r="AW10" s="14">
        <v>0.198722652105432</v>
      </c>
      <c r="AX10" s="14">
        <v>0.21429922490235401</v>
      </c>
      <c r="AY10" s="14"/>
      <c r="AZ10" s="14">
        <v>0.194449300916196</v>
      </c>
      <c r="BA10" s="14">
        <v>0.232814309041391</v>
      </c>
    </row>
    <row r="11" spans="2:53" x14ac:dyDescent="0.35">
      <c r="B11" s="15" t="s">
        <v>87</v>
      </c>
      <c r="C11" s="14">
        <v>0.14015424476638899</v>
      </c>
      <c r="D11" s="14">
        <v>0.101985997970219</v>
      </c>
      <c r="E11" s="14">
        <v>0.178488892294765</v>
      </c>
      <c r="F11" s="14"/>
      <c r="G11" s="14">
        <v>0</v>
      </c>
      <c r="H11" s="14">
        <v>0.15721367816325699</v>
      </c>
      <c r="I11" s="14">
        <v>0.14795374174588599</v>
      </c>
      <c r="J11" s="14">
        <v>0.13409490910608901</v>
      </c>
      <c r="K11" s="14">
        <v>0.11699230723423901</v>
      </c>
      <c r="L11" s="14">
        <v>5.8114362938994198E-2</v>
      </c>
      <c r="M11" s="14"/>
      <c r="N11" s="14">
        <v>0.12291672023101601</v>
      </c>
      <c r="O11" s="14">
        <v>0.14914329786223701</v>
      </c>
      <c r="P11" s="14">
        <v>0.13361870796622199</v>
      </c>
      <c r="Q11" s="14">
        <v>0.156807533963256</v>
      </c>
      <c r="R11" s="14"/>
      <c r="S11" s="14">
        <v>0.11400621988463</v>
      </c>
      <c r="T11" s="14">
        <v>0.105501007018655</v>
      </c>
      <c r="U11" s="14">
        <v>0.16771276324811299</v>
      </c>
      <c r="V11" s="14">
        <v>0.18507451575199699</v>
      </c>
      <c r="W11" s="14">
        <v>0.15988352161806399</v>
      </c>
      <c r="X11" s="14">
        <v>0.16437002224658101</v>
      </c>
      <c r="Y11" s="14">
        <v>0.126494830932047</v>
      </c>
      <c r="Z11" s="14">
        <v>0.160065444620621</v>
      </c>
      <c r="AA11" s="14">
        <v>0.12617311712580301</v>
      </c>
      <c r="AB11" s="14"/>
      <c r="AC11" s="14">
        <v>0.15948652374013</v>
      </c>
      <c r="AD11" s="14">
        <v>0.12353430082500701</v>
      </c>
      <c r="AE11" s="14">
        <v>0.153667174794792</v>
      </c>
      <c r="AF11" s="14">
        <v>0.115650858517264</v>
      </c>
      <c r="AG11" s="14">
        <v>0.15327441598708899</v>
      </c>
      <c r="AH11" s="14"/>
      <c r="AI11" s="14">
        <v>0.13086412304796</v>
      </c>
      <c r="AJ11" s="14">
        <v>9.2569866129095596E-2</v>
      </c>
      <c r="AK11" s="14">
        <v>0.13445481439791801</v>
      </c>
      <c r="AL11" s="14">
        <v>0.109889749770598</v>
      </c>
      <c r="AM11" s="14">
        <v>0.22032809165401701</v>
      </c>
      <c r="AN11" s="14">
        <v>0.182946295052243</v>
      </c>
      <c r="AO11" s="14"/>
      <c r="AP11" s="14">
        <v>0.143045871982974</v>
      </c>
      <c r="AQ11" s="14">
        <v>0.13479648695292201</v>
      </c>
      <c r="AR11" s="14"/>
      <c r="AS11" s="14">
        <v>0.132292443440337</v>
      </c>
      <c r="AT11" s="14">
        <v>0.111646340882325</v>
      </c>
      <c r="AU11" s="14">
        <v>0.15069978023205099</v>
      </c>
      <c r="AV11" s="14"/>
      <c r="AW11" s="14">
        <v>0.14765213304521499</v>
      </c>
      <c r="AX11" s="14">
        <v>9.4713262215886801E-2</v>
      </c>
      <c r="AY11" s="14"/>
      <c r="AZ11" s="14">
        <v>0.12642096960610599</v>
      </c>
      <c r="BA11" s="14">
        <v>0.191810295792057</v>
      </c>
    </row>
    <row r="12" spans="2:53" x14ac:dyDescent="0.35">
      <c r="B12" s="15" t="s">
        <v>424</v>
      </c>
      <c r="C12" s="14">
        <v>0.36382963274934699</v>
      </c>
      <c r="D12" s="14">
        <v>0.37964813823815002</v>
      </c>
      <c r="E12" s="14">
        <v>0.34835121693660298</v>
      </c>
      <c r="F12" s="14"/>
      <c r="G12" s="14">
        <v>0.464669165667835</v>
      </c>
      <c r="H12" s="14">
        <v>0.33000121073176703</v>
      </c>
      <c r="I12" s="14">
        <v>0.344329291153672</v>
      </c>
      <c r="J12" s="14">
        <v>0.39470828463638702</v>
      </c>
      <c r="K12" s="14">
        <v>0.39299260824759602</v>
      </c>
      <c r="L12" s="14">
        <v>0.43277332413825798</v>
      </c>
      <c r="M12" s="14"/>
      <c r="N12" s="14">
        <v>0.38331920839102701</v>
      </c>
      <c r="O12" s="14">
        <v>0.38627929887249002</v>
      </c>
      <c r="P12" s="14">
        <v>0.34518163606041402</v>
      </c>
      <c r="Q12" s="14">
        <v>0.33665911010410898</v>
      </c>
      <c r="R12" s="14"/>
      <c r="S12" s="14">
        <v>0.34162192517833201</v>
      </c>
      <c r="T12" s="14">
        <v>0.36836152165305103</v>
      </c>
      <c r="U12" s="14">
        <v>0.406088203297999</v>
      </c>
      <c r="V12" s="14">
        <v>0.400729905569848</v>
      </c>
      <c r="W12" s="14">
        <v>0.33129882000600203</v>
      </c>
      <c r="X12" s="14">
        <v>0.37819681924996201</v>
      </c>
      <c r="Y12" s="14">
        <v>0.389923960852323</v>
      </c>
      <c r="Z12" s="14">
        <v>0.34023222977503398</v>
      </c>
      <c r="AA12" s="14">
        <v>0.32207836183523197</v>
      </c>
      <c r="AB12" s="14"/>
      <c r="AC12" s="14">
        <v>0.31270025393339501</v>
      </c>
      <c r="AD12" s="14">
        <v>0.397025352854047</v>
      </c>
      <c r="AE12" s="14">
        <v>0.38491016141360501</v>
      </c>
      <c r="AF12" s="14">
        <v>0.32053246556061299</v>
      </c>
      <c r="AG12" s="14">
        <v>0.32389230143589098</v>
      </c>
      <c r="AH12" s="14"/>
      <c r="AI12" s="14">
        <v>0.34860778057353897</v>
      </c>
      <c r="AJ12" s="14">
        <v>0.32543544361009102</v>
      </c>
      <c r="AK12" s="14">
        <v>0.38181534025393998</v>
      </c>
      <c r="AL12" s="14">
        <v>0.44209886619850203</v>
      </c>
      <c r="AM12" s="14">
        <v>0.38824863039012197</v>
      </c>
      <c r="AN12" s="14">
        <v>0.42279741534349002</v>
      </c>
      <c r="AO12" s="14"/>
      <c r="AP12" s="14">
        <v>0.360310450961287</v>
      </c>
      <c r="AQ12" s="14">
        <v>0.36896174231065498</v>
      </c>
      <c r="AR12" s="14"/>
      <c r="AS12" s="14">
        <v>0.40960644316885603</v>
      </c>
      <c r="AT12" s="14">
        <v>0.35078981593375003</v>
      </c>
      <c r="AU12" s="14">
        <v>0.35536530840020503</v>
      </c>
      <c r="AV12" s="14"/>
      <c r="AW12" s="14">
        <v>0.37386102963753598</v>
      </c>
      <c r="AX12" s="14">
        <v>0.29005087705654697</v>
      </c>
      <c r="AY12" s="14"/>
      <c r="AZ12" s="14">
        <v>0.36636880151451401</v>
      </c>
      <c r="BA12" s="14">
        <v>0.35710710297562798</v>
      </c>
    </row>
    <row r="13" spans="2:53" x14ac:dyDescent="0.35">
      <c r="B13" s="15" t="s">
        <v>425</v>
      </c>
      <c r="C13" s="23">
        <v>0.18172548551363801</v>
      </c>
      <c r="D13" s="23">
        <v>0.18483956220042699</v>
      </c>
      <c r="E13" s="23">
        <v>0.178785104308154</v>
      </c>
      <c r="F13" s="23"/>
      <c r="G13" s="23">
        <v>4.7152529771917098E-2</v>
      </c>
      <c r="H13" s="23">
        <v>0.20883552932045499</v>
      </c>
      <c r="I13" s="23">
        <v>0.17852339586090099</v>
      </c>
      <c r="J13" s="23">
        <v>0.18729627312078401</v>
      </c>
      <c r="K13" s="23">
        <v>0.157013996874378</v>
      </c>
      <c r="L13" s="23">
        <v>9.4049289307019598E-2</v>
      </c>
      <c r="M13" s="23"/>
      <c r="N13" s="23">
        <v>0.20657374360550901</v>
      </c>
      <c r="O13" s="23">
        <v>0.1838629041656</v>
      </c>
      <c r="P13" s="23">
        <v>0.16558427811989901</v>
      </c>
      <c r="Q13" s="23">
        <v>0.162464807429754</v>
      </c>
      <c r="R13" s="23"/>
      <c r="S13" s="23">
        <v>0.210236927963559</v>
      </c>
      <c r="T13" s="23">
        <v>0.174924176463327</v>
      </c>
      <c r="U13" s="23">
        <v>9.2579056606223203E-2</v>
      </c>
      <c r="V13" s="23">
        <v>0.17543283319677599</v>
      </c>
      <c r="W13" s="23">
        <v>0.20134530310141299</v>
      </c>
      <c r="X13" s="23">
        <v>0.143494323471967</v>
      </c>
      <c r="Y13" s="23">
        <v>0.19074890476022699</v>
      </c>
      <c r="Z13" s="23">
        <v>0.173217542066989</v>
      </c>
      <c r="AA13" s="23">
        <v>0.24141029298376099</v>
      </c>
      <c r="AB13" s="23"/>
      <c r="AC13" s="23">
        <v>0.18391969324319499</v>
      </c>
      <c r="AD13" s="23">
        <v>0.17790757973992599</v>
      </c>
      <c r="AE13" s="23">
        <v>0.162144691385432</v>
      </c>
      <c r="AF13" s="23">
        <v>0.229847539496878</v>
      </c>
      <c r="AG13" s="23">
        <v>0.113037660937524</v>
      </c>
      <c r="AH13" s="23"/>
      <c r="AI13" s="23">
        <v>0.195770410943791</v>
      </c>
      <c r="AJ13" s="23">
        <v>0.215931260469331</v>
      </c>
      <c r="AK13" s="23">
        <v>0.19072381649220199</v>
      </c>
      <c r="AL13" s="23">
        <v>0.19198018226087099</v>
      </c>
      <c r="AM13" s="23">
        <v>0.126935235670045</v>
      </c>
      <c r="AN13" s="23">
        <v>0.109265205996467</v>
      </c>
      <c r="AO13" s="23"/>
      <c r="AP13" s="23">
        <v>0.186962742975915</v>
      </c>
      <c r="AQ13" s="23">
        <v>0.176418494834129</v>
      </c>
      <c r="AR13" s="23"/>
      <c r="AS13" s="23">
        <v>0.141066412657776</v>
      </c>
      <c r="AT13" s="23">
        <v>0.19097465704463201</v>
      </c>
      <c r="AU13" s="23">
        <v>0.18993332390451401</v>
      </c>
      <c r="AV13" s="23"/>
      <c r="AW13" s="23">
        <v>0.17263060045968001</v>
      </c>
      <c r="AX13" s="23">
        <v>0.24348074716031501</v>
      </c>
      <c r="AY13" s="23"/>
      <c r="AZ13" s="23">
        <v>0.19354139200543399</v>
      </c>
      <c r="BA13" s="23">
        <v>0.139054993972591</v>
      </c>
    </row>
    <row r="14" spans="2:53" x14ac:dyDescent="0.35">
      <c r="B14" s="16"/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B2:B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434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29" x14ac:dyDescent="0.35">
      <c r="B9" s="15" t="s">
        <v>430</v>
      </c>
      <c r="C9" s="14">
        <v>0.121367795397782</v>
      </c>
      <c r="D9" s="14">
        <v>0.14272680276047001</v>
      </c>
      <c r="E9" s="14">
        <v>0.100109377295216</v>
      </c>
      <c r="F9" s="14"/>
      <c r="G9" s="14">
        <v>0.359811054253864</v>
      </c>
      <c r="H9" s="14">
        <v>0.178077811551515</v>
      </c>
      <c r="I9" s="14">
        <v>0.126595775270269</v>
      </c>
      <c r="J9" s="14">
        <v>0.102406775453077</v>
      </c>
      <c r="K9" s="14">
        <v>6.6081758321322404E-2</v>
      </c>
      <c r="L9" s="14">
        <v>4.0125170077179903E-2</v>
      </c>
      <c r="M9" s="14"/>
      <c r="N9" s="14">
        <v>0.15142351895414999</v>
      </c>
      <c r="O9" s="14">
        <v>9.6532958338951896E-2</v>
      </c>
      <c r="P9" s="14">
        <v>0.114287943484077</v>
      </c>
      <c r="Q9" s="14">
        <v>0.11981511518980199</v>
      </c>
      <c r="R9" s="14"/>
      <c r="S9" s="14">
        <v>0.173272472942223</v>
      </c>
      <c r="T9" s="14">
        <v>0.11300846527005499</v>
      </c>
      <c r="U9" s="14">
        <v>9.9012498724707104E-2</v>
      </c>
      <c r="V9" s="14">
        <v>0.13852575857956601</v>
      </c>
      <c r="W9" s="14">
        <v>0.12054680464838601</v>
      </c>
      <c r="X9" s="14">
        <v>0.13354349141666999</v>
      </c>
      <c r="Y9" s="14">
        <v>0.13555582630308999</v>
      </c>
      <c r="Z9" s="14">
        <v>9.4777826045869804E-2</v>
      </c>
      <c r="AA9" s="14">
        <v>6.09220599012395E-2</v>
      </c>
      <c r="AB9" s="14"/>
      <c r="AC9" s="14">
        <v>8.6481655821972397E-2</v>
      </c>
      <c r="AD9" s="14">
        <v>9.0748291647054793E-2</v>
      </c>
      <c r="AE9" s="14">
        <v>0.124614774982064</v>
      </c>
      <c r="AF9" s="14">
        <v>0.19597639616583101</v>
      </c>
      <c r="AG9" s="14">
        <v>0.33389038319466502</v>
      </c>
      <c r="AH9" s="14"/>
      <c r="AI9" s="14">
        <v>0.167652832454569</v>
      </c>
      <c r="AJ9" s="14">
        <v>0.13243032346608</v>
      </c>
      <c r="AK9" s="14">
        <v>8.2517068091725806E-2</v>
      </c>
      <c r="AL9" s="14">
        <v>5.7199152562170397E-2</v>
      </c>
      <c r="AM9" s="14">
        <v>0.110261699970569</v>
      </c>
      <c r="AN9" s="14">
        <v>0.13049182324508701</v>
      </c>
      <c r="AO9" s="14"/>
      <c r="AP9" s="14">
        <v>0.150419753972549</v>
      </c>
      <c r="AQ9" s="14">
        <v>8.9071408841717201E-2</v>
      </c>
      <c r="AR9" s="14"/>
      <c r="AS9" s="14">
        <v>0.113377393131066</v>
      </c>
      <c r="AT9" s="14">
        <v>0.14046417668870001</v>
      </c>
      <c r="AU9" s="14">
        <v>0.117871582763902</v>
      </c>
      <c r="AV9" s="14"/>
      <c r="AW9" s="14">
        <v>0.106465460696637</v>
      </c>
      <c r="AX9" s="14">
        <v>0.22385638325132701</v>
      </c>
      <c r="AY9" s="14"/>
      <c r="AZ9" s="14">
        <v>0.13906953616815099</v>
      </c>
      <c r="BA9" s="14">
        <v>5.7915983879775E-2</v>
      </c>
    </row>
    <row r="10" spans="2:53" ht="29" x14ac:dyDescent="0.35">
      <c r="B10" s="15" t="s">
        <v>431</v>
      </c>
      <c r="C10" s="14">
        <v>0.48768462352156</v>
      </c>
      <c r="D10" s="14">
        <v>0.54404312007182998</v>
      </c>
      <c r="E10" s="14">
        <v>0.431753880246736</v>
      </c>
      <c r="F10" s="14"/>
      <c r="G10" s="14">
        <v>0.22657313698588999</v>
      </c>
      <c r="H10" s="14">
        <v>0.481854497823339</v>
      </c>
      <c r="I10" s="14">
        <v>0.49076393851183298</v>
      </c>
      <c r="J10" s="14">
        <v>0.48063625442841601</v>
      </c>
      <c r="K10" s="14">
        <v>0.51992368769955599</v>
      </c>
      <c r="L10" s="14">
        <v>0.49283718281100602</v>
      </c>
      <c r="M10" s="14"/>
      <c r="N10" s="14">
        <v>0.52664479806800302</v>
      </c>
      <c r="O10" s="14">
        <v>0.50333079527918001</v>
      </c>
      <c r="P10" s="14">
        <v>0.505794786797511</v>
      </c>
      <c r="Q10" s="14">
        <v>0.41256030293462997</v>
      </c>
      <c r="R10" s="14"/>
      <c r="S10" s="14">
        <v>0.51460370076213202</v>
      </c>
      <c r="T10" s="14">
        <v>0.50672525554724701</v>
      </c>
      <c r="U10" s="14">
        <v>0.52817019014177002</v>
      </c>
      <c r="V10" s="14">
        <v>0.37077540544077398</v>
      </c>
      <c r="W10" s="14">
        <v>0.47370350789037402</v>
      </c>
      <c r="X10" s="14">
        <v>0.46118571683036602</v>
      </c>
      <c r="Y10" s="14">
        <v>0.469158157670863</v>
      </c>
      <c r="Z10" s="14">
        <v>0.46158534173829902</v>
      </c>
      <c r="AA10" s="14">
        <v>0.55338235832286498</v>
      </c>
      <c r="AB10" s="14"/>
      <c r="AC10" s="14">
        <v>0.43889576018827497</v>
      </c>
      <c r="AD10" s="14">
        <v>0.48457136566151998</v>
      </c>
      <c r="AE10" s="14">
        <v>0.51385519309432603</v>
      </c>
      <c r="AF10" s="14">
        <v>0.55574253936737295</v>
      </c>
      <c r="AG10" s="14">
        <v>0.46439591901849803</v>
      </c>
      <c r="AH10" s="14"/>
      <c r="AI10" s="14">
        <v>0.525819747800499</v>
      </c>
      <c r="AJ10" s="14">
        <v>0.52336154969984305</v>
      </c>
      <c r="AK10" s="14">
        <v>0.50548051590102505</v>
      </c>
      <c r="AL10" s="14">
        <v>0.48337363080776202</v>
      </c>
      <c r="AM10" s="14">
        <v>0.37434548410450802</v>
      </c>
      <c r="AN10" s="14">
        <v>0.40453050887845299</v>
      </c>
      <c r="AO10" s="14"/>
      <c r="AP10" s="14">
        <v>0.52519950880056698</v>
      </c>
      <c r="AQ10" s="14">
        <v>0.44501988275684501</v>
      </c>
      <c r="AR10" s="14"/>
      <c r="AS10" s="14">
        <v>0.52974796863444795</v>
      </c>
      <c r="AT10" s="14">
        <v>0.44565404621767801</v>
      </c>
      <c r="AU10" s="14">
        <v>0.488792151166003</v>
      </c>
      <c r="AV10" s="14"/>
      <c r="AW10" s="14">
        <v>0.48872301558911102</v>
      </c>
      <c r="AX10" s="14">
        <v>0.53688755342493799</v>
      </c>
      <c r="AY10" s="14"/>
      <c r="AZ10" s="14">
        <v>0.52329842487016698</v>
      </c>
      <c r="BA10" s="14">
        <v>0.36271298482095099</v>
      </c>
    </row>
    <row r="11" spans="2:53" ht="43.5" x14ac:dyDescent="0.35">
      <c r="B11" s="15" t="s">
        <v>432</v>
      </c>
      <c r="C11" s="14">
        <v>0.18685296836036699</v>
      </c>
      <c r="D11" s="14">
        <v>0.14836108482330801</v>
      </c>
      <c r="E11" s="14">
        <v>0.22555678649539901</v>
      </c>
      <c r="F11" s="14"/>
      <c r="G11" s="14">
        <v>0.14264816943094299</v>
      </c>
      <c r="H11" s="14">
        <v>0.15014884592436101</v>
      </c>
      <c r="I11" s="14">
        <v>0.19487956052147601</v>
      </c>
      <c r="J11" s="14">
        <v>0.18418483962045201</v>
      </c>
      <c r="K11" s="14">
        <v>0.191433181261248</v>
      </c>
      <c r="L11" s="14">
        <v>0.35807085908036101</v>
      </c>
      <c r="M11" s="14"/>
      <c r="N11" s="14">
        <v>0.159242150000965</v>
      </c>
      <c r="O11" s="14">
        <v>0.208829452226272</v>
      </c>
      <c r="P11" s="14">
        <v>0.188653844507253</v>
      </c>
      <c r="Q11" s="14">
        <v>0.194424846184584</v>
      </c>
      <c r="R11" s="14"/>
      <c r="S11" s="14">
        <v>0.15532246357712101</v>
      </c>
      <c r="T11" s="14">
        <v>0.170806896819579</v>
      </c>
      <c r="U11" s="14">
        <v>0.18292520923525599</v>
      </c>
      <c r="V11" s="14">
        <v>0.17093713647793299</v>
      </c>
      <c r="W11" s="14">
        <v>0.19661865068679299</v>
      </c>
      <c r="X11" s="14">
        <v>0.206826720772465</v>
      </c>
      <c r="Y11" s="14">
        <v>0.21911389398224801</v>
      </c>
      <c r="Z11" s="14">
        <v>0.24421521106076099</v>
      </c>
      <c r="AA11" s="14">
        <v>0.192767592396448</v>
      </c>
      <c r="AB11" s="14"/>
      <c r="AC11" s="14">
        <v>0.19160926873614201</v>
      </c>
      <c r="AD11" s="14">
        <v>0.198560330066886</v>
      </c>
      <c r="AE11" s="14">
        <v>0.19864403205830999</v>
      </c>
      <c r="AF11" s="14">
        <v>0.119675684956546</v>
      </c>
      <c r="AG11" s="14">
        <v>0.143835303353613</v>
      </c>
      <c r="AH11" s="14"/>
      <c r="AI11" s="14">
        <v>0.154011885121416</v>
      </c>
      <c r="AJ11" s="14">
        <v>0.17378960124635801</v>
      </c>
      <c r="AK11" s="14">
        <v>0.24351622111938101</v>
      </c>
      <c r="AL11" s="14">
        <v>0.21606736646240601</v>
      </c>
      <c r="AM11" s="14">
        <v>0.22297908051003801</v>
      </c>
      <c r="AN11" s="14">
        <v>0.207353171852697</v>
      </c>
      <c r="AO11" s="14"/>
      <c r="AP11" s="14">
        <v>0.169342046664193</v>
      </c>
      <c r="AQ11" s="14">
        <v>0.20715739297217201</v>
      </c>
      <c r="AR11" s="14"/>
      <c r="AS11" s="14">
        <v>0.11994197850966801</v>
      </c>
      <c r="AT11" s="14">
        <v>0.187642038741825</v>
      </c>
      <c r="AU11" s="14">
        <v>0.20462772428819301</v>
      </c>
      <c r="AV11" s="14"/>
      <c r="AW11" s="14">
        <v>0.194021849433651</v>
      </c>
      <c r="AX11" s="14">
        <v>0.13869065815703999</v>
      </c>
      <c r="AY11" s="14"/>
      <c r="AZ11" s="14">
        <v>0.16859796969893701</v>
      </c>
      <c r="BA11" s="14">
        <v>0.25621917745328998</v>
      </c>
    </row>
    <row r="12" spans="2:53" ht="29" x14ac:dyDescent="0.35">
      <c r="B12" s="15" t="s">
        <v>433</v>
      </c>
      <c r="C12" s="14">
        <v>7.6237216081580295E-2</v>
      </c>
      <c r="D12" s="14">
        <v>4.0956547319563101E-2</v>
      </c>
      <c r="E12" s="14">
        <v>0.110650493750325</v>
      </c>
      <c r="F12" s="14"/>
      <c r="G12" s="14">
        <v>0.11326843138774099</v>
      </c>
      <c r="H12" s="14">
        <v>4.41526373805739E-2</v>
      </c>
      <c r="I12" s="14">
        <v>7.4892765486935797E-2</v>
      </c>
      <c r="J12" s="14">
        <v>0.101635673207845</v>
      </c>
      <c r="K12" s="14">
        <v>6.2045880916000003E-2</v>
      </c>
      <c r="L12" s="14">
        <v>0</v>
      </c>
      <c r="M12" s="14"/>
      <c r="N12" s="14">
        <v>6.8606446306217705E-2</v>
      </c>
      <c r="O12" s="14">
        <v>6.9739524745560597E-2</v>
      </c>
      <c r="P12" s="14">
        <v>7.0898295398066996E-2</v>
      </c>
      <c r="Q12" s="14">
        <v>9.6809890508839799E-2</v>
      </c>
      <c r="R12" s="14"/>
      <c r="S12" s="14">
        <v>4.3970457601511699E-2</v>
      </c>
      <c r="T12" s="14">
        <v>7.8432057605693897E-2</v>
      </c>
      <c r="U12" s="14">
        <v>6.4425951229932402E-2</v>
      </c>
      <c r="V12" s="14">
        <v>0.109243179727847</v>
      </c>
      <c r="W12" s="14">
        <v>9.3311242767293995E-2</v>
      </c>
      <c r="X12" s="14">
        <v>8.4042281184733003E-2</v>
      </c>
      <c r="Y12" s="14">
        <v>7.4955196286647194E-2</v>
      </c>
      <c r="Z12" s="14">
        <v>0.107417123115237</v>
      </c>
      <c r="AA12" s="14">
        <v>6.5544671142822405E-2</v>
      </c>
      <c r="AB12" s="14"/>
      <c r="AC12" s="14">
        <v>0.100084118284122</v>
      </c>
      <c r="AD12" s="14">
        <v>0.10347376113142701</v>
      </c>
      <c r="AE12" s="14">
        <v>5.7461389220558601E-2</v>
      </c>
      <c r="AF12" s="14">
        <v>4.69852484360311E-2</v>
      </c>
      <c r="AG12" s="14">
        <v>8.1752754482881003E-3</v>
      </c>
      <c r="AH12" s="14"/>
      <c r="AI12" s="14">
        <v>6.6884362475940998E-2</v>
      </c>
      <c r="AJ12" s="14">
        <v>5.9444751616022799E-2</v>
      </c>
      <c r="AK12" s="14">
        <v>7.8630875541374698E-2</v>
      </c>
      <c r="AL12" s="14">
        <v>8.7940641049173804E-2</v>
      </c>
      <c r="AM12" s="14">
        <v>0.110263837775295</v>
      </c>
      <c r="AN12" s="14">
        <v>6.5617191079828704E-2</v>
      </c>
      <c r="AO12" s="14"/>
      <c r="AP12" s="14">
        <v>4.5440841354739303E-2</v>
      </c>
      <c r="AQ12" s="14">
        <v>0.111133149487165</v>
      </c>
      <c r="AR12" s="14"/>
      <c r="AS12" s="14">
        <v>2.9235854361960301E-2</v>
      </c>
      <c r="AT12" s="14">
        <v>5.0216019960067797E-2</v>
      </c>
      <c r="AU12" s="14">
        <v>9.6581264299193004E-2</v>
      </c>
      <c r="AV12" s="14"/>
      <c r="AW12" s="14">
        <v>7.6034045818949403E-2</v>
      </c>
      <c r="AX12" s="14">
        <v>2.7587291560765202E-2</v>
      </c>
      <c r="AY12" s="14"/>
      <c r="AZ12" s="14">
        <v>5.08024644460656E-2</v>
      </c>
      <c r="BA12" s="14">
        <v>0.17267743537476901</v>
      </c>
    </row>
    <row r="13" spans="2:53" x14ac:dyDescent="0.35">
      <c r="B13" s="15" t="s">
        <v>116</v>
      </c>
      <c r="C13" s="23">
        <v>0.12785739663871001</v>
      </c>
      <c r="D13" s="23">
        <v>0.123912445024829</v>
      </c>
      <c r="E13" s="23">
        <v>0.13192946221232199</v>
      </c>
      <c r="F13" s="23"/>
      <c r="G13" s="23">
        <v>0.157699207941562</v>
      </c>
      <c r="H13" s="23">
        <v>0.145766207320212</v>
      </c>
      <c r="I13" s="23">
        <v>0.112867960209486</v>
      </c>
      <c r="J13" s="23">
        <v>0.13113645729021101</v>
      </c>
      <c r="K13" s="23">
        <v>0.16051549180187399</v>
      </c>
      <c r="L13" s="23">
        <v>0.108966788031454</v>
      </c>
      <c r="M13" s="23"/>
      <c r="N13" s="23">
        <v>9.4083086670663896E-2</v>
      </c>
      <c r="O13" s="23">
        <v>0.121567269410036</v>
      </c>
      <c r="P13" s="23">
        <v>0.120365129813091</v>
      </c>
      <c r="Q13" s="23">
        <v>0.17638984518214401</v>
      </c>
      <c r="R13" s="23"/>
      <c r="S13" s="23">
        <v>0.11283090511701301</v>
      </c>
      <c r="T13" s="23">
        <v>0.13102732475742601</v>
      </c>
      <c r="U13" s="23">
        <v>0.125466150668335</v>
      </c>
      <c r="V13" s="23">
        <v>0.21051851977388</v>
      </c>
      <c r="W13" s="23">
        <v>0.115819794007152</v>
      </c>
      <c r="X13" s="23">
        <v>0.114401789795765</v>
      </c>
      <c r="Y13" s="23">
        <v>0.10121692575715199</v>
      </c>
      <c r="Z13" s="23">
        <v>9.2004498039833599E-2</v>
      </c>
      <c r="AA13" s="23">
        <v>0.12738331823662399</v>
      </c>
      <c r="AB13" s="23"/>
      <c r="AC13" s="23">
        <v>0.18292919696948901</v>
      </c>
      <c r="AD13" s="23">
        <v>0.12264625149311199</v>
      </c>
      <c r="AE13" s="23">
        <v>0.10542461064474</v>
      </c>
      <c r="AF13" s="23">
        <v>8.1620131074219199E-2</v>
      </c>
      <c r="AG13" s="23">
        <v>4.9703118984935797E-2</v>
      </c>
      <c r="AH13" s="23"/>
      <c r="AI13" s="23">
        <v>8.5631172147575194E-2</v>
      </c>
      <c r="AJ13" s="23">
        <v>0.110973773971696</v>
      </c>
      <c r="AK13" s="23">
        <v>8.9855319346494003E-2</v>
      </c>
      <c r="AL13" s="23">
        <v>0.155419209118488</v>
      </c>
      <c r="AM13" s="23">
        <v>0.18214989763959</v>
      </c>
      <c r="AN13" s="23">
        <v>0.192007304943934</v>
      </c>
      <c r="AO13" s="23"/>
      <c r="AP13" s="23">
        <v>0.109597849207952</v>
      </c>
      <c r="AQ13" s="23">
        <v>0.147618165942101</v>
      </c>
      <c r="AR13" s="23"/>
      <c r="AS13" s="23">
        <v>0.207696805362859</v>
      </c>
      <c r="AT13" s="23">
        <v>0.17602371839172901</v>
      </c>
      <c r="AU13" s="23">
        <v>9.2127277482709893E-2</v>
      </c>
      <c r="AV13" s="23"/>
      <c r="AW13" s="23">
        <v>0.13475562846165201</v>
      </c>
      <c r="AX13" s="23">
        <v>7.2978113605928902E-2</v>
      </c>
      <c r="AY13" s="23"/>
      <c r="AZ13" s="23">
        <v>0.11823160481667799</v>
      </c>
      <c r="BA13" s="23">
        <v>0.15047441847121501</v>
      </c>
    </row>
    <row r="14" spans="2:53" x14ac:dyDescent="0.35">
      <c r="B14" s="16"/>
    </row>
    <row r="15" spans="2:53" x14ac:dyDescent="0.35">
      <c r="B15" t="s">
        <v>84</v>
      </c>
    </row>
    <row r="16" spans="2:53" x14ac:dyDescent="0.35">
      <c r="B16" t="s">
        <v>85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B2:B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438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1319</v>
      </c>
      <c r="D7" s="10">
        <v>537</v>
      </c>
      <c r="E7" s="10">
        <v>781</v>
      </c>
      <c r="F7" s="10"/>
      <c r="G7" s="10">
        <v>3</v>
      </c>
      <c r="H7" s="10">
        <v>116</v>
      </c>
      <c r="I7" s="10">
        <v>531</v>
      </c>
      <c r="J7" s="10">
        <v>497</v>
      </c>
      <c r="K7" s="10">
        <v>148</v>
      </c>
      <c r="L7" s="10">
        <v>24</v>
      </c>
      <c r="M7" s="10"/>
      <c r="N7" s="10">
        <v>580</v>
      </c>
      <c r="O7" s="10">
        <v>310</v>
      </c>
      <c r="P7" s="10">
        <v>201</v>
      </c>
      <c r="Q7" s="10">
        <v>223</v>
      </c>
      <c r="R7" s="10"/>
      <c r="S7" s="10">
        <v>233</v>
      </c>
      <c r="T7" s="10">
        <v>195</v>
      </c>
      <c r="U7" s="10">
        <v>101</v>
      </c>
      <c r="V7" s="10">
        <v>123</v>
      </c>
      <c r="W7" s="10">
        <v>115</v>
      </c>
      <c r="X7" s="10">
        <v>154</v>
      </c>
      <c r="Y7" s="10">
        <v>149</v>
      </c>
      <c r="Z7" s="10">
        <v>69</v>
      </c>
      <c r="AA7" s="10">
        <v>180</v>
      </c>
      <c r="AB7" s="10"/>
      <c r="AC7" s="10">
        <v>247</v>
      </c>
      <c r="AD7" s="10">
        <v>245</v>
      </c>
      <c r="AE7" s="10">
        <v>389</v>
      </c>
      <c r="AF7" s="10">
        <v>238</v>
      </c>
      <c r="AG7" s="10">
        <v>53</v>
      </c>
      <c r="AH7" s="10"/>
      <c r="AI7" s="10">
        <v>474</v>
      </c>
      <c r="AJ7" s="10">
        <v>248</v>
      </c>
      <c r="AK7" s="10">
        <v>131</v>
      </c>
      <c r="AL7" s="10">
        <v>194</v>
      </c>
      <c r="AM7" s="10">
        <v>68</v>
      </c>
      <c r="AN7" s="10">
        <v>90</v>
      </c>
      <c r="AO7" s="10"/>
      <c r="AP7" s="10">
        <v>705</v>
      </c>
      <c r="AQ7" s="10">
        <v>611</v>
      </c>
      <c r="AR7" s="10"/>
      <c r="AS7" s="10" t="s">
        <v>87</v>
      </c>
      <c r="AT7" s="10" t="s">
        <v>87</v>
      </c>
      <c r="AU7" s="10">
        <v>1319</v>
      </c>
      <c r="AV7" s="10"/>
      <c r="AW7" s="10">
        <v>950</v>
      </c>
      <c r="AX7" s="10">
        <v>252</v>
      </c>
      <c r="AY7" s="10"/>
      <c r="AZ7" s="10">
        <v>1045</v>
      </c>
      <c r="BA7" s="10">
        <v>271</v>
      </c>
    </row>
    <row r="8" spans="2:53" ht="30" customHeight="1" x14ac:dyDescent="0.35">
      <c r="B8" s="11" t="s">
        <v>19</v>
      </c>
      <c r="C8" s="11">
        <v>1320</v>
      </c>
      <c r="D8" s="11">
        <v>656</v>
      </c>
      <c r="E8" s="11">
        <v>663</v>
      </c>
      <c r="F8" s="11"/>
      <c r="G8" s="11">
        <v>3</v>
      </c>
      <c r="H8" s="11">
        <v>107</v>
      </c>
      <c r="I8" s="11">
        <v>512</v>
      </c>
      <c r="J8" s="11">
        <v>506</v>
      </c>
      <c r="K8" s="11">
        <v>163</v>
      </c>
      <c r="L8" s="11">
        <v>28</v>
      </c>
      <c r="M8" s="11"/>
      <c r="N8" s="11">
        <v>365</v>
      </c>
      <c r="O8" s="11">
        <v>324</v>
      </c>
      <c r="P8" s="11">
        <v>306</v>
      </c>
      <c r="Q8" s="11">
        <v>319</v>
      </c>
      <c r="R8" s="11"/>
      <c r="S8" s="11">
        <v>201</v>
      </c>
      <c r="T8" s="11">
        <v>203</v>
      </c>
      <c r="U8" s="11">
        <v>129</v>
      </c>
      <c r="V8" s="11">
        <v>147</v>
      </c>
      <c r="W8" s="11">
        <v>128</v>
      </c>
      <c r="X8" s="11">
        <v>135</v>
      </c>
      <c r="Y8" s="11">
        <v>137</v>
      </c>
      <c r="Z8" s="11">
        <v>69</v>
      </c>
      <c r="AA8" s="11">
        <v>171</v>
      </c>
      <c r="AB8" s="11"/>
      <c r="AC8" s="11">
        <v>309</v>
      </c>
      <c r="AD8" s="11">
        <v>276</v>
      </c>
      <c r="AE8" s="11">
        <v>361</v>
      </c>
      <c r="AF8" s="11">
        <v>179</v>
      </c>
      <c r="AG8" s="11">
        <v>28</v>
      </c>
      <c r="AH8" s="11"/>
      <c r="AI8" s="11">
        <v>452</v>
      </c>
      <c r="AJ8" s="11">
        <v>235</v>
      </c>
      <c r="AK8" s="11">
        <v>122</v>
      </c>
      <c r="AL8" s="11">
        <v>218</v>
      </c>
      <c r="AM8" s="11">
        <v>66</v>
      </c>
      <c r="AN8" s="11">
        <v>98</v>
      </c>
      <c r="AO8" s="11"/>
      <c r="AP8" s="11">
        <v>702</v>
      </c>
      <c r="AQ8" s="11">
        <v>614</v>
      </c>
      <c r="AR8" s="11"/>
      <c r="AS8" s="11" t="s">
        <v>87</v>
      </c>
      <c r="AT8" s="11" t="s">
        <v>87</v>
      </c>
      <c r="AU8" s="11">
        <v>1320</v>
      </c>
      <c r="AV8" s="11"/>
      <c r="AW8" s="11">
        <v>974</v>
      </c>
      <c r="AX8" s="11">
        <v>208</v>
      </c>
      <c r="AY8" s="11"/>
      <c r="AZ8" s="11">
        <v>1032</v>
      </c>
      <c r="BA8" s="11">
        <v>284</v>
      </c>
    </row>
    <row r="9" spans="2:53" ht="43.5" x14ac:dyDescent="0.35">
      <c r="B9" s="15" t="s">
        <v>435</v>
      </c>
      <c r="C9" s="14">
        <v>8.5327936569269194E-2</v>
      </c>
      <c r="D9" s="14">
        <v>9.3600590926135693E-2</v>
      </c>
      <c r="E9" s="14">
        <v>7.7265001239382097E-2</v>
      </c>
      <c r="F9" s="14"/>
      <c r="G9" s="14">
        <v>0</v>
      </c>
      <c r="H9" s="14">
        <v>0.169877558114535</v>
      </c>
      <c r="I9" s="14">
        <v>0.101879469350646</v>
      </c>
      <c r="J9" s="14">
        <v>7.7036662453618204E-2</v>
      </c>
      <c r="K9" s="14">
        <v>1.52224039729327E-2</v>
      </c>
      <c r="L9" s="14">
        <v>2.6363920994067001E-2</v>
      </c>
      <c r="M9" s="14"/>
      <c r="N9" s="14">
        <v>6.7429450156138507E-2</v>
      </c>
      <c r="O9" s="14">
        <v>7.3295887465238102E-2</v>
      </c>
      <c r="P9" s="14">
        <v>0.106769384549197</v>
      </c>
      <c r="Q9" s="14">
        <v>9.8813172383043102E-2</v>
      </c>
      <c r="R9" s="14"/>
      <c r="S9" s="14">
        <v>7.7474682940217907E-2</v>
      </c>
      <c r="T9" s="14">
        <v>6.1675152882810599E-2</v>
      </c>
      <c r="U9" s="14">
        <v>0.109441882816688</v>
      </c>
      <c r="V9" s="14">
        <v>6.8689435366137905E-2</v>
      </c>
      <c r="W9" s="14">
        <v>0.124935716512759</v>
      </c>
      <c r="X9" s="14">
        <v>0.101118036825704</v>
      </c>
      <c r="Y9" s="14">
        <v>7.0520076518902103E-2</v>
      </c>
      <c r="Z9" s="14">
        <v>0.116654473618391</v>
      </c>
      <c r="AA9" s="14">
        <v>7.5969867146686507E-2</v>
      </c>
      <c r="AB9" s="14"/>
      <c r="AC9" s="14">
        <v>8.4273078227343201E-2</v>
      </c>
      <c r="AD9" s="14">
        <v>6.7827648371702604E-2</v>
      </c>
      <c r="AE9" s="14">
        <v>9.0810929486969602E-2</v>
      </c>
      <c r="AF9" s="14">
        <v>0.13096823579303199</v>
      </c>
      <c r="AG9" s="14">
        <v>0.11284902373229599</v>
      </c>
      <c r="AH9" s="14"/>
      <c r="AI9" s="14">
        <v>0.106968572911708</v>
      </c>
      <c r="AJ9" s="14">
        <v>9.5839988526232794E-2</v>
      </c>
      <c r="AK9" s="14">
        <v>6.7505646162949698E-2</v>
      </c>
      <c r="AL9" s="14">
        <v>7.2802504962591899E-2</v>
      </c>
      <c r="AM9" s="14">
        <v>0.113908891088898</v>
      </c>
      <c r="AN9" s="14">
        <v>2.7169951429414599E-2</v>
      </c>
      <c r="AO9" s="14"/>
      <c r="AP9" s="14">
        <v>8.3885312489977507E-2</v>
      </c>
      <c r="AQ9" s="14">
        <v>8.7413007565042902E-2</v>
      </c>
      <c r="AR9" s="14"/>
      <c r="AS9" s="14" t="s">
        <v>88</v>
      </c>
      <c r="AT9" s="14" t="s">
        <v>88</v>
      </c>
      <c r="AU9" s="14">
        <v>8.5327936569269194E-2</v>
      </c>
      <c r="AV9" s="14"/>
      <c r="AW9" s="14">
        <v>8.1243271533773906E-2</v>
      </c>
      <c r="AX9" s="14">
        <v>9.6496114408061898E-2</v>
      </c>
      <c r="AY9" s="14"/>
      <c r="AZ9" s="14">
        <v>9.0923094345595507E-2</v>
      </c>
      <c r="BA9" s="14">
        <v>6.5928969269877596E-2</v>
      </c>
    </row>
    <row r="10" spans="2:53" ht="43.5" x14ac:dyDescent="0.35">
      <c r="B10" s="15" t="s">
        <v>436</v>
      </c>
      <c r="C10" s="14">
        <v>0.56912992435754495</v>
      </c>
      <c r="D10" s="14">
        <v>0.55934511848953095</v>
      </c>
      <c r="E10" s="14">
        <v>0.57816861951729603</v>
      </c>
      <c r="F10" s="14"/>
      <c r="G10" s="14">
        <v>0.62211421325028105</v>
      </c>
      <c r="H10" s="14">
        <v>0.51717590042597195</v>
      </c>
      <c r="I10" s="14">
        <v>0.59838515319560703</v>
      </c>
      <c r="J10" s="14">
        <v>0.56300799827400805</v>
      </c>
      <c r="K10" s="14">
        <v>0.52158858358885496</v>
      </c>
      <c r="L10" s="14">
        <v>0.61565361174060595</v>
      </c>
      <c r="M10" s="14"/>
      <c r="N10" s="14">
        <v>0.56009511610539797</v>
      </c>
      <c r="O10" s="14">
        <v>0.57908979917648495</v>
      </c>
      <c r="P10" s="14">
        <v>0.58459177745260305</v>
      </c>
      <c r="Q10" s="14">
        <v>0.55823891943823201</v>
      </c>
      <c r="R10" s="14"/>
      <c r="S10" s="14">
        <v>0.575135518185381</v>
      </c>
      <c r="T10" s="14">
        <v>0.60551857226978001</v>
      </c>
      <c r="U10" s="14">
        <v>0.51085427566661901</v>
      </c>
      <c r="V10" s="14">
        <v>0.57663393822588604</v>
      </c>
      <c r="W10" s="14">
        <v>0.54528805798049795</v>
      </c>
      <c r="X10" s="14">
        <v>0.528593733545211</v>
      </c>
      <c r="Y10" s="14">
        <v>0.54305698499091604</v>
      </c>
      <c r="Z10" s="14">
        <v>0.58028415678366496</v>
      </c>
      <c r="AA10" s="14">
        <v>0.62245745040948397</v>
      </c>
      <c r="AB10" s="14"/>
      <c r="AC10" s="14">
        <v>0.50428268962665002</v>
      </c>
      <c r="AD10" s="14">
        <v>0.57437355505336596</v>
      </c>
      <c r="AE10" s="14">
        <v>0.60587084493636201</v>
      </c>
      <c r="AF10" s="14">
        <v>0.58847910398965397</v>
      </c>
      <c r="AG10" s="14">
        <v>0.67366095729661901</v>
      </c>
      <c r="AH10" s="14"/>
      <c r="AI10" s="14">
        <v>0.56439166309602096</v>
      </c>
      <c r="AJ10" s="14">
        <v>0.57776256444812901</v>
      </c>
      <c r="AK10" s="14">
        <v>0.65264025797547098</v>
      </c>
      <c r="AL10" s="14">
        <v>0.56104074642982404</v>
      </c>
      <c r="AM10" s="14">
        <v>0.57182825864101094</v>
      </c>
      <c r="AN10" s="14">
        <v>0.50964061030540297</v>
      </c>
      <c r="AO10" s="14"/>
      <c r="AP10" s="14">
        <v>0.59601457035324601</v>
      </c>
      <c r="AQ10" s="14">
        <v>0.53911965420599595</v>
      </c>
      <c r="AR10" s="14"/>
      <c r="AS10" s="14" t="s">
        <v>88</v>
      </c>
      <c r="AT10" s="14" t="s">
        <v>88</v>
      </c>
      <c r="AU10" s="14">
        <v>0.56912992435754495</v>
      </c>
      <c r="AV10" s="14"/>
      <c r="AW10" s="14">
        <v>0.58453429183922501</v>
      </c>
      <c r="AX10" s="14">
        <v>0.56698659086512804</v>
      </c>
      <c r="AY10" s="14"/>
      <c r="AZ10" s="14">
        <v>0.58602075935099895</v>
      </c>
      <c r="BA10" s="14">
        <v>0.51027880598784103</v>
      </c>
    </row>
    <row r="11" spans="2:53" ht="29" x14ac:dyDescent="0.35">
      <c r="B11" s="15" t="s">
        <v>437</v>
      </c>
      <c r="C11" s="14">
        <v>0.24973024055350901</v>
      </c>
      <c r="D11" s="14">
        <v>0.26051491097698498</v>
      </c>
      <c r="E11" s="14">
        <v>0.239428027139341</v>
      </c>
      <c r="F11" s="14"/>
      <c r="G11" s="14">
        <v>0.37788578674971901</v>
      </c>
      <c r="H11" s="14">
        <v>0.22639738834402101</v>
      </c>
      <c r="I11" s="14">
        <v>0.202372950157062</v>
      </c>
      <c r="J11" s="14">
        <v>0.27061739816464903</v>
      </c>
      <c r="K11" s="14">
        <v>0.35227368934682102</v>
      </c>
      <c r="L11" s="14">
        <v>0.21629012552355301</v>
      </c>
      <c r="M11" s="14"/>
      <c r="N11" s="14">
        <v>0.32525700199236901</v>
      </c>
      <c r="O11" s="14">
        <v>0.23905189155731099</v>
      </c>
      <c r="P11" s="14">
        <v>0.215993025904684</v>
      </c>
      <c r="Q11" s="14">
        <v>0.203980881074938</v>
      </c>
      <c r="R11" s="14"/>
      <c r="S11" s="14">
        <v>0.25845215593240001</v>
      </c>
      <c r="T11" s="14">
        <v>0.229808574396802</v>
      </c>
      <c r="U11" s="14">
        <v>0.25969079763897901</v>
      </c>
      <c r="V11" s="14">
        <v>0.21389047431324701</v>
      </c>
      <c r="W11" s="14">
        <v>0.24537740402097</v>
      </c>
      <c r="X11" s="14">
        <v>0.27738958033300798</v>
      </c>
      <c r="Y11" s="14">
        <v>0.269566874266848</v>
      </c>
      <c r="Z11" s="14">
        <v>0.248323411514392</v>
      </c>
      <c r="AA11" s="14">
        <v>0.252696452306724</v>
      </c>
      <c r="AB11" s="14"/>
      <c r="AC11" s="14">
        <v>0.25298146993562098</v>
      </c>
      <c r="AD11" s="14">
        <v>0.28186392001755001</v>
      </c>
      <c r="AE11" s="14">
        <v>0.22727663731527001</v>
      </c>
      <c r="AF11" s="14">
        <v>0.24630920892427299</v>
      </c>
      <c r="AG11" s="14">
        <v>0.21349001897108499</v>
      </c>
      <c r="AH11" s="14"/>
      <c r="AI11" s="14">
        <v>0.26354497384591402</v>
      </c>
      <c r="AJ11" s="14">
        <v>0.28157028657260502</v>
      </c>
      <c r="AK11" s="14">
        <v>0.20037865522516199</v>
      </c>
      <c r="AL11" s="14">
        <v>0.211883182498077</v>
      </c>
      <c r="AM11" s="14">
        <v>0.19358663265145301</v>
      </c>
      <c r="AN11" s="14">
        <v>0.25011933707523798</v>
      </c>
      <c r="AO11" s="14"/>
      <c r="AP11" s="14">
        <v>0.248808374444139</v>
      </c>
      <c r="AQ11" s="14">
        <v>0.25100305348878499</v>
      </c>
      <c r="AR11" s="14"/>
      <c r="AS11" s="14" t="s">
        <v>88</v>
      </c>
      <c r="AT11" s="14" t="s">
        <v>88</v>
      </c>
      <c r="AU11" s="14">
        <v>0.24973024055350901</v>
      </c>
      <c r="AV11" s="14"/>
      <c r="AW11" s="14">
        <v>0.24850359177424899</v>
      </c>
      <c r="AX11" s="14">
        <v>0.28134848140672603</v>
      </c>
      <c r="AY11" s="14"/>
      <c r="AZ11" s="14">
        <v>0.245086106541023</v>
      </c>
      <c r="BA11" s="14">
        <v>0.269368325357209</v>
      </c>
    </row>
    <row r="12" spans="2:53" x14ac:dyDescent="0.35">
      <c r="B12" s="15" t="s">
        <v>116</v>
      </c>
      <c r="C12" s="23">
        <v>9.5811898519677099E-2</v>
      </c>
      <c r="D12" s="23">
        <v>8.6539379607348296E-2</v>
      </c>
      <c r="E12" s="23">
        <v>0.10513835210398199</v>
      </c>
      <c r="F12" s="23"/>
      <c r="G12" s="23">
        <v>0</v>
      </c>
      <c r="H12" s="23">
        <v>8.6549153115471303E-2</v>
      </c>
      <c r="I12" s="23">
        <v>9.7362427296685899E-2</v>
      </c>
      <c r="J12" s="23">
        <v>8.9337941107725402E-2</v>
      </c>
      <c r="K12" s="23">
        <v>0.110915323091391</v>
      </c>
      <c r="L12" s="23">
        <v>0.141692341741774</v>
      </c>
      <c r="M12" s="23"/>
      <c r="N12" s="23">
        <v>4.72184317460939E-2</v>
      </c>
      <c r="O12" s="23">
        <v>0.10856242180096499</v>
      </c>
      <c r="P12" s="23">
        <v>9.2645812093515897E-2</v>
      </c>
      <c r="Q12" s="23">
        <v>0.138967027103787</v>
      </c>
      <c r="R12" s="23"/>
      <c r="S12" s="23">
        <v>8.8937642942001197E-2</v>
      </c>
      <c r="T12" s="23">
        <v>0.10299770045060801</v>
      </c>
      <c r="U12" s="23">
        <v>0.120013043877714</v>
      </c>
      <c r="V12" s="23">
        <v>0.140786152094729</v>
      </c>
      <c r="W12" s="23">
        <v>8.4398821485773795E-2</v>
      </c>
      <c r="X12" s="23">
        <v>9.2898649296077801E-2</v>
      </c>
      <c r="Y12" s="23">
        <v>0.116856064223333</v>
      </c>
      <c r="Z12" s="23">
        <v>5.4737958083552099E-2</v>
      </c>
      <c r="AA12" s="23">
        <v>4.8876230137105098E-2</v>
      </c>
      <c r="AB12" s="23"/>
      <c r="AC12" s="23">
        <v>0.15846276221038599</v>
      </c>
      <c r="AD12" s="23">
        <v>7.5934876557380904E-2</v>
      </c>
      <c r="AE12" s="23">
        <v>7.6041588261398493E-2</v>
      </c>
      <c r="AF12" s="23">
        <v>3.4243451293041599E-2</v>
      </c>
      <c r="AG12" s="23">
        <v>0</v>
      </c>
      <c r="AH12" s="23"/>
      <c r="AI12" s="23">
        <v>6.5094790146356704E-2</v>
      </c>
      <c r="AJ12" s="23">
        <v>4.4827160453032797E-2</v>
      </c>
      <c r="AK12" s="23">
        <v>7.9475440636417205E-2</v>
      </c>
      <c r="AL12" s="23">
        <v>0.15427356610950699</v>
      </c>
      <c r="AM12" s="23">
        <v>0.120676217618638</v>
      </c>
      <c r="AN12" s="23">
        <v>0.21307010118994399</v>
      </c>
      <c r="AO12" s="23"/>
      <c r="AP12" s="23">
        <v>7.1291742712637607E-2</v>
      </c>
      <c r="AQ12" s="23">
        <v>0.122464284740176</v>
      </c>
      <c r="AR12" s="23"/>
      <c r="AS12" s="23" t="s">
        <v>88</v>
      </c>
      <c r="AT12" s="23" t="s">
        <v>88</v>
      </c>
      <c r="AU12" s="23">
        <v>9.5811898519677099E-2</v>
      </c>
      <c r="AV12" s="23"/>
      <c r="AW12" s="23">
        <v>8.5718844852752801E-2</v>
      </c>
      <c r="AX12" s="23">
        <v>5.5168813320084199E-2</v>
      </c>
      <c r="AY12" s="23"/>
      <c r="AZ12" s="23">
        <v>7.7970039762382301E-2</v>
      </c>
      <c r="BA12" s="23">
        <v>0.15442389938507201</v>
      </c>
    </row>
    <row r="13" spans="2:53" x14ac:dyDescent="0.35">
      <c r="B13" s="16" t="s">
        <v>101</v>
      </c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B2:BA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444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43.5" x14ac:dyDescent="0.35">
      <c r="B9" s="15" t="s">
        <v>439</v>
      </c>
      <c r="C9" s="14">
        <v>0.120223541093575</v>
      </c>
      <c r="D9" s="14">
        <v>0.12415573161285599</v>
      </c>
      <c r="E9" s="14">
        <v>0.11640476487160099</v>
      </c>
      <c r="F9" s="14"/>
      <c r="G9" s="14">
        <v>0.30155374744806301</v>
      </c>
      <c r="H9" s="14">
        <v>0.151213947755547</v>
      </c>
      <c r="I9" s="14">
        <v>0.124772430643786</v>
      </c>
      <c r="J9" s="14">
        <v>9.8340571109548497E-2</v>
      </c>
      <c r="K9" s="14">
        <v>0.1122884434688</v>
      </c>
      <c r="L9" s="14">
        <v>0.102387718550027</v>
      </c>
      <c r="M9" s="14"/>
      <c r="N9" s="14">
        <v>0.156310642618362</v>
      </c>
      <c r="O9" s="14">
        <v>0.118297879219628</v>
      </c>
      <c r="P9" s="14">
        <v>0.116608599497336</v>
      </c>
      <c r="Q9" s="14">
        <v>8.7844337360900193E-2</v>
      </c>
      <c r="R9" s="14"/>
      <c r="S9" s="14">
        <v>0.16523699165953101</v>
      </c>
      <c r="T9" s="14">
        <v>0.112647703897539</v>
      </c>
      <c r="U9" s="14">
        <v>9.9062717698562106E-2</v>
      </c>
      <c r="V9" s="14">
        <v>0.13444281373526201</v>
      </c>
      <c r="W9" s="14">
        <v>9.9396533076858501E-2</v>
      </c>
      <c r="X9" s="14">
        <v>0.106959923586102</v>
      </c>
      <c r="Y9" s="14">
        <v>0.118530262776589</v>
      </c>
      <c r="Z9" s="14">
        <v>0.124601190708928</v>
      </c>
      <c r="AA9" s="14">
        <v>0.102764413259367</v>
      </c>
      <c r="AB9" s="14"/>
      <c r="AC9" s="14">
        <v>9.6874176720081903E-2</v>
      </c>
      <c r="AD9" s="14">
        <v>9.0415145971740593E-2</v>
      </c>
      <c r="AE9" s="14">
        <v>0.116617343012449</v>
      </c>
      <c r="AF9" s="14">
        <v>0.191591123665487</v>
      </c>
      <c r="AG9" s="14">
        <v>0.32382282306535398</v>
      </c>
      <c r="AH9" s="14"/>
      <c r="AI9" s="14">
        <v>0.13935216359169</v>
      </c>
      <c r="AJ9" s="14">
        <v>0.139496692474296</v>
      </c>
      <c r="AK9" s="14">
        <v>0.13476017334139301</v>
      </c>
      <c r="AL9" s="14">
        <v>8.0837288992261197E-2</v>
      </c>
      <c r="AM9" s="14">
        <v>0.108141106360999</v>
      </c>
      <c r="AN9" s="14">
        <v>8.6821902683746899E-2</v>
      </c>
      <c r="AO9" s="14"/>
      <c r="AP9" s="14">
        <v>0.12839504532163701</v>
      </c>
      <c r="AQ9" s="14">
        <v>0.111416905255855</v>
      </c>
      <c r="AR9" s="14"/>
      <c r="AS9" s="14">
        <v>0.14127938913934601</v>
      </c>
      <c r="AT9" s="14">
        <v>0.10794698240879801</v>
      </c>
      <c r="AU9" s="14">
        <v>0.118186797856924</v>
      </c>
      <c r="AV9" s="14"/>
      <c r="AW9" s="14">
        <v>0.112712026921841</v>
      </c>
      <c r="AX9" s="14">
        <v>0.19342959875144</v>
      </c>
      <c r="AY9" s="14"/>
      <c r="AZ9" s="14">
        <v>0.131107542320793</v>
      </c>
      <c r="BA9" s="14">
        <v>8.2168641134633305E-2</v>
      </c>
    </row>
    <row r="10" spans="2:53" ht="43.5" x14ac:dyDescent="0.35">
      <c r="B10" s="15" t="s">
        <v>440</v>
      </c>
      <c r="C10" s="14">
        <v>0.382048440797853</v>
      </c>
      <c r="D10" s="14">
        <v>0.44582849172841599</v>
      </c>
      <c r="E10" s="14">
        <v>0.31858779309422902</v>
      </c>
      <c r="F10" s="14"/>
      <c r="G10" s="14">
        <v>0.58517782116419603</v>
      </c>
      <c r="H10" s="14">
        <v>0.40868790587848502</v>
      </c>
      <c r="I10" s="14">
        <v>0.39577889110755998</v>
      </c>
      <c r="J10" s="14">
        <v>0.33876276930489702</v>
      </c>
      <c r="K10" s="14">
        <v>0.41308251223480702</v>
      </c>
      <c r="L10" s="14">
        <v>0.323034047637484</v>
      </c>
      <c r="M10" s="14"/>
      <c r="N10" s="14">
        <v>0.43345031358049202</v>
      </c>
      <c r="O10" s="14">
        <v>0.357305904590557</v>
      </c>
      <c r="P10" s="14">
        <v>0.33810548645910898</v>
      </c>
      <c r="Q10" s="14">
        <v>0.389483891376526</v>
      </c>
      <c r="R10" s="14"/>
      <c r="S10" s="14">
        <v>0.41972709004313702</v>
      </c>
      <c r="T10" s="14">
        <v>0.38341748882066101</v>
      </c>
      <c r="U10" s="14">
        <v>0.30045872137312002</v>
      </c>
      <c r="V10" s="14">
        <v>0.35335474022499502</v>
      </c>
      <c r="W10" s="14">
        <v>0.42045431945153899</v>
      </c>
      <c r="X10" s="14">
        <v>0.374612254588714</v>
      </c>
      <c r="Y10" s="14">
        <v>0.39857574075007801</v>
      </c>
      <c r="Z10" s="14">
        <v>0.35188383508501098</v>
      </c>
      <c r="AA10" s="14">
        <v>0.39922706728697799</v>
      </c>
      <c r="AB10" s="14"/>
      <c r="AC10" s="14">
        <v>0.29768442702829001</v>
      </c>
      <c r="AD10" s="14">
        <v>0.345216494522603</v>
      </c>
      <c r="AE10" s="14">
        <v>0.44834297968341102</v>
      </c>
      <c r="AF10" s="14">
        <v>0.47857525908786502</v>
      </c>
      <c r="AG10" s="14">
        <v>0.43476114028636098</v>
      </c>
      <c r="AH10" s="14"/>
      <c r="AI10" s="14">
        <v>0.40271139635501502</v>
      </c>
      <c r="AJ10" s="14">
        <v>0.45241414014569198</v>
      </c>
      <c r="AK10" s="14">
        <v>0.39003561442988499</v>
      </c>
      <c r="AL10" s="14">
        <v>0.37300532723698498</v>
      </c>
      <c r="AM10" s="14">
        <v>0.305986443127793</v>
      </c>
      <c r="AN10" s="14">
        <v>0.331555655998166</v>
      </c>
      <c r="AO10" s="14"/>
      <c r="AP10" s="14">
        <v>0.40872392180761902</v>
      </c>
      <c r="AQ10" s="14">
        <v>0.35190591633656398</v>
      </c>
      <c r="AR10" s="14"/>
      <c r="AS10" s="14">
        <v>0.37894419188381001</v>
      </c>
      <c r="AT10" s="14">
        <v>0.43908702164624203</v>
      </c>
      <c r="AU10" s="14">
        <v>0.36601786727636498</v>
      </c>
      <c r="AV10" s="14"/>
      <c r="AW10" s="14">
        <v>0.37990046448520198</v>
      </c>
      <c r="AX10" s="14">
        <v>0.485925386167466</v>
      </c>
      <c r="AY10" s="14"/>
      <c r="AZ10" s="14">
        <v>0.42371974647150001</v>
      </c>
      <c r="BA10" s="14">
        <v>0.232269448154105</v>
      </c>
    </row>
    <row r="11" spans="2:53" ht="43.5" x14ac:dyDescent="0.35">
      <c r="B11" s="15" t="s">
        <v>441</v>
      </c>
      <c r="C11" s="14">
        <v>0.34914252976006799</v>
      </c>
      <c r="D11" s="14">
        <v>0.32684154060716702</v>
      </c>
      <c r="E11" s="14">
        <v>0.37083033496781298</v>
      </c>
      <c r="F11" s="14"/>
      <c r="G11" s="14">
        <v>0.11326843138774099</v>
      </c>
      <c r="H11" s="14">
        <v>0.323131624537773</v>
      </c>
      <c r="I11" s="14">
        <v>0.33882909273419198</v>
      </c>
      <c r="J11" s="14">
        <v>0.39569572681218002</v>
      </c>
      <c r="K11" s="14">
        <v>0.30708904229453399</v>
      </c>
      <c r="L11" s="14">
        <v>0.317257521156456</v>
      </c>
      <c r="M11" s="14"/>
      <c r="N11" s="14">
        <v>0.31288770365524399</v>
      </c>
      <c r="O11" s="14">
        <v>0.38927043942073503</v>
      </c>
      <c r="P11" s="14">
        <v>0.37641159368449101</v>
      </c>
      <c r="Q11" s="14">
        <v>0.323451060405678</v>
      </c>
      <c r="R11" s="14"/>
      <c r="S11" s="14">
        <v>0.30482301829930702</v>
      </c>
      <c r="T11" s="14">
        <v>0.35279942583236101</v>
      </c>
      <c r="U11" s="14">
        <v>0.437387439897582</v>
      </c>
      <c r="V11" s="14">
        <v>0.32840908615148701</v>
      </c>
      <c r="W11" s="14">
        <v>0.329845547660988</v>
      </c>
      <c r="X11" s="14">
        <v>0.35034536473031602</v>
      </c>
      <c r="Y11" s="14">
        <v>0.35761055687248999</v>
      </c>
      <c r="Z11" s="14">
        <v>0.33610306322544897</v>
      </c>
      <c r="AA11" s="14">
        <v>0.35953360636228199</v>
      </c>
      <c r="AB11" s="14"/>
      <c r="AC11" s="14">
        <v>0.40789141632403603</v>
      </c>
      <c r="AD11" s="14">
        <v>0.39414554883811298</v>
      </c>
      <c r="AE11" s="14">
        <v>0.33082057756564598</v>
      </c>
      <c r="AF11" s="14">
        <v>0.26276567792492</v>
      </c>
      <c r="AG11" s="14">
        <v>0.21001038746369999</v>
      </c>
      <c r="AH11" s="14"/>
      <c r="AI11" s="14">
        <v>0.34618935762456599</v>
      </c>
      <c r="AJ11" s="14">
        <v>0.308969164399436</v>
      </c>
      <c r="AK11" s="14">
        <v>0.33989971428916299</v>
      </c>
      <c r="AL11" s="14">
        <v>0.379608256548572</v>
      </c>
      <c r="AM11" s="14">
        <v>0.432251843877617</v>
      </c>
      <c r="AN11" s="14">
        <v>0.26038455377411901</v>
      </c>
      <c r="AO11" s="14"/>
      <c r="AP11" s="14">
        <v>0.34696180892755801</v>
      </c>
      <c r="AQ11" s="14">
        <v>0.352054542748298</v>
      </c>
      <c r="AR11" s="14"/>
      <c r="AS11" s="14">
        <v>0.36840434565595698</v>
      </c>
      <c r="AT11" s="14">
        <v>0.32622862151125398</v>
      </c>
      <c r="AU11" s="14">
        <v>0.35073403643693501</v>
      </c>
      <c r="AV11" s="14"/>
      <c r="AW11" s="14">
        <v>0.36593058860560501</v>
      </c>
      <c r="AX11" s="14">
        <v>0.26973158450596602</v>
      </c>
      <c r="AY11" s="14"/>
      <c r="AZ11" s="14">
        <v>0.33242134105739402</v>
      </c>
      <c r="BA11" s="14">
        <v>0.41311264667136699</v>
      </c>
    </row>
    <row r="12" spans="2:53" ht="43.5" x14ac:dyDescent="0.35">
      <c r="B12" s="15" t="s">
        <v>442</v>
      </c>
      <c r="C12" s="14">
        <v>5.3263654395839001E-2</v>
      </c>
      <c r="D12" s="14">
        <v>3.4096483575691103E-2</v>
      </c>
      <c r="E12" s="14">
        <v>7.2497791086324606E-2</v>
      </c>
      <c r="F12" s="14"/>
      <c r="G12" s="14">
        <v>0</v>
      </c>
      <c r="H12" s="14">
        <v>3.0476537245618E-2</v>
      </c>
      <c r="I12" s="14">
        <v>5.6453214217872E-2</v>
      </c>
      <c r="J12" s="14">
        <v>6.0455297541135398E-2</v>
      </c>
      <c r="K12" s="14">
        <v>4.3707979103411301E-2</v>
      </c>
      <c r="L12" s="14">
        <v>0.12005187765651699</v>
      </c>
      <c r="M12" s="14"/>
      <c r="N12" s="14">
        <v>5.31603743895206E-2</v>
      </c>
      <c r="O12" s="14">
        <v>4.7805235137751798E-2</v>
      </c>
      <c r="P12" s="14">
        <v>5.3288011216543099E-2</v>
      </c>
      <c r="Q12" s="14">
        <v>5.9644676321886102E-2</v>
      </c>
      <c r="R12" s="14"/>
      <c r="S12" s="14">
        <v>3.6825543147454197E-2</v>
      </c>
      <c r="T12" s="14">
        <v>8.1822117796711002E-2</v>
      </c>
      <c r="U12" s="14">
        <v>3.0269887711132301E-2</v>
      </c>
      <c r="V12" s="14">
        <v>6.8999021782474995E-2</v>
      </c>
      <c r="W12" s="14">
        <v>5.1976509887554097E-2</v>
      </c>
      <c r="X12" s="14">
        <v>5.8618387593797602E-2</v>
      </c>
      <c r="Y12" s="14">
        <v>3.9859453478507299E-2</v>
      </c>
      <c r="Z12" s="14">
        <v>5.81024801839213E-2</v>
      </c>
      <c r="AA12" s="14">
        <v>4.8015009582896E-2</v>
      </c>
      <c r="AB12" s="14"/>
      <c r="AC12" s="14">
        <v>6.2400229039740102E-2</v>
      </c>
      <c r="AD12" s="14">
        <v>7.6247278496159407E-2</v>
      </c>
      <c r="AE12" s="14">
        <v>3.7752442512685801E-2</v>
      </c>
      <c r="AF12" s="14">
        <v>2.1289551518811699E-2</v>
      </c>
      <c r="AG12" s="14">
        <v>1.7369136319567401E-2</v>
      </c>
      <c r="AH12" s="14"/>
      <c r="AI12" s="14">
        <v>3.25666018650905E-2</v>
      </c>
      <c r="AJ12" s="14">
        <v>5.2018162982358597E-2</v>
      </c>
      <c r="AK12" s="14">
        <v>7.6702966391182695E-2</v>
      </c>
      <c r="AL12" s="14">
        <v>7.0393121541192302E-2</v>
      </c>
      <c r="AM12" s="14">
        <v>7.0533210955118594E-2</v>
      </c>
      <c r="AN12" s="14">
        <v>7.2306084065899598E-2</v>
      </c>
      <c r="AO12" s="14"/>
      <c r="AP12" s="14">
        <v>4.0160269426105302E-2</v>
      </c>
      <c r="AQ12" s="14">
        <v>6.8178455592194195E-2</v>
      </c>
      <c r="AR12" s="14"/>
      <c r="AS12" s="14">
        <v>2.6013065448215501E-2</v>
      </c>
      <c r="AT12" s="14">
        <v>5.1116581485551503E-2</v>
      </c>
      <c r="AU12" s="14">
        <v>6.1232617164329602E-2</v>
      </c>
      <c r="AV12" s="14"/>
      <c r="AW12" s="14">
        <v>5.86847827282449E-2</v>
      </c>
      <c r="AX12" s="14">
        <v>1.6375702056510202E-2</v>
      </c>
      <c r="AY12" s="14"/>
      <c r="AZ12" s="14">
        <v>4.0329335398932097E-2</v>
      </c>
      <c r="BA12" s="14">
        <v>0.102611099008734</v>
      </c>
    </row>
    <row r="13" spans="2:53" ht="43.5" x14ac:dyDescent="0.35">
      <c r="B13" s="15" t="s">
        <v>443</v>
      </c>
      <c r="C13" s="14">
        <v>1.8004675046613301E-2</v>
      </c>
      <c r="D13" s="14">
        <v>5.7960212299213998E-3</v>
      </c>
      <c r="E13" s="14">
        <v>3.02405466432994E-2</v>
      </c>
      <c r="F13" s="14"/>
      <c r="G13" s="14">
        <v>0</v>
      </c>
      <c r="H13" s="14">
        <v>1.7765457093957999E-2</v>
      </c>
      <c r="I13" s="14">
        <v>1.30375068181452E-2</v>
      </c>
      <c r="J13" s="14">
        <v>3.0324530142245801E-2</v>
      </c>
      <c r="K13" s="14">
        <v>5.6967360571398198E-3</v>
      </c>
      <c r="L13" s="14">
        <v>0</v>
      </c>
      <c r="M13" s="14"/>
      <c r="N13" s="14">
        <v>1.46962130305438E-2</v>
      </c>
      <c r="O13" s="14">
        <v>1.1365624040258E-2</v>
      </c>
      <c r="P13" s="14">
        <v>1.9727752160700301E-2</v>
      </c>
      <c r="Q13" s="14">
        <v>2.7167532044304301E-2</v>
      </c>
      <c r="R13" s="14"/>
      <c r="S13" s="14">
        <v>7.2062223786123897E-3</v>
      </c>
      <c r="T13" s="14">
        <v>7.5090914591823803E-3</v>
      </c>
      <c r="U13" s="14">
        <v>3.0770156542842798E-2</v>
      </c>
      <c r="V13" s="14">
        <v>1.2164962938581599E-2</v>
      </c>
      <c r="W13" s="14">
        <v>3.30833060919829E-2</v>
      </c>
      <c r="X13" s="14">
        <v>2.9439490489282301E-2</v>
      </c>
      <c r="Y13" s="14">
        <v>1.7231317094492899E-2</v>
      </c>
      <c r="Z13" s="14">
        <v>3.814543802624E-2</v>
      </c>
      <c r="AA13" s="14">
        <v>1.286570016522E-2</v>
      </c>
      <c r="AB13" s="14"/>
      <c r="AC13" s="14">
        <v>2.3739170012949801E-2</v>
      </c>
      <c r="AD13" s="14">
        <v>2.52348426810616E-2</v>
      </c>
      <c r="AE13" s="14">
        <v>1.4826461443275899E-2</v>
      </c>
      <c r="AF13" s="14">
        <v>4.56666016331711E-3</v>
      </c>
      <c r="AG13" s="14">
        <v>0</v>
      </c>
      <c r="AH13" s="14"/>
      <c r="AI13" s="14">
        <v>1.8328690299339302E-2</v>
      </c>
      <c r="AJ13" s="14">
        <v>1.5504017357969699E-2</v>
      </c>
      <c r="AK13" s="14">
        <v>1.29607733746144E-2</v>
      </c>
      <c r="AL13" s="14">
        <v>1.0555130837512101E-2</v>
      </c>
      <c r="AM13" s="14">
        <v>2.5795886296174599E-2</v>
      </c>
      <c r="AN13" s="14">
        <v>1.8077246166804801E-2</v>
      </c>
      <c r="AO13" s="14"/>
      <c r="AP13" s="14">
        <v>1.7176350973086299E-2</v>
      </c>
      <c r="AQ13" s="14">
        <v>1.8994680553734902E-2</v>
      </c>
      <c r="AR13" s="14"/>
      <c r="AS13" s="14">
        <v>2.40633539141625E-3</v>
      </c>
      <c r="AT13" s="14">
        <v>2.1098559416514201E-2</v>
      </c>
      <c r="AU13" s="14">
        <v>2.1287885304995102E-2</v>
      </c>
      <c r="AV13" s="14"/>
      <c r="AW13" s="14">
        <v>1.3753725587627001E-2</v>
      </c>
      <c r="AX13" s="14">
        <v>8.2397492645273993E-3</v>
      </c>
      <c r="AY13" s="14"/>
      <c r="AZ13" s="14">
        <v>1.42208627569952E-2</v>
      </c>
      <c r="BA13" s="14">
        <v>3.2491743953369401E-2</v>
      </c>
    </row>
    <row r="14" spans="2:53" x14ac:dyDescent="0.35">
      <c r="B14" s="15" t="s">
        <v>80</v>
      </c>
      <c r="C14" s="23">
        <v>7.7317158906051495E-2</v>
      </c>
      <c r="D14" s="23">
        <v>6.3281731245949505E-2</v>
      </c>
      <c r="E14" s="23">
        <v>9.1438769336733505E-2</v>
      </c>
      <c r="F14" s="23"/>
      <c r="G14" s="23">
        <v>0</v>
      </c>
      <c r="H14" s="23">
        <v>6.87245274886195E-2</v>
      </c>
      <c r="I14" s="23">
        <v>7.1128864478444603E-2</v>
      </c>
      <c r="J14" s="23">
        <v>7.6421105089992794E-2</v>
      </c>
      <c r="K14" s="23">
        <v>0.118135286841307</v>
      </c>
      <c r="L14" s="23">
        <v>0.137268834999517</v>
      </c>
      <c r="M14" s="23"/>
      <c r="N14" s="23">
        <v>2.94947527258374E-2</v>
      </c>
      <c r="O14" s="23">
        <v>7.5954917591070301E-2</v>
      </c>
      <c r="P14" s="23">
        <v>9.5858556981820595E-2</v>
      </c>
      <c r="Q14" s="23">
        <v>0.112408502490706</v>
      </c>
      <c r="R14" s="23"/>
      <c r="S14" s="23">
        <v>6.6181134471957906E-2</v>
      </c>
      <c r="T14" s="23">
        <v>6.1804172193545601E-2</v>
      </c>
      <c r="U14" s="23">
        <v>0.10205107677676099</v>
      </c>
      <c r="V14" s="23">
        <v>0.102629375167199</v>
      </c>
      <c r="W14" s="23">
        <v>6.5243783831077998E-2</v>
      </c>
      <c r="X14" s="23">
        <v>8.0024579011788305E-2</v>
      </c>
      <c r="Y14" s="23">
        <v>6.81926690278431E-2</v>
      </c>
      <c r="Z14" s="23">
        <v>9.1163992770450494E-2</v>
      </c>
      <c r="AA14" s="23">
        <v>7.7594203343257201E-2</v>
      </c>
      <c r="AB14" s="23"/>
      <c r="AC14" s="23">
        <v>0.11141058087490301</v>
      </c>
      <c r="AD14" s="23">
        <v>6.8740689490322707E-2</v>
      </c>
      <c r="AE14" s="23">
        <v>5.1640195782533198E-2</v>
      </c>
      <c r="AF14" s="23">
        <v>4.1211727639599502E-2</v>
      </c>
      <c r="AG14" s="23">
        <v>1.40365128650168E-2</v>
      </c>
      <c r="AH14" s="23"/>
      <c r="AI14" s="23">
        <v>6.08517902642986E-2</v>
      </c>
      <c r="AJ14" s="23">
        <v>3.1597822640247998E-2</v>
      </c>
      <c r="AK14" s="23">
        <v>4.5640758173761502E-2</v>
      </c>
      <c r="AL14" s="23">
        <v>8.5600874843477101E-2</v>
      </c>
      <c r="AM14" s="23">
        <v>5.7291509382297899E-2</v>
      </c>
      <c r="AN14" s="23">
        <v>0.230854557311264</v>
      </c>
      <c r="AO14" s="23"/>
      <c r="AP14" s="23">
        <v>5.8582603543994798E-2</v>
      </c>
      <c r="AQ14" s="23">
        <v>9.7449499513353396E-2</v>
      </c>
      <c r="AR14" s="23"/>
      <c r="AS14" s="23">
        <v>8.2952672481256207E-2</v>
      </c>
      <c r="AT14" s="23">
        <v>5.4522233531640103E-2</v>
      </c>
      <c r="AU14" s="23">
        <v>8.2540795960450594E-2</v>
      </c>
      <c r="AV14" s="23"/>
      <c r="AW14" s="23">
        <v>6.9018411671480095E-2</v>
      </c>
      <c r="AX14" s="23">
        <v>2.62979792540908E-2</v>
      </c>
      <c r="AY14" s="23"/>
      <c r="AZ14" s="23">
        <v>5.8201171994385702E-2</v>
      </c>
      <c r="BA14" s="23">
        <v>0.13734642107779199</v>
      </c>
    </row>
    <row r="15" spans="2:53" x14ac:dyDescent="0.35">
      <c r="B15" s="16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B2:BA19"/>
  <sheetViews>
    <sheetView showGridLines="0" workbookViewId="0">
      <pane xSplit="2" topLeftCell="C1" activePane="topRight" state="frozen"/>
      <selection pane="topRight" activeCell="AT15" sqref="AT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448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x14ac:dyDescent="0.35">
      <c r="B9" s="15" t="s">
        <v>220</v>
      </c>
      <c r="C9" s="14">
        <v>0.21444846178832699</v>
      </c>
      <c r="D9" s="14">
        <v>0.24401565928339999</v>
      </c>
      <c r="E9" s="14">
        <v>0.18409601892282901</v>
      </c>
      <c r="F9" s="14"/>
      <c r="G9" s="14">
        <v>0.234967666999294</v>
      </c>
      <c r="H9" s="14">
        <v>0.26694007118634</v>
      </c>
      <c r="I9" s="14">
        <v>0.217616571554056</v>
      </c>
      <c r="J9" s="14">
        <v>0.191153918135129</v>
      </c>
      <c r="K9" s="14">
        <v>0.20527685139264501</v>
      </c>
      <c r="L9" s="14">
        <v>0.116985278620378</v>
      </c>
      <c r="M9" s="14"/>
      <c r="N9" s="14">
        <v>0.251780376812411</v>
      </c>
      <c r="O9" s="14">
        <v>0.184113006137301</v>
      </c>
      <c r="P9" s="14">
        <v>0.20038064157080501</v>
      </c>
      <c r="Q9" s="14">
        <v>0.217985688539647</v>
      </c>
      <c r="R9" s="14"/>
      <c r="S9" s="14">
        <v>0.248112279640055</v>
      </c>
      <c r="T9" s="14">
        <v>0.226184118331101</v>
      </c>
      <c r="U9" s="14">
        <v>0.220960714244477</v>
      </c>
      <c r="V9" s="14">
        <v>0.195604557672546</v>
      </c>
      <c r="W9" s="14">
        <v>0.20069305514028199</v>
      </c>
      <c r="X9" s="14">
        <v>0.23761405433753499</v>
      </c>
      <c r="Y9" s="14">
        <v>0.20352913882662399</v>
      </c>
      <c r="Z9" s="14">
        <v>0.236031917395056</v>
      </c>
      <c r="AA9" s="14">
        <v>0.161277382709615</v>
      </c>
      <c r="AB9" s="14"/>
      <c r="AC9" s="14">
        <v>0.170968966939924</v>
      </c>
      <c r="AD9" s="14">
        <v>0.18475162630000999</v>
      </c>
      <c r="AE9" s="14">
        <v>0.22129734422460001</v>
      </c>
      <c r="AF9" s="14">
        <v>0.29935473567494397</v>
      </c>
      <c r="AG9" s="14">
        <v>0.33815086303923902</v>
      </c>
      <c r="AH9" s="14"/>
      <c r="AI9" s="14">
        <v>0.235591483343283</v>
      </c>
      <c r="AJ9" s="14">
        <v>0.188582789249292</v>
      </c>
      <c r="AK9" s="14">
        <v>0.226813699676294</v>
      </c>
      <c r="AL9" s="14">
        <v>0.203167948273904</v>
      </c>
      <c r="AM9" s="14">
        <v>0.22995834160033099</v>
      </c>
      <c r="AN9" s="14">
        <v>0.226299292074293</v>
      </c>
      <c r="AO9" s="14"/>
      <c r="AP9" s="14">
        <v>0.25132336119027898</v>
      </c>
      <c r="AQ9" s="14">
        <v>0.17365014703229201</v>
      </c>
      <c r="AR9" s="14"/>
      <c r="AS9" s="14">
        <v>0.26866821454388001</v>
      </c>
      <c r="AT9" s="14">
        <v>0.190877178515099</v>
      </c>
      <c r="AU9" s="14">
        <v>0.20682595147302399</v>
      </c>
      <c r="AV9" s="14"/>
      <c r="AW9" s="14">
        <v>0.20582379700304201</v>
      </c>
      <c r="AX9" s="14">
        <v>0.27960419306845502</v>
      </c>
      <c r="AY9" s="14"/>
      <c r="AZ9" s="14">
        <v>0.22997435381332601</v>
      </c>
      <c r="BA9" s="14">
        <v>0.16106668221189599</v>
      </c>
    </row>
    <row r="10" spans="2:53" x14ac:dyDescent="0.35">
      <c r="B10" s="15" t="s">
        <v>445</v>
      </c>
      <c r="C10" s="14">
        <v>0.50018724934106895</v>
      </c>
      <c r="D10" s="14">
        <v>0.49855066052939101</v>
      </c>
      <c r="E10" s="14">
        <v>0.50231008552693801</v>
      </c>
      <c r="F10" s="14"/>
      <c r="G10" s="14">
        <v>0.62043660095529396</v>
      </c>
      <c r="H10" s="14">
        <v>0.47342236249528802</v>
      </c>
      <c r="I10" s="14">
        <v>0.50249634365777895</v>
      </c>
      <c r="J10" s="14">
        <v>0.50356270935506497</v>
      </c>
      <c r="K10" s="14">
        <v>0.515169552978608</v>
      </c>
      <c r="L10" s="14">
        <v>0.49678357108293397</v>
      </c>
      <c r="M10" s="14"/>
      <c r="N10" s="14">
        <v>0.46556844797753899</v>
      </c>
      <c r="O10" s="14">
        <v>0.51985311020519898</v>
      </c>
      <c r="P10" s="14">
        <v>0.50840332577665803</v>
      </c>
      <c r="Q10" s="14">
        <v>0.51072841312718298</v>
      </c>
      <c r="R10" s="14"/>
      <c r="S10" s="14">
        <v>0.45879417791139399</v>
      </c>
      <c r="T10" s="14">
        <v>0.49248509313741801</v>
      </c>
      <c r="U10" s="14">
        <v>0.502948399017489</v>
      </c>
      <c r="V10" s="14">
        <v>0.51602889439348398</v>
      </c>
      <c r="W10" s="14">
        <v>0.513743214376152</v>
      </c>
      <c r="X10" s="14">
        <v>0.46184916130950798</v>
      </c>
      <c r="Y10" s="14">
        <v>0.54883972598842901</v>
      </c>
      <c r="Z10" s="14">
        <v>0.49658796534049898</v>
      </c>
      <c r="AA10" s="14">
        <v>0.52908461795706996</v>
      </c>
      <c r="AB10" s="14"/>
      <c r="AC10" s="14">
        <v>0.54247312011232796</v>
      </c>
      <c r="AD10" s="14">
        <v>0.531622529054389</v>
      </c>
      <c r="AE10" s="14">
        <v>0.48855364573052201</v>
      </c>
      <c r="AF10" s="14">
        <v>0.46296818974113602</v>
      </c>
      <c r="AG10" s="14">
        <v>0.37267657464255299</v>
      </c>
      <c r="AH10" s="14"/>
      <c r="AI10" s="14">
        <v>0.47766462523918501</v>
      </c>
      <c r="AJ10" s="14">
        <v>0.52272535716181201</v>
      </c>
      <c r="AK10" s="14">
        <v>0.535038111752977</v>
      </c>
      <c r="AL10" s="14">
        <v>0.53189967814964301</v>
      </c>
      <c r="AM10" s="14">
        <v>0.43842398364169799</v>
      </c>
      <c r="AN10" s="14">
        <v>0.435576488815556</v>
      </c>
      <c r="AO10" s="14"/>
      <c r="AP10" s="14">
        <v>0.49147542714753001</v>
      </c>
      <c r="AQ10" s="14">
        <v>0.51024113532900595</v>
      </c>
      <c r="AR10" s="14"/>
      <c r="AS10" s="14">
        <v>0.47409070925575397</v>
      </c>
      <c r="AT10" s="14">
        <v>0.52083248815961802</v>
      </c>
      <c r="AU10" s="14">
        <v>0.50110603992361002</v>
      </c>
      <c r="AV10" s="14"/>
      <c r="AW10" s="14">
        <v>0.51114755441173798</v>
      </c>
      <c r="AX10" s="14">
        <v>0.420023867834873</v>
      </c>
      <c r="AY10" s="14"/>
      <c r="AZ10" s="14">
        <v>0.51435526282266197</v>
      </c>
      <c r="BA10" s="14">
        <v>0.45281338475310901</v>
      </c>
    </row>
    <row r="11" spans="2:53" x14ac:dyDescent="0.35">
      <c r="B11" s="15" t="s">
        <v>446</v>
      </c>
      <c r="C11" s="14">
        <v>0.19465729916735799</v>
      </c>
      <c r="D11" s="14">
        <v>0.19035304061865299</v>
      </c>
      <c r="E11" s="14">
        <v>0.199153722446688</v>
      </c>
      <c r="F11" s="14"/>
      <c r="G11" s="14">
        <v>4.7152529771917098E-2</v>
      </c>
      <c r="H11" s="14">
        <v>0.17082903124961299</v>
      </c>
      <c r="I11" s="14">
        <v>0.19080972692074699</v>
      </c>
      <c r="J11" s="14">
        <v>0.21459132049386101</v>
      </c>
      <c r="K11" s="14">
        <v>0.18139471496699799</v>
      </c>
      <c r="L11" s="14">
        <v>0.27726436226523399</v>
      </c>
      <c r="M11" s="14"/>
      <c r="N11" s="14">
        <v>0.216320142442921</v>
      </c>
      <c r="O11" s="14">
        <v>0.1940550680292</v>
      </c>
      <c r="P11" s="14">
        <v>0.198509180164293</v>
      </c>
      <c r="Q11" s="14">
        <v>0.16921921077823099</v>
      </c>
      <c r="R11" s="14"/>
      <c r="S11" s="14">
        <v>0.20045557551099599</v>
      </c>
      <c r="T11" s="14">
        <v>0.17918709416691</v>
      </c>
      <c r="U11" s="14">
        <v>0.21640009552891901</v>
      </c>
      <c r="V11" s="14">
        <v>0.19150103618700601</v>
      </c>
      <c r="W11" s="14">
        <v>0.20198857948225801</v>
      </c>
      <c r="X11" s="14">
        <v>0.21763376039868601</v>
      </c>
      <c r="Y11" s="14">
        <v>0.17159343792083001</v>
      </c>
      <c r="Z11" s="14">
        <v>0.19667185748421401</v>
      </c>
      <c r="AA11" s="14">
        <v>0.18665247272028601</v>
      </c>
      <c r="AB11" s="14"/>
      <c r="AC11" s="14">
        <v>0.18457767790427701</v>
      </c>
      <c r="AD11" s="14">
        <v>0.19838388009379501</v>
      </c>
      <c r="AE11" s="14">
        <v>0.212753281392799</v>
      </c>
      <c r="AF11" s="14">
        <v>0.174458200173675</v>
      </c>
      <c r="AG11" s="14">
        <v>0.191219582027188</v>
      </c>
      <c r="AH11" s="14"/>
      <c r="AI11" s="14">
        <v>0.21675614924830799</v>
      </c>
      <c r="AJ11" s="14">
        <v>0.208859465258557</v>
      </c>
      <c r="AK11" s="14">
        <v>0.158947815819869</v>
      </c>
      <c r="AL11" s="14">
        <v>0.17863904817537801</v>
      </c>
      <c r="AM11" s="14">
        <v>0.19350171325312901</v>
      </c>
      <c r="AN11" s="14">
        <v>0.20108274731633299</v>
      </c>
      <c r="AO11" s="14"/>
      <c r="AP11" s="14">
        <v>0.18331996474839701</v>
      </c>
      <c r="AQ11" s="14">
        <v>0.20804072412366301</v>
      </c>
      <c r="AR11" s="14"/>
      <c r="AS11" s="14">
        <v>0.189119959193843</v>
      </c>
      <c r="AT11" s="14">
        <v>0.20182802341240599</v>
      </c>
      <c r="AU11" s="14">
        <v>0.194027241606156</v>
      </c>
      <c r="AV11" s="14"/>
      <c r="AW11" s="14">
        <v>0.19235152062455499</v>
      </c>
      <c r="AX11" s="14">
        <v>0.22435918414487799</v>
      </c>
      <c r="AY11" s="14"/>
      <c r="AZ11" s="14">
        <v>0.18694118546212199</v>
      </c>
      <c r="BA11" s="14">
        <v>0.22752072670717599</v>
      </c>
    </row>
    <row r="12" spans="2:53" x14ac:dyDescent="0.35">
      <c r="B12" s="15" t="s">
        <v>447</v>
      </c>
      <c r="C12" s="14">
        <v>3.0552273544299E-2</v>
      </c>
      <c r="D12" s="14">
        <v>2.1358544936817599E-2</v>
      </c>
      <c r="E12" s="14">
        <v>3.97829742884903E-2</v>
      </c>
      <c r="F12" s="14"/>
      <c r="G12" s="14">
        <v>9.7443202273495205E-2</v>
      </c>
      <c r="H12" s="14">
        <v>3.3458462759492803E-2</v>
      </c>
      <c r="I12" s="14">
        <v>3.4049072587556899E-2</v>
      </c>
      <c r="J12" s="14">
        <v>2.7489171926673599E-2</v>
      </c>
      <c r="K12" s="14">
        <v>2.0409995804204498E-2</v>
      </c>
      <c r="L12" s="14">
        <v>0</v>
      </c>
      <c r="M12" s="14"/>
      <c r="N12" s="14">
        <v>2.8458320087806601E-2</v>
      </c>
      <c r="O12" s="14">
        <v>4.3820686593574402E-2</v>
      </c>
      <c r="P12" s="14">
        <v>2.4888584565972299E-2</v>
      </c>
      <c r="Q12" s="14">
        <v>2.4367034355335201E-2</v>
      </c>
      <c r="R12" s="14"/>
      <c r="S12" s="14">
        <v>4.5033134878683302E-2</v>
      </c>
      <c r="T12" s="14">
        <v>3.0950811439809701E-2</v>
      </c>
      <c r="U12" s="14">
        <v>9.6782180713782008E-3</v>
      </c>
      <c r="V12" s="14">
        <v>2.1964280035566899E-2</v>
      </c>
      <c r="W12" s="14">
        <v>1.8524246393720099E-2</v>
      </c>
      <c r="X12" s="14">
        <v>2.6216528257654099E-2</v>
      </c>
      <c r="Y12" s="14">
        <v>3.0452124643025599E-2</v>
      </c>
      <c r="Z12" s="14">
        <v>1.20596836938449E-2</v>
      </c>
      <c r="AA12" s="14">
        <v>5.4517723431012001E-2</v>
      </c>
      <c r="AB12" s="14"/>
      <c r="AC12" s="14">
        <v>1.62677303327829E-2</v>
      </c>
      <c r="AD12" s="14">
        <v>3.6272302170204503E-2</v>
      </c>
      <c r="AE12" s="14">
        <v>3.0800839104037199E-2</v>
      </c>
      <c r="AF12" s="14">
        <v>4.4693220026331602E-2</v>
      </c>
      <c r="AG12" s="14">
        <v>2.40490743001305E-2</v>
      </c>
      <c r="AH12" s="14"/>
      <c r="AI12" s="14">
        <v>2.9457728928780499E-2</v>
      </c>
      <c r="AJ12" s="14">
        <v>3.07048834916685E-2</v>
      </c>
      <c r="AK12" s="14">
        <v>3.0726523143064299E-2</v>
      </c>
      <c r="AL12" s="14">
        <v>3.3968358415370402E-2</v>
      </c>
      <c r="AM12" s="14">
        <v>5.7989324104516703E-2</v>
      </c>
      <c r="AN12" s="14">
        <v>1.62706317328053E-2</v>
      </c>
      <c r="AO12" s="14"/>
      <c r="AP12" s="14">
        <v>2.4692234475519399E-2</v>
      </c>
      <c r="AQ12" s="14">
        <v>3.6577294449805099E-2</v>
      </c>
      <c r="AR12" s="14"/>
      <c r="AS12" s="14">
        <v>1.6172412967957499E-2</v>
      </c>
      <c r="AT12" s="14">
        <v>3.4709923286081502E-2</v>
      </c>
      <c r="AU12" s="14">
        <v>3.3192998274658998E-2</v>
      </c>
      <c r="AV12" s="14"/>
      <c r="AW12" s="14">
        <v>2.7229381198283598E-2</v>
      </c>
      <c r="AX12" s="14">
        <v>4.9516285288833298E-2</v>
      </c>
      <c r="AY12" s="14"/>
      <c r="AZ12" s="14">
        <v>2.5590575018621501E-2</v>
      </c>
      <c r="BA12" s="14">
        <v>4.9695086297955202E-2</v>
      </c>
    </row>
    <row r="13" spans="2:53" x14ac:dyDescent="0.35">
      <c r="B13" s="15" t="s">
        <v>80</v>
      </c>
      <c r="C13" s="18">
        <v>6.0154716158947102E-2</v>
      </c>
      <c r="D13" s="18">
        <v>4.5722094631737799E-2</v>
      </c>
      <c r="E13" s="18">
        <v>7.4657198815054407E-2</v>
      </c>
      <c r="F13" s="18"/>
      <c r="G13" s="18">
        <v>0</v>
      </c>
      <c r="H13" s="18">
        <v>5.5350072309266099E-2</v>
      </c>
      <c r="I13" s="18">
        <v>5.50282852798612E-2</v>
      </c>
      <c r="J13" s="18">
        <v>6.3202880089271302E-2</v>
      </c>
      <c r="K13" s="18">
        <v>7.77488848575449E-2</v>
      </c>
      <c r="L13" s="18">
        <v>0.108966788031454</v>
      </c>
      <c r="M13" s="18"/>
      <c r="N13" s="18">
        <v>3.7872712679322303E-2</v>
      </c>
      <c r="O13" s="18">
        <v>5.8158129034726599E-2</v>
      </c>
      <c r="P13" s="18">
        <v>6.7818267922272496E-2</v>
      </c>
      <c r="Q13" s="18">
        <v>7.7699653199603702E-2</v>
      </c>
      <c r="R13" s="18"/>
      <c r="S13" s="18">
        <v>4.7604832058872101E-2</v>
      </c>
      <c r="T13" s="18">
        <v>7.1192882924760906E-2</v>
      </c>
      <c r="U13" s="18">
        <v>5.0012573137737201E-2</v>
      </c>
      <c r="V13" s="18">
        <v>7.4901231711396996E-2</v>
      </c>
      <c r="W13" s="18">
        <v>6.5050904607588403E-2</v>
      </c>
      <c r="X13" s="18">
        <v>5.6686495696616802E-2</v>
      </c>
      <c r="Y13" s="18">
        <v>4.5585572621090899E-2</v>
      </c>
      <c r="Z13" s="18">
        <v>5.8648576086386399E-2</v>
      </c>
      <c r="AA13" s="18">
        <v>6.8467803182016604E-2</v>
      </c>
      <c r="AB13" s="18"/>
      <c r="AC13" s="18">
        <v>8.5712504710688406E-2</v>
      </c>
      <c r="AD13" s="18">
        <v>4.8969662381601303E-2</v>
      </c>
      <c r="AE13" s="18">
        <v>4.6594889548041703E-2</v>
      </c>
      <c r="AF13" s="18">
        <v>1.8525654383912599E-2</v>
      </c>
      <c r="AG13" s="18">
        <v>7.3903905990889501E-2</v>
      </c>
      <c r="AH13" s="18"/>
      <c r="AI13" s="18">
        <v>4.0530013240443002E-2</v>
      </c>
      <c r="AJ13" s="18">
        <v>4.9127504838670497E-2</v>
      </c>
      <c r="AK13" s="18">
        <v>4.8473849607796098E-2</v>
      </c>
      <c r="AL13" s="18">
        <v>5.2324966985704803E-2</v>
      </c>
      <c r="AM13" s="18">
        <v>8.0126637400324399E-2</v>
      </c>
      <c r="AN13" s="18">
        <v>0.120770840061013</v>
      </c>
      <c r="AO13" s="18"/>
      <c r="AP13" s="18">
        <v>4.9189012438274803E-2</v>
      </c>
      <c r="AQ13" s="18">
        <v>7.1490699065233504E-2</v>
      </c>
      <c r="AR13" s="18"/>
      <c r="AS13" s="18">
        <v>5.1948704038564802E-2</v>
      </c>
      <c r="AT13" s="18">
        <v>5.1752386626795599E-2</v>
      </c>
      <c r="AU13" s="18">
        <v>6.4847768722551394E-2</v>
      </c>
      <c r="AV13" s="18"/>
      <c r="AW13" s="18">
        <v>6.3447746762381199E-2</v>
      </c>
      <c r="AX13" s="18">
        <v>2.6496469662961201E-2</v>
      </c>
      <c r="AY13" s="18"/>
      <c r="AZ13" s="18">
        <v>4.3138622883268599E-2</v>
      </c>
      <c r="BA13" s="18">
        <v>0.10890412002986399</v>
      </c>
    </row>
    <row r="14" spans="2:53" x14ac:dyDescent="0.35">
      <c r="B14" s="26" t="s">
        <v>224</v>
      </c>
      <c r="C14" s="27">
        <v>0.71463571112939595</v>
      </c>
      <c r="D14" s="27">
        <v>0.74256631981279198</v>
      </c>
      <c r="E14" s="27">
        <v>0.68640610444976802</v>
      </c>
      <c r="F14" s="27"/>
      <c r="G14" s="27">
        <v>0.85540426795458802</v>
      </c>
      <c r="H14" s="27">
        <v>0.74036243368162802</v>
      </c>
      <c r="I14" s="27">
        <v>0.72011291521183496</v>
      </c>
      <c r="J14" s="27">
        <v>0.69471662749019403</v>
      </c>
      <c r="K14" s="27">
        <v>0.72044640437125296</v>
      </c>
      <c r="L14" s="27">
        <v>0.61376884970331202</v>
      </c>
      <c r="M14" s="27"/>
      <c r="N14" s="27">
        <v>0.71734882478994999</v>
      </c>
      <c r="O14" s="27">
        <v>0.70396611634249895</v>
      </c>
      <c r="P14" s="27">
        <v>0.70878396734746196</v>
      </c>
      <c r="Q14" s="27">
        <v>0.72871410166683004</v>
      </c>
      <c r="R14" s="27"/>
      <c r="S14" s="27">
        <v>0.70690645755144899</v>
      </c>
      <c r="T14" s="27">
        <v>0.71866921146851903</v>
      </c>
      <c r="U14" s="27">
        <v>0.72390911326196505</v>
      </c>
      <c r="V14" s="27">
        <v>0.71163345206603001</v>
      </c>
      <c r="W14" s="27">
        <v>0.71443626951643302</v>
      </c>
      <c r="X14" s="27">
        <v>0.69946321564704295</v>
      </c>
      <c r="Y14" s="27">
        <v>0.75236886481505305</v>
      </c>
      <c r="Z14" s="27">
        <v>0.73261988273555501</v>
      </c>
      <c r="AA14" s="27">
        <v>0.69036200066668596</v>
      </c>
      <c r="AB14" s="27"/>
      <c r="AC14" s="27">
        <v>0.71344208705225098</v>
      </c>
      <c r="AD14" s="27">
        <v>0.71637415535439897</v>
      </c>
      <c r="AE14" s="27">
        <v>0.70985098995512197</v>
      </c>
      <c r="AF14" s="27">
        <v>0.76232292541608104</v>
      </c>
      <c r="AG14" s="27">
        <v>0.71082743768179202</v>
      </c>
      <c r="AH14" s="27"/>
      <c r="AI14" s="27">
        <v>0.71325610858246802</v>
      </c>
      <c r="AJ14" s="27">
        <v>0.71130814641110396</v>
      </c>
      <c r="AK14" s="27">
        <v>0.76185181142927105</v>
      </c>
      <c r="AL14" s="27">
        <v>0.73506762642354695</v>
      </c>
      <c r="AM14" s="27">
        <v>0.66838232524203001</v>
      </c>
      <c r="AN14" s="27">
        <v>0.661875780889849</v>
      </c>
      <c r="AO14" s="27"/>
      <c r="AP14" s="27">
        <v>0.74279878833780899</v>
      </c>
      <c r="AQ14" s="27">
        <v>0.68389128236129904</v>
      </c>
      <c r="AR14" s="27"/>
      <c r="AS14" s="27">
        <v>0.74275892379963504</v>
      </c>
      <c r="AT14" s="27">
        <v>0.71170966667471602</v>
      </c>
      <c r="AU14" s="27">
        <v>0.70793199139663399</v>
      </c>
      <c r="AV14" s="27"/>
      <c r="AW14" s="27">
        <v>0.71697135141477997</v>
      </c>
      <c r="AX14" s="27">
        <v>0.69962806090332696</v>
      </c>
      <c r="AY14" s="27"/>
      <c r="AZ14" s="27">
        <v>0.74432961663598796</v>
      </c>
      <c r="BA14" s="27">
        <v>0.61388006696500497</v>
      </c>
    </row>
    <row r="15" spans="2:53" x14ac:dyDescent="0.35">
      <c r="B15" s="25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B2:BA17"/>
  <sheetViews>
    <sheetView showGridLines="0" topLeftCell="A1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452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58" x14ac:dyDescent="0.35">
      <c r="B9" s="15" t="s">
        <v>449</v>
      </c>
      <c r="C9" s="14">
        <v>0.16782363066565301</v>
      </c>
      <c r="D9" s="14">
        <v>0.14641442421634901</v>
      </c>
      <c r="E9" s="14">
        <v>0.189412663259518</v>
      </c>
      <c r="F9" s="14"/>
      <c r="G9" s="14">
        <v>0.108614905515542</v>
      </c>
      <c r="H9" s="14">
        <v>0.20058963412918501</v>
      </c>
      <c r="I9" s="14">
        <v>0.15975516951661001</v>
      </c>
      <c r="J9" s="14">
        <v>0.17737768561181999</v>
      </c>
      <c r="K9" s="14">
        <v>0.12437513526974101</v>
      </c>
      <c r="L9" s="14">
        <v>0.17267555445483199</v>
      </c>
      <c r="M9" s="14"/>
      <c r="N9" s="14">
        <v>0.169075368597398</v>
      </c>
      <c r="O9" s="14">
        <v>0.199333368707974</v>
      </c>
      <c r="P9" s="14">
        <v>0.168327444914809</v>
      </c>
      <c r="Q9" s="14">
        <v>0.13369494668263299</v>
      </c>
      <c r="R9" s="14"/>
      <c r="S9" s="14">
        <v>0.193839626762384</v>
      </c>
      <c r="T9" s="14">
        <v>0.16116919037142799</v>
      </c>
      <c r="U9" s="14">
        <v>0.15792730419054299</v>
      </c>
      <c r="V9" s="14">
        <v>0.16303981967716699</v>
      </c>
      <c r="W9" s="14">
        <v>0.233947239446267</v>
      </c>
      <c r="X9" s="14">
        <v>0.158783445190463</v>
      </c>
      <c r="Y9" s="14">
        <v>0.15285705315319201</v>
      </c>
      <c r="Z9" s="14">
        <v>0.14836923508511199</v>
      </c>
      <c r="AA9" s="14">
        <v>0.13581710156160801</v>
      </c>
      <c r="AB9" s="14"/>
      <c r="AC9" s="14">
        <v>0.13684074153428699</v>
      </c>
      <c r="AD9" s="14">
        <v>0.18889757127134499</v>
      </c>
      <c r="AE9" s="14">
        <v>0.19308171448321401</v>
      </c>
      <c r="AF9" s="14">
        <v>0.13810921789916999</v>
      </c>
      <c r="AG9" s="14">
        <v>0.122240214728283</v>
      </c>
      <c r="AH9" s="14"/>
      <c r="AI9" s="14">
        <v>0.16353859821338901</v>
      </c>
      <c r="AJ9" s="14">
        <v>0.16555394536256199</v>
      </c>
      <c r="AK9" s="14">
        <v>0.19028209099840199</v>
      </c>
      <c r="AL9" s="14">
        <v>0.16276522552131201</v>
      </c>
      <c r="AM9" s="14">
        <v>0.15410416495981999</v>
      </c>
      <c r="AN9" s="14">
        <v>0.18202439207843499</v>
      </c>
      <c r="AO9" s="14"/>
      <c r="AP9" s="14">
        <v>0.16163142562802299</v>
      </c>
      <c r="AQ9" s="14">
        <v>0.175331585215177</v>
      </c>
      <c r="AR9" s="14"/>
      <c r="AS9" s="14">
        <v>0.14771922079305699</v>
      </c>
      <c r="AT9" s="14">
        <v>0.14825917294926499</v>
      </c>
      <c r="AU9" s="14">
        <v>0.17901954474526599</v>
      </c>
      <c r="AV9" s="14"/>
      <c r="AW9" s="14">
        <v>0.17183103300158101</v>
      </c>
      <c r="AX9" s="14">
        <v>0.14199263740356999</v>
      </c>
      <c r="AY9" s="14"/>
      <c r="AZ9" s="14">
        <v>0.156562336692327</v>
      </c>
      <c r="BA9" s="14">
        <v>0.21334161062696599</v>
      </c>
    </row>
    <row r="10" spans="2:53" ht="58" x14ac:dyDescent="0.35">
      <c r="B10" s="15" t="s">
        <v>450</v>
      </c>
      <c r="C10" s="14">
        <v>0.64257050337724897</v>
      </c>
      <c r="D10" s="14">
        <v>0.68171396165828202</v>
      </c>
      <c r="E10" s="14">
        <v>0.60304921309328097</v>
      </c>
      <c r="F10" s="14"/>
      <c r="G10" s="14">
        <v>0.89138509448445802</v>
      </c>
      <c r="H10" s="14">
        <v>0.62390893101446698</v>
      </c>
      <c r="I10" s="14">
        <v>0.63890403575778199</v>
      </c>
      <c r="J10" s="14">
        <v>0.62537414291341997</v>
      </c>
      <c r="K10" s="14">
        <v>0.76183308816242301</v>
      </c>
      <c r="L10" s="14">
        <v>0.46063722229106602</v>
      </c>
      <c r="M10" s="14"/>
      <c r="N10" s="14">
        <v>0.68483695752269003</v>
      </c>
      <c r="O10" s="14">
        <v>0.64940680796586003</v>
      </c>
      <c r="P10" s="14">
        <v>0.61132423433237304</v>
      </c>
      <c r="Q10" s="14">
        <v>0.61869763712894299</v>
      </c>
      <c r="R10" s="14"/>
      <c r="S10" s="14">
        <v>0.61152574712085705</v>
      </c>
      <c r="T10" s="14">
        <v>0.64966844486823805</v>
      </c>
      <c r="U10" s="14">
        <v>0.65146302907582498</v>
      </c>
      <c r="V10" s="14">
        <v>0.60979840605143298</v>
      </c>
      <c r="W10" s="14">
        <v>0.55795792747976303</v>
      </c>
      <c r="X10" s="14">
        <v>0.67000069034966103</v>
      </c>
      <c r="Y10" s="14">
        <v>0.67387258669368699</v>
      </c>
      <c r="Z10" s="14">
        <v>0.66652599202080698</v>
      </c>
      <c r="AA10" s="14">
        <v>0.69708991386150398</v>
      </c>
      <c r="AB10" s="14"/>
      <c r="AC10" s="14">
        <v>0.64200610466227603</v>
      </c>
      <c r="AD10" s="14">
        <v>0.63395565053325598</v>
      </c>
      <c r="AE10" s="14">
        <v>0.64927103831433097</v>
      </c>
      <c r="AF10" s="14">
        <v>0.69535670963491003</v>
      </c>
      <c r="AG10" s="14">
        <v>0.69479462154652105</v>
      </c>
      <c r="AH10" s="14"/>
      <c r="AI10" s="14">
        <v>0.66789598297578501</v>
      </c>
      <c r="AJ10" s="14">
        <v>0.73476212500567595</v>
      </c>
      <c r="AK10" s="14">
        <v>0.58842427141034004</v>
      </c>
      <c r="AL10" s="14">
        <v>0.61520998156752005</v>
      </c>
      <c r="AM10" s="14">
        <v>0.64071783865623</v>
      </c>
      <c r="AN10" s="14">
        <v>0.522924213350352</v>
      </c>
      <c r="AO10" s="14"/>
      <c r="AP10" s="14">
        <v>0.67712694366657</v>
      </c>
      <c r="AQ10" s="14">
        <v>0.60373358846090996</v>
      </c>
      <c r="AR10" s="14"/>
      <c r="AS10" s="14">
        <v>0.613007826406613</v>
      </c>
      <c r="AT10" s="14">
        <v>0.70295966167808399</v>
      </c>
      <c r="AU10" s="14">
        <v>0.63267006563141504</v>
      </c>
      <c r="AV10" s="14"/>
      <c r="AW10" s="14">
        <v>0.64334990563560601</v>
      </c>
      <c r="AX10" s="14">
        <v>0.70935960423571898</v>
      </c>
      <c r="AY10" s="14"/>
      <c r="AZ10" s="14">
        <v>0.67587343939876299</v>
      </c>
      <c r="BA10" s="14">
        <v>0.52684284991683805</v>
      </c>
    </row>
    <row r="11" spans="2:53" ht="72.5" x14ac:dyDescent="0.35">
      <c r="B11" s="15" t="s">
        <v>451</v>
      </c>
      <c r="C11" s="14">
        <v>8.5135967820200498E-2</v>
      </c>
      <c r="D11" s="14">
        <v>9.24524943921229E-2</v>
      </c>
      <c r="E11" s="14">
        <v>7.7896131535720101E-2</v>
      </c>
      <c r="F11" s="14"/>
      <c r="G11" s="14">
        <v>0</v>
      </c>
      <c r="H11" s="14">
        <v>0.107371783188426</v>
      </c>
      <c r="I11" s="14">
        <v>9.36982188969427E-2</v>
      </c>
      <c r="J11" s="14">
        <v>6.5340568482147698E-2</v>
      </c>
      <c r="K11" s="14">
        <v>5.43883586258994E-2</v>
      </c>
      <c r="L11" s="14">
        <v>0.22941838825458599</v>
      </c>
      <c r="M11" s="14"/>
      <c r="N11" s="14">
        <v>8.1061794511034596E-2</v>
      </c>
      <c r="O11" s="14">
        <v>4.5889444605333202E-2</v>
      </c>
      <c r="P11" s="14">
        <v>0.10913837481258599</v>
      </c>
      <c r="Q11" s="14">
        <v>0.110184231773455</v>
      </c>
      <c r="R11" s="14"/>
      <c r="S11" s="14">
        <v>0.11059303009472</v>
      </c>
      <c r="T11" s="14">
        <v>6.3706942988411702E-2</v>
      </c>
      <c r="U11" s="14">
        <v>6.8872458610401796E-2</v>
      </c>
      <c r="V11" s="14">
        <v>9.7137400475870495E-2</v>
      </c>
      <c r="W11" s="14">
        <v>0.15336564158425001</v>
      </c>
      <c r="X11" s="14">
        <v>5.7026337245759201E-2</v>
      </c>
      <c r="Y11" s="14">
        <v>6.0187997036775097E-2</v>
      </c>
      <c r="Z11" s="14">
        <v>0.13138173898733699</v>
      </c>
      <c r="AA11" s="14">
        <v>5.8434568682911602E-2</v>
      </c>
      <c r="AB11" s="14"/>
      <c r="AC11" s="14">
        <v>7.9689639782443006E-2</v>
      </c>
      <c r="AD11" s="14">
        <v>7.4170294484671107E-2</v>
      </c>
      <c r="AE11" s="14">
        <v>6.6469156276493399E-2</v>
      </c>
      <c r="AF11" s="14">
        <v>0.117413515021703</v>
      </c>
      <c r="AG11" s="14">
        <v>7.0652992104507997E-2</v>
      </c>
      <c r="AH11" s="14"/>
      <c r="AI11" s="14">
        <v>9.2783200905589197E-2</v>
      </c>
      <c r="AJ11" s="14">
        <v>5.4314732402407501E-2</v>
      </c>
      <c r="AK11" s="14">
        <v>9.9398076562767806E-2</v>
      </c>
      <c r="AL11" s="14">
        <v>9.7008744392737795E-2</v>
      </c>
      <c r="AM11" s="14">
        <v>8.3569128764484704E-2</v>
      </c>
      <c r="AN11" s="14">
        <v>0.100543396662991</v>
      </c>
      <c r="AO11" s="14"/>
      <c r="AP11" s="14">
        <v>8.1439943183680599E-2</v>
      </c>
      <c r="AQ11" s="14">
        <v>8.9568886734083697E-2</v>
      </c>
      <c r="AR11" s="14"/>
      <c r="AS11" s="14">
        <v>0.108853765848618</v>
      </c>
      <c r="AT11" s="14">
        <v>5.8753197674212401E-2</v>
      </c>
      <c r="AU11" s="14">
        <v>8.6553940191523904E-2</v>
      </c>
      <c r="AV11" s="14"/>
      <c r="AW11" s="14">
        <v>7.3982828569557596E-2</v>
      </c>
      <c r="AX11" s="14">
        <v>0.125132974471998</v>
      </c>
      <c r="AY11" s="14"/>
      <c r="AZ11" s="14">
        <v>9.0220442679585802E-2</v>
      </c>
      <c r="BA11" s="14">
        <v>6.7967748552978102E-2</v>
      </c>
    </row>
    <row r="12" spans="2:53" x14ac:dyDescent="0.35">
      <c r="B12" s="15" t="s">
        <v>116</v>
      </c>
      <c r="C12" s="23">
        <v>0.104469898136897</v>
      </c>
      <c r="D12" s="23">
        <v>7.9419119733246002E-2</v>
      </c>
      <c r="E12" s="23">
        <v>0.129641992111481</v>
      </c>
      <c r="F12" s="23"/>
      <c r="G12" s="23">
        <v>0</v>
      </c>
      <c r="H12" s="23">
        <v>6.8129651667922703E-2</v>
      </c>
      <c r="I12" s="23">
        <v>0.107642575828666</v>
      </c>
      <c r="J12" s="23">
        <v>0.131907602992613</v>
      </c>
      <c r="K12" s="23">
        <v>5.94034179419363E-2</v>
      </c>
      <c r="L12" s="23">
        <v>0.137268834999517</v>
      </c>
      <c r="M12" s="23"/>
      <c r="N12" s="23">
        <v>6.5025879368877798E-2</v>
      </c>
      <c r="O12" s="23">
        <v>0.10537037872083201</v>
      </c>
      <c r="P12" s="23">
        <v>0.11120994594023199</v>
      </c>
      <c r="Q12" s="23">
        <v>0.13742318441496901</v>
      </c>
      <c r="R12" s="23"/>
      <c r="S12" s="23">
        <v>8.4041596022038798E-2</v>
      </c>
      <c r="T12" s="23">
        <v>0.12545542177192301</v>
      </c>
      <c r="U12" s="23">
        <v>0.12173720812323099</v>
      </c>
      <c r="V12" s="23">
        <v>0.13002437379553</v>
      </c>
      <c r="W12" s="23">
        <v>5.4729191489719498E-2</v>
      </c>
      <c r="X12" s="23">
        <v>0.114189527214117</v>
      </c>
      <c r="Y12" s="23">
        <v>0.11308236311634599</v>
      </c>
      <c r="Z12" s="23">
        <v>5.37230339067441E-2</v>
      </c>
      <c r="AA12" s="23">
        <v>0.108658415893976</v>
      </c>
      <c r="AB12" s="23"/>
      <c r="AC12" s="23">
        <v>0.141463514020994</v>
      </c>
      <c r="AD12" s="23">
        <v>0.102976483710728</v>
      </c>
      <c r="AE12" s="23">
        <v>9.1178090925961894E-2</v>
      </c>
      <c r="AF12" s="23">
        <v>4.9120557444217401E-2</v>
      </c>
      <c r="AG12" s="23">
        <v>0.112312171620688</v>
      </c>
      <c r="AH12" s="23"/>
      <c r="AI12" s="23">
        <v>7.5782217905237301E-2</v>
      </c>
      <c r="AJ12" s="23">
        <v>4.5369197229354702E-2</v>
      </c>
      <c r="AK12" s="23">
        <v>0.12189556102849</v>
      </c>
      <c r="AL12" s="23">
        <v>0.12501604851843001</v>
      </c>
      <c r="AM12" s="23">
        <v>0.121608867619465</v>
      </c>
      <c r="AN12" s="23">
        <v>0.19450799790822201</v>
      </c>
      <c r="AO12" s="23"/>
      <c r="AP12" s="23">
        <v>7.98016875217267E-2</v>
      </c>
      <c r="AQ12" s="23">
        <v>0.13136593958983001</v>
      </c>
      <c r="AR12" s="23"/>
      <c r="AS12" s="23">
        <v>0.13041918695171101</v>
      </c>
      <c r="AT12" s="23">
        <v>9.0027967698439404E-2</v>
      </c>
      <c r="AU12" s="23">
        <v>0.101756449431795</v>
      </c>
      <c r="AV12" s="23"/>
      <c r="AW12" s="23">
        <v>0.110836232793255</v>
      </c>
      <c r="AX12" s="23">
        <v>2.3514783888713E-2</v>
      </c>
      <c r="AY12" s="23"/>
      <c r="AZ12" s="23">
        <v>7.7343781229323894E-2</v>
      </c>
      <c r="BA12" s="23">
        <v>0.19184779090321699</v>
      </c>
    </row>
    <row r="13" spans="2:53" x14ac:dyDescent="0.35">
      <c r="B13" s="16"/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B2:BA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458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43.5" x14ac:dyDescent="0.35">
      <c r="B9" s="15" t="s">
        <v>453</v>
      </c>
      <c r="C9" s="14">
        <v>0.17497166343131401</v>
      </c>
      <c r="D9" s="14">
        <v>0.17479195444182399</v>
      </c>
      <c r="E9" s="14">
        <v>0.17532115367097101</v>
      </c>
      <c r="F9" s="14"/>
      <c r="G9" s="14">
        <v>8.1088258398355997E-2</v>
      </c>
      <c r="H9" s="14">
        <v>0.20748653483646101</v>
      </c>
      <c r="I9" s="14">
        <v>0.19245787480648999</v>
      </c>
      <c r="J9" s="14">
        <v>0.146664434604033</v>
      </c>
      <c r="K9" s="14">
        <v>0.128350334277714</v>
      </c>
      <c r="L9" s="14">
        <v>0.22953909785175799</v>
      </c>
      <c r="M9" s="14"/>
      <c r="N9" s="14">
        <v>0.18358319214075</v>
      </c>
      <c r="O9" s="14">
        <v>0.17585154492490801</v>
      </c>
      <c r="P9" s="14">
        <v>0.15091257003927799</v>
      </c>
      <c r="Q9" s="14">
        <v>0.187961668551936</v>
      </c>
      <c r="R9" s="14"/>
      <c r="S9" s="14">
        <v>0.234324521005809</v>
      </c>
      <c r="T9" s="14">
        <v>0.155182226883293</v>
      </c>
      <c r="U9" s="14">
        <v>0.15212946535767899</v>
      </c>
      <c r="V9" s="14">
        <v>0.116561067226968</v>
      </c>
      <c r="W9" s="14">
        <v>0.16005982612955499</v>
      </c>
      <c r="X9" s="14">
        <v>0.204315651657276</v>
      </c>
      <c r="Y9" s="14">
        <v>0.18320464848093801</v>
      </c>
      <c r="Z9" s="14">
        <v>0.16655489262138701</v>
      </c>
      <c r="AA9" s="14">
        <v>0.177958138377078</v>
      </c>
      <c r="AB9" s="14"/>
      <c r="AC9" s="14">
        <v>0.156374986437402</v>
      </c>
      <c r="AD9" s="14">
        <v>0.16616548813120899</v>
      </c>
      <c r="AE9" s="14">
        <v>0.15298817530887199</v>
      </c>
      <c r="AF9" s="14">
        <v>0.25876291509869298</v>
      </c>
      <c r="AG9" s="14">
        <v>0.23189678496819199</v>
      </c>
      <c r="AH9" s="14"/>
      <c r="AI9" s="14">
        <v>0.22011208223026901</v>
      </c>
      <c r="AJ9" s="14">
        <v>0.16641323454351201</v>
      </c>
      <c r="AK9" s="14">
        <v>0.17447095890844799</v>
      </c>
      <c r="AL9" s="14">
        <v>0.15959502070604001</v>
      </c>
      <c r="AM9" s="14">
        <v>0.11718583823789</v>
      </c>
      <c r="AN9" s="14">
        <v>0.10987756141350601</v>
      </c>
      <c r="AO9" s="14"/>
      <c r="AP9" s="14">
        <v>0.17296277294705201</v>
      </c>
      <c r="AQ9" s="14">
        <v>0.17712903175765901</v>
      </c>
      <c r="AR9" s="14"/>
      <c r="AS9" s="14">
        <v>0.16031803577553899</v>
      </c>
      <c r="AT9" s="14">
        <v>0.17835353023606801</v>
      </c>
      <c r="AU9" s="14">
        <v>0.17791546372619199</v>
      </c>
      <c r="AV9" s="14"/>
      <c r="AW9" s="14">
        <v>0.163578627572213</v>
      </c>
      <c r="AX9" s="14">
        <v>0.260573453669044</v>
      </c>
      <c r="AY9" s="14"/>
      <c r="AZ9" s="14">
        <v>0.18295493490321199</v>
      </c>
      <c r="BA9" s="14">
        <v>0.14888366913508799</v>
      </c>
    </row>
    <row r="10" spans="2:53" ht="29" x14ac:dyDescent="0.35">
      <c r="B10" s="15" t="s">
        <v>454</v>
      </c>
      <c r="C10" s="14">
        <v>0.40012846703757998</v>
      </c>
      <c r="D10" s="14">
        <v>0.43102547041686101</v>
      </c>
      <c r="E10" s="14">
        <v>0.36959468887616798</v>
      </c>
      <c r="F10" s="14"/>
      <c r="G10" s="14">
        <v>0.37304099228612497</v>
      </c>
      <c r="H10" s="14">
        <v>0.43256570103877101</v>
      </c>
      <c r="I10" s="14">
        <v>0.41523957014659102</v>
      </c>
      <c r="J10" s="14">
        <v>0.36220626871223499</v>
      </c>
      <c r="K10" s="14">
        <v>0.41683720692526199</v>
      </c>
      <c r="L10" s="14">
        <v>0.306269332417964</v>
      </c>
      <c r="M10" s="14"/>
      <c r="N10" s="14">
        <v>0.45099602030536801</v>
      </c>
      <c r="O10" s="14">
        <v>0.38848438935741703</v>
      </c>
      <c r="P10" s="14">
        <v>0.40157858047261902</v>
      </c>
      <c r="Q10" s="14">
        <v>0.35647683152905602</v>
      </c>
      <c r="R10" s="14"/>
      <c r="S10" s="14">
        <v>0.462892209806957</v>
      </c>
      <c r="T10" s="14">
        <v>0.37823922389597198</v>
      </c>
      <c r="U10" s="14">
        <v>0.38546470167449998</v>
      </c>
      <c r="V10" s="14">
        <v>0.34069006971489701</v>
      </c>
      <c r="W10" s="14">
        <v>0.40318597960991298</v>
      </c>
      <c r="X10" s="14">
        <v>0.39260369937898998</v>
      </c>
      <c r="Y10" s="14">
        <v>0.41809406348046702</v>
      </c>
      <c r="Z10" s="14">
        <v>0.387888256180216</v>
      </c>
      <c r="AA10" s="14">
        <v>0.406015486614073</v>
      </c>
      <c r="AB10" s="14"/>
      <c r="AC10" s="14">
        <v>0.38726440593095501</v>
      </c>
      <c r="AD10" s="14">
        <v>0.37209929211639797</v>
      </c>
      <c r="AE10" s="14">
        <v>0.42809785916816501</v>
      </c>
      <c r="AF10" s="14">
        <v>0.449701622058576</v>
      </c>
      <c r="AG10" s="14">
        <v>0.34871667081129798</v>
      </c>
      <c r="AH10" s="14"/>
      <c r="AI10" s="14">
        <v>0.45722695075160302</v>
      </c>
      <c r="AJ10" s="14">
        <v>0.41365450354316602</v>
      </c>
      <c r="AK10" s="14">
        <v>0.41907388049847299</v>
      </c>
      <c r="AL10" s="14">
        <v>0.33510477920572201</v>
      </c>
      <c r="AM10" s="14">
        <v>0.303884509008923</v>
      </c>
      <c r="AN10" s="14">
        <v>0.32967050452375402</v>
      </c>
      <c r="AO10" s="14"/>
      <c r="AP10" s="14">
        <v>0.42287902489164098</v>
      </c>
      <c r="AQ10" s="14">
        <v>0.37582041927841597</v>
      </c>
      <c r="AR10" s="14"/>
      <c r="AS10" s="14">
        <v>0.38057399529544</v>
      </c>
      <c r="AT10" s="14">
        <v>0.43182219963525198</v>
      </c>
      <c r="AU10" s="14">
        <v>0.39601957224893503</v>
      </c>
      <c r="AV10" s="14"/>
      <c r="AW10" s="14">
        <v>0.39507821652992497</v>
      </c>
      <c r="AX10" s="14">
        <v>0.47885455031969398</v>
      </c>
      <c r="AY10" s="14"/>
      <c r="AZ10" s="14">
        <v>0.424453464226352</v>
      </c>
      <c r="BA10" s="14">
        <v>0.31540793963948299</v>
      </c>
    </row>
    <row r="11" spans="2:53" ht="29" x14ac:dyDescent="0.35">
      <c r="B11" s="15" t="s">
        <v>455</v>
      </c>
      <c r="C11" s="14">
        <v>0.31469159181433998</v>
      </c>
      <c r="D11" s="14">
        <v>0.310555253397231</v>
      </c>
      <c r="E11" s="14">
        <v>0.31816682122712803</v>
      </c>
      <c r="F11" s="14"/>
      <c r="G11" s="14">
        <v>0.36459115573350698</v>
      </c>
      <c r="H11" s="14">
        <v>0.21544760525902401</v>
      </c>
      <c r="I11" s="14">
        <v>0.28885033777277003</v>
      </c>
      <c r="J11" s="14">
        <v>0.38417834735645101</v>
      </c>
      <c r="K11" s="14">
        <v>0.38081019073119698</v>
      </c>
      <c r="L11" s="14">
        <v>0.237750367311095</v>
      </c>
      <c r="M11" s="14"/>
      <c r="N11" s="14">
        <v>0.28100991132998399</v>
      </c>
      <c r="O11" s="14">
        <v>0.32532036851854801</v>
      </c>
      <c r="P11" s="14">
        <v>0.32573849823266599</v>
      </c>
      <c r="Q11" s="14">
        <v>0.33051286609255298</v>
      </c>
      <c r="R11" s="14"/>
      <c r="S11" s="14">
        <v>0.212753717428001</v>
      </c>
      <c r="T11" s="14">
        <v>0.36294645394469699</v>
      </c>
      <c r="U11" s="14">
        <v>0.33756549234153399</v>
      </c>
      <c r="V11" s="14">
        <v>0.37040517298347098</v>
      </c>
      <c r="W11" s="14">
        <v>0.33597768713481002</v>
      </c>
      <c r="X11" s="14">
        <v>0.30614440099923601</v>
      </c>
      <c r="Y11" s="14">
        <v>0.29707118011858302</v>
      </c>
      <c r="Z11" s="14">
        <v>0.33098872062629903</v>
      </c>
      <c r="AA11" s="14">
        <v>0.31507011874533303</v>
      </c>
      <c r="AB11" s="14"/>
      <c r="AC11" s="14">
        <v>0.31579504779384898</v>
      </c>
      <c r="AD11" s="14">
        <v>0.33856924669551203</v>
      </c>
      <c r="AE11" s="14">
        <v>0.328824813786944</v>
      </c>
      <c r="AF11" s="14">
        <v>0.20417525660493099</v>
      </c>
      <c r="AG11" s="14">
        <v>0.33234825664210998</v>
      </c>
      <c r="AH11" s="14"/>
      <c r="AI11" s="14">
        <v>0.23480340308933501</v>
      </c>
      <c r="AJ11" s="14">
        <v>0.34887528228952902</v>
      </c>
      <c r="AK11" s="14">
        <v>0.30643983163042099</v>
      </c>
      <c r="AL11" s="14">
        <v>0.37941095181735301</v>
      </c>
      <c r="AM11" s="14">
        <v>0.43032012924761698</v>
      </c>
      <c r="AN11" s="14">
        <v>0.36147403002897299</v>
      </c>
      <c r="AO11" s="14"/>
      <c r="AP11" s="14">
        <v>0.31088172385894902</v>
      </c>
      <c r="AQ11" s="14">
        <v>0.318632283527858</v>
      </c>
      <c r="AR11" s="14"/>
      <c r="AS11" s="14">
        <v>0.31739084467232498</v>
      </c>
      <c r="AT11" s="14">
        <v>0.28025688671424798</v>
      </c>
      <c r="AU11" s="14">
        <v>0.32414730611124698</v>
      </c>
      <c r="AV11" s="14"/>
      <c r="AW11" s="14">
        <v>0.32428969492368098</v>
      </c>
      <c r="AX11" s="14">
        <v>0.21245375670550401</v>
      </c>
      <c r="AY11" s="14"/>
      <c r="AZ11" s="14">
        <v>0.30423517818863999</v>
      </c>
      <c r="BA11" s="14">
        <v>0.35539190692339501</v>
      </c>
    </row>
    <row r="12" spans="2:53" ht="29" x14ac:dyDescent="0.35">
      <c r="B12" s="15" t="s">
        <v>456</v>
      </c>
      <c r="C12" s="14">
        <v>2.51420150282099E-2</v>
      </c>
      <c r="D12" s="14">
        <v>1.8173643908878899E-2</v>
      </c>
      <c r="E12" s="14">
        <v>3.2140333574117698E-2</v>
      </c>
      <c r="F12" s="14"/>
      <c r="G12" s="14">
        <v>0.18127959358201301</v>
      </c>
      <c r="H12" s="14">
        <v>3.2703293111381503E-2</v>
      </c>
      <c r="I12" s="14">
        <v>2.3285615407373301E-2</v>
      </c>
      <c r="J12" s="14">
        <v>2.1805762542596099E-2</v>
      </c>
      <c r="K12" s="14">
        <v>2.6181608493836599E-2</v>
      </c>
      <c r="L12" s="14">
        <v>8.7803652695920102E-3</v>
      </c>
      <c r="M12" s="14"/>
      <c r="N12" s="14">
        <v>2.8366975380668302E-2</v>
      </c>
      <c r="O12" s="14">
        <v>2.4004113281831999E-2</v>
      </c>
      <c r="P12" s="14">
        <v>3.2736277115101999E-2</v>
      </c>
      <c r="Q12" s="14">
        <v>1.6455317530265801E-2</v>
      </c>
      <c r="R12" s="14"/>
      <c r="S12" s="14">
        <v>2.34255148186613E-2</v>
      </c>
      <c r="T12" s="14">
        <v>1.88115466580542E-2</v>
      </c>
      <c r="U12" s="14">
        <v>2.97815075589512E-2</v>
      </c>
      <c r="V12" s="14">
        <v>3.6294965377789298E-2</v>
      </c>
      <c r="W12" s="14">
        <v>1.03119412223137E-2</v>
      </c>
      <c r="X12" s="14">
        <v>3.37864251975621E-2</v>
      </c>
      <c r="Y12" s="14">
        <v>1.9112484539152801E-2</v>
      </c>
      <c r="Z12" s="14">
        <v>3.92759215278509E-2</v>
      </c>
      <c r="AA12" s="14">
        <v>2.4858388960275202E-2</v>
      </c>
      <c r="AB12" s="14"/>
      <c r="AC12" s="14">
        <v>3.1493411890397602E-2</v>
      </c>
      <c r="AD12" s="14">
        <v>1.8299596620574999E-2</v>
      </c>
      <c r="AE12" s="14">
        <v>2.7685049623192001E-2</v>
      </c>
      <c r="AF12" s="14">
        <v>2.9678321253581299E-2</v>
      </c>
      <c r="AG12" s="14">
        <v>1.39348175804874E-2</v>
      </c>
      <c r="AH12" s="14"/>
      <c r="AI12" s="14">
        <v>2.6011596386225799E-2</v>
      </c>
      <c r="AJ12" s="14">
        <v>2.5872343337998299E-2</v>
      </c>
      <c r="AK12" s="14">
        <v>2.61509745639203E-2</v>
      </c>
      <c r="AL12" s="14">
        <v>2.2922719464776298E-2</v>
      </c>
      <c r="AM12" s="14">
        <v>4.9192290321516403E-2</v>
      </c>
      <c r="AN12" s="14">
        <v>1.9918627552873599E-2</v>
      </c>
      <c r="AO12" s="14"/>
      <c r="AP12" s="14">
        <v>2.7414915970497201E-2</v>
      </c>
      <c r="AQ12" s="14">
        <v>2.26657095861501E-2</v>
      </c>
      <c r="AR12" s="14"/>
      <c r="AS12" s="14">
        <v>2.8435749134757601E-2</v>
      </c>
      <c r="AT12" s="14">
        <v>2.82040303660685E-2</v>
      </c>
      <c r="AU12" s="14">
        <v>2.3350133074147801E-2</v>
      </c>
      <c r="AV12" s="14"/>
      <c r="AW12" s="14">
        <v>2.7924187653489901E-2</v>
      </c>
      <c r="AX12" s="14">
        <v>1.30433206126193E-2</v>
      </c>
      <c r="AY12" s="14"/>
      <c r="AZ12" s="14">
        <v>2.02591843830137E-2</v>
      </c>
      <c r="BA12" s="14">
        <v>4.3877004521862502E-2</v>
      </c>
    </row>
    <row r="13" spans="2:53" ht="43.5" x14ac:dyDescent="0.35">
      <c r="B13" s="15" t="s">
        <v>457</v>
      </c>
      <c r="C13" s="14">
        <v>5.7620218326963598E-3</v>
      </c>
      <c r="D13" s="14">
        <v>6.0560995322577098E-3</v>
      </c>
      <c r="E13" s="14">
        <v>5.4732953532779099E-3</v>
      </c>
      <c r="F13" s="14"/>
      <c r="G13" s="14">
        <v>0</v>
      </c>
      <c r="H13" s="14">
        <v>2.10454355199086E-2</v>
      </c>
      <c r="I13" s="14">
        <v>8.1457434657892396E-4</v>
      </c>
      <c r="J13" s="14">
        <v>2.98620955241095E-3</v>
      </c>
      <c r="K13" s="14">
        <v>0</v>
      </c>
      <c r="L13" s="14">
        <v>8.9809623524015003E-2</v>
      </c>
      <c r="M13" s="14"/>
      <c r="N13" s="14">
        <v>1.8870729864541101E-3</v>
      </c>
      <c r="O13" s="14">
        <v>6.8786911354304396E-3</v>
      </c>
      <c r="P13" s="14">
        <v>1.0503986663346499E-2</v>
      </c>
      <c r="Q13" s="14">
        <v>4.6814695161547602E-3</v>
      </c>
      <c r="R13" s="14"/>
      <c r="S13" s="14">
        <v>1.9609889265924801E-3</v>
      </c>
      <c r="T13" s="14">
        <v>0</v>
      </c>
      <c r="U13" s="14">
        <v>9.2920439124451002E-3</v>
      </c>
      <c r="V13" s="14">
        <v>2.0296243281919101E-2</v>
      </c>
      <c r="W13" s="14">
        <v>4.7663324805076301E-3</v>
      </c>
      <c r="X13" s="14">
        <v>0</v>
      </c>
      <c r="Y13" s="14">
        <v>8.57361306850009E-3</v>
      </c>
      <c r="Z13" s="14">
        <v>1.20596836938449E-2</v>
      </c>
      <c r="AA13" s="14">
        <v>3.0468803996828702E-3</v>
      </c>
      <c r="AB13" s="14"/>
      <c r="AC13" s="14">
        <v>7.8220465865842508E-3</v>
      </c>
      <c r="AD13" s="14">
        <v>5.8114666311563498E-3</v>
      </c>
      <c r="AE13" s="14">
        <v>3.7845785679845902E-3</v>
      </c>
      <c r="AF13" s="14">
        <v>5.3091772632732704E-3</v>
      </c>
      <c r="AG13" s="14">
        <v>4.4647646060142203E-2</v>
      </c>
      <c r="AH13" s="14"/>
      <c r="AI13" s="14">
        <v>4.0044322861322399E-3</v>
      </c>
      <c r="AJ13" s="14">
        <v>6.0019526248301803E-3</v>
      </c>
      <c r="AK13" s="14">
        <v>1.5170856626608499E-2</v>
      </c>
      <c r="AL13" s="14">
        <v>3.27142191222194E-3</v>
      </c>
      <c r="AM13" s="14">
        <v>0</v>
      </c>
      <c r="AN13" s="14">
        <v>1.3441032605071899E-2</v>
      </c>
      <c r="AO13" s="14"/>
      <c r="AP13" s="14">
        <v>5.8927899529499003E-3</v>
      </c>
      <c r="AQ13" s="14">
        <v>5.6334589959933998E-3</v>
      </c>
      <c r="AR13" s="14"/>
      <c r="AS13" s="14">
        <v>6.1855241780122997E-3</v>
      </c>
      <c r="AT13" s="14">
        <v>3.8986690445978801E-3</v>
      </c>
      <c r="AU13" s="14">
        <v>6.1990270796868398E-3</v>
      </c>
      <c r="AV13" s="14"/>
      <c r="AW13" s="14">
        <v>4.9055620715465599E-3</v>
      </c>
      <c r="AX13" s="14">
        <v>8.3532098910517293E-3</v>
      </c>
      <c r="AY13" s="14"/>
      <c r="AZ13" s="14">
        <v>3.76130842302591E-3</v>
      </c>
      <c r="BA13" s="14">
        <v>1.3343131869666E-2</v>
      </c>
    </row>
    <row r="14" spans="2:53" x14ac:dyDescent="0.35">
      <c r="B14" s="15" t="s">
        <v>80</v>
      </c>
      <c r="C14" s="23">
        <v>7.9304240855859701E-2</v>
      </c>
      <c r="D14" s="23">
        <v>5.9397578302947403E-2</v>
      </c>
      <c r="E14" s="23">
        <v>9.9303707298337193E-2</v>
      </c>
      <c r="F14" s="23"/>
      <c r="G14" s="23">
        <v>0</v>
      </c>
      <c r="H14" s="23">
        <v>9.0751430234454006E-2</v>
      </c>
      <c r="I14" s="23">
        <v>7.9352027520197002E-2</v>
      </c>
      <c r="J14" s="23">
        <v>8.2158977232274305E-2</v>
      </c>
      <c r="K14" s="23">
        <v>4.7820659571990998E-2</v>
      </c>
      <c r="L14" s="23">
        <v>0.127851213625576</v>
      </c>
      <c r="M14" s="23"/>
      <c r="N14" s="23">
        <v>5.4156827856776002E-2</v>
      </c>
      <c r="O14" s="23">
        <v>7.9460892781864995E-2</v>
      </c>
      <c r="P14" s="23">
        <v>7.8530087476988197E-2</v>
      </c>
      <c r="Q14" s="23">
        <v>0.103911846780035</v>
      </c>
      <c r="R14" s="23"/>
      <c r="S14" s="23">
        <v>6.4643048013979201E-2</v>
      </c>
      <c r="T14" s="23">
        <v>8.4820548617983604E-2</v>
      </c>
      <c r="U14" s="23">
        <v>8.5766789154890902E-2</v>
      </c>
      <c r="V14" s="23">
        <v>0.115752481414956</v>
      </c>
      <c r="W14" s="23">
        <v>8.5698233422900005E-2</v>
      </c>
      <c r="X14" s="23">
        <v>6.3149822766936606E-2</v>
      </c>
      <c r="Y14" s="23">
        <v>7.3944010312359296E-2</v>
      </c>
      <c r="Z14" s="23">
        <v>6.3232525350402496E-2</v>
      </c>
      <c r="AA14" s="23">
        <v>7.3050986903558102E-2</v>
      </c>
      <c r="AB14" s="23"/>
      <c r="AC14" s="23">
        <v>0.101250101360812</v>
      </c>
      <c r="AD14" s="23">
        <v>9.9054909805150498E-2</v>
      </c>
      <c r="AE14" s="23">
        <v>5.8619523544842803E-2</v>
      </c>
      <c r="AF14" s="23">
        <v>5.2372707720946002E-2</v>
      </c>
      <c r="AG14" s="23">
        <v>2.8455823937769801E-2</v>
      </c>
      <c r="AH14" s="23"/>
      <c r="AI14" s="23">
        <v>5.7841535256434401E-2</v>
      </c>
      <c r="AJ14" s="23">
        <v>3.9182683660963599E-2</v>
      </c>
      <c r="AK14" s="23">
        <v>5.8693497772128497E-2</v>
      </c>
      <c r="AL14" s="23">
        <v>9.9695106893886595E-2</v>
      </c>
      <c r="AM14" s="23">
        <v>9.9417233184053294E-2</v>
      </c>
      <c r="AN14" s="23">
        <v>0.165618243875822</v>
      </c>
      <c r="AO14" s="23"/>
      <c r="AP14" s="23">
        <v>5.9968772378910198E-2</v>
      </c>
      <c r="AQ14" s="23">
        <v>0.10011909685392401</v>
      </c>
      <c r="AR14" s="23"/>
      <c r="AS14" s="23">
        <v>0.107095850943926</v>
      </c>
      <c r="AT14" s="23">
        <v>7.7464684003765397E-2</v>
      </c>
      <c r="AU14" s="23">
        <v>7.2368497759791803E-2</v>
      </c>
      <c r="AV14" s="23"/>
      <c r="AW14" s="23">
        <v>8.4223711249145405E-2</v>
      </c>
      <c r="AX14" s="23">
        <v>2.6721708802087199E-2</v>
      </c>
      <c r="AY14" s="23"/>
      <c r="AZ14" s="23">
        <v>6.4335929875755898E-2</v>
      </c>
      <c r="BA14" s="23">
        <v>0.123096347910506</v>
      </c>
    </row>
    <row r="15" spans="2:53" x14ac:dyDescent="0.35">
      <c r="B15" s="16"/>
    </row>
    <row r="16" spans="2:53" x14ac:dyDescent="0.35">
      <c r="B16" t="s">
        <v>84</v>
      </c>
    </row>
    <row r="17" spans="2:2" x14ac:dyDescent="0.35">
      <c r="B17" t="s">
        <v>85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B2:BA17"/>
  <sheetViews>
    <sheetView showGridLines="0" topLeftCell="A1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3" width="10.7265625" customWidth="1"/>
    <col min="34" max="34" width="2.1796875" customWidth="1"/>
    <col min="35" max="40" width="10.7265625" customWidth="1"/>
    <col min="41" max="41" width="2.1796875" customWidth="1"/>
    <col min="42" max="43" width="10.7265625" customWidth="1"/>
    <col min="44" max="44" width="2.1796875" customWidth="1"/>
    <col min="45" max="47" width="10.7265625" customWidth="1"/>
    <col min="48" max="48" width="2.1796875" customWidth="1"/>
    <col min="49" max="50" width="10.7265625" customWidth="1"/>
    <col min="51" max="51" width="2.1796875" customWidth="1"/>
    <col min="52" max="53" width="10.7265625" customWidth="1"/>
    <col min="54" max="54" width="2.1796875" customWidth="1"/>
  </cols>
  <sheetData>
    <row r="2" spans="2:53" ht="40" customHeight="1" x14ac:dyDescent="0.35">
      <c r="D2" s="35" t="s">
        <v>452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5" spans="2:53" ht="30" customHeight="1" x14ac:dyDescent="0.35">
      <c r="B5" s="22"/>
      <c r="C5" s="22"/>
      <c r="D5" s="36" t="s">
        <v>57</v>
      </c>
      <c r="E5" s="36"/>
      <c r="F5" s="22"/>
      <c r="G5" s="36" t="s">
        <v>58</v>
      </c>
      <c r="H5" s="36"/>
      <c r="I5" s="36"/>
      <c r="J5" s="36"/>
      <c r="K5" s="36"/>
      <c r="L5" s="36"/>
      <c r="M5" s="22"/>
      <c r="N5" s="36" t="s">
        <v>59</v>
      </c>
      <c r="O5" s="36"/>
      <c r="P5" s="36"/>
      <c r="Q5" s="36"/>
      <c r="R5" s="22"/>
      <c r="S5" s="36" t="s">
        <v>60</v>
      </c>
      <c r="T5" s="36"/>
      <c r="U5" s="36"/>
      <c r="V5" s="36"/>
      <c r="W5" s="36"/>
      <c r="X5" s="36"/>
      <c r="Y5" s="36"/>
      <c r="Z5" s="36"/>
      <c r="AA5" s="36"/>
      <c r="AB5" s="22"/>
      <c r="AC5" s="36" t="s">
        <v>61</v>
      </c>
      <c r="AD5" s="36"/>
      <c r="AE5" s="36"/>
      <c r="AF5" s="36"/>
      <c r="AG5" s="36"/>
      <c r="AH5" s="22"/>
      <c r="AI5" s="36" t="s">
        <v>62</v>
      </c>
      <c r="AJ5" s="36"/>
      <c r="AK5" s="36"/>
      <c r="AL5" s="36"/>
      <c r="AM5" s="36"/>
      <c r="AN5" s="36"/>
      <c r="AO5" s="22"/>
      <c r="AP5" s="36" t="s">
        <v>63</v>
      </c>
      <c r="AQ5" s="36"/>
      <c r="AR5" s="22"/>
      <c r="AS5" s="36" t="s">
        <v>64</v>
      </c>
      <c r="AT5" s="36"/>
      <c r="AU5" s="36"/>
      <c r="AV5" s="22"/>
      <c r="AW5" s="36" t="s">
        <v>65</v>
      </c>
      <c r="AX5" s="36"/>
      <c r="AY5" s="22"/>
      <c r="AZ5" s="36" t="s">
        <v>66</v>
      </c>
      <c r="BA5" s="36"/>
    </row>
    <row r="6" spans="2:53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I6" s="12" t="s">
        <v>44</v>
      </c>
      <c r="AJ6" s="12" t="s">
        <v>45</v>
      </c>
      <c r="AK6" s="12" t="s">
        <v>46</v>
      </c>
      <c r="AL6" s="12" t="s">
        <v>47</v>
      </c>
      <c r="AM6" s="12" t="s">
        <v>48</v>
      </c>
      <c r="AN6" s="12" t="s">
        <v>49</v>
      </c>
      <c r="AP6" s="12" t="s">
        <v>16</v>
      </c>
      <c r="AQ6" s="12" t="s">
        <v>17</v>
      </c>
      <c r="AS6" s="12" t="s">
        <v>50</v>
      </c>
      <c r="AT6" s="12" t="s">
        <v>51</v>
      </c>
      <c r="AU6" s="12" t="s">
        <v>52</v>
      </c>
      <c r="AW6" s="12" t="s">
        <v>53</v>
      </c>
      <c r="AX6" s="12" t="s">
        <v>54</v>
      </c>
      <c r="AZ6" s="12" t="s">
        <v>55</v>
      </c>
      <c r="BA6" s="12" t="s">
        <v>56</v>
      </c>
    </row>
    <row r="7" spans="2:53" ht="30" customHeight="1" x14ac:dyDescent="0.35">
      <c r="B7" s="10" t="s">
        <v>18</v>
      </c>
      <c r="C7" s="10">
        <v>2065</v>
      </c>
      <c r="D7" s="10">
        <v>846</v>
      </c>
      <c r="E7" s="10">
        <v>1218</v>
      </c>
      <c r="F7" s="10"/>
      <c r="G7" s="10">
        <v>11</v>
      </c>
      <c r="H7" s="10">
        <v>343</v>
      </c>
      <c r="I7" s="10">
        <v>907</v>
      </c>
      <c r="J7" s="10">
        <v>610</v>
      </c>
      <c r="K7" s="10">
        <v>168</v>
      </c>
      <c r="L7" s="10">
        <v>26</v>
      </c>
      <c r="M7" s="10"/>
      <c r="N7" s="10">
        <v>892</v>
      </c>
      <c r="O7" s="10">
        <v>506</v>
      </c>
      <c r="P7" s="10">
        <v>304</v>
      </c>
      <c r="Q7" s="10">
        <v>357</v>
      </c>
      <c r="R7" s="10"/>
      <c r="S7" s="10">
        <v>384</v>
      </c>
      <c r="T7" s="10">
        <v>313</v>
      </c>
      <c r="U7" s="10">
        <v>162</v>
      </c>
      <c r="V7" s="10">
        <v>189</v>
      </c>
      <c r="W7" s="10">
        <v>171</v>
      </c>
      <c r="X7" s="10">
        <v>234</v>
      </c>
      <c r="Y7" s="10">
        <v>224</v>
      </c>
      <c r="Z7" s="10">
        <v>105</v>
      </c>
      <c r="AA7" s="10">
        <v>283</v>
      </c>
      <c r="AB7" s="10"/>
      <c r="AC7" s="10">
        <v>324</v>
      </c>
      <c r="AD7" s="10">
        <v>387</v>
      </c>
      <c r="AE7" s="10">
        <v>643</v>
      </c>
      <c r="AF7" s="10">
        <v>398</v>
      </c>
      <c r="AG7" s="10">
        <v>92</v>
      </c>
      <c r="AH7" s="10"/>
      <c r="AI7" s="10">
        <v>758</v>
      </c>
      <c r="AJ7" s="10">
        <v>384</v>
      </c>
      <c r="AK7" s="10">
        <v>197</v>
      </c>
      <c r="AL7" s="10">
        <v>291</v>
      </c>
      <c r="AM7" s="10">
        <v>106</v>
      </c>
      <c r="AN7" s="10">
        <v>144</v>
      </c>
      <c r="AO7" s="10"/>
      <c r="AP7" s="10">
        <v>1092</v>
      </c>
      <c r="AQ7" s="10">
        <v>970</v>
      </c>
      <c r="AR7" s="10"/>
      <c r="AS7" s="10">
        <v>363</v>
      </c>
      <c r="AT7" s="10">
        <v>383</v>
      </c>
      <c r="AU7" s="10">
        <v>1319</v>
      </c>
      <c r="AV7" s="10"/>
      <c r="AW7" s="10">
        <v>1495</v>
      </c>
      <c r="AX7" s="10">
        <v>425</v>
      </c>
      <c r="AY7" s="10"/>
      <c r="AZ7" s="10">
        <v>1641</v>
      </c>
      <c r="BA7" s="10">
        <v>417</v>
      </c>
    </row>
    <row r="8" spans="2:53" ht="30" customHeight="1" x14ac:dyDescent="0.35">
      <c r="B8" s="11" t="s">
        <v>19</v>
      </c>
      <c r="C8" s="11">
        <v>2065</v>
      </c>
      <c r="D8" s="11">
        <v>1032</v>
      </c>
      <c r="E8" s="11">
        <v>1032</v>
      </c>
      <c r="F8" s="11"/>
      <c r="G8" s="11">
        <v>11</v>
      </c>
      <c r="H8" s="11">
        <v>309</v>
      </c>
      <c r="I8" s="11">
        <v>902</v>
      </c>
      <c r="J8" s="11">
        <v>622</v>
      </c>
      <c r="K8" s="11">
        <v>190</v>
      </c>
      <c r="L8" s="11">
        <v>31</v>
      </c>
      <c r="M8" s="11"/>
      <c r="N8" s="11">
        <v>556</v>
      </c>
      <c r="O8" s="11">
        <v>535</v>
      </c>
      <c r="P8" s="11">
        <v>453</v>
      </c>
      <c r="Q8" s="11">
        <v>515</v>
      </c>
      <c r="R8" s="11"/>
      <c r="S8" s="11">
        <v>330</v>
      </c>
      <c r="T8" s="11">
        <v>330</v>
      </c>
      <c r="U8" s="11">
        <v>207</v>
      </c>
      <c r="V8" s="11">
        <v>227</v>
      </c>
      <c r="W8" s="11">
        <v>186</v>
      </c>
      <c r="X8" s="11">
        <v>207</v>
      </c>
      <c r="Y8" s="11">
        <v>207</v>
      </c>
      <c r="Z8" s="11">
        <v>103</v>
      </c>
      <c r="AA8" s="11">
        <v>268</v>
      </c>
      <c r="AB8" s="11"/>
      <c r="AC8" s="11">
        <v>413</v>
      </c>
      <c r="AD8" s="11">
        <v>441</v>
      </c>
      <c r="AE8" s="11">
        <v>599</v>
      </c>
      <c r="AF8" s="11">
        <v>310</v>
      </c>
      <c r="AG8" s="11">
        <v>49</v>
      </c>
      <c r="AH8" s="11"/>
      <c r="AI8" s="11">
        <v>725</v>
      </c>
      <c r="AJ8" s="11">
        <v>366</v>
      </c>
      <c r="AK8" s="11">
        <v>185</v>
      </c>
      <c r="AL8" s="11">
        <v>318</v>
      </c>
      <c r="AM8" s="11">
        <v>106</v>
      </c>
      <c r="AN8" s="11">
        <v>153</v>
      </c>
      <c r="AO8" s="11"/>
      <c r="AP8" s="11">
        <v>1092</v>
      </c>
      <c r="AQ8" s="11">
        <v>970</v>
      </c>
      <c r="AR8" s="11"/>
      <c r="AS8" s="11">
        <v>355</v>
      </c>
      <c r="AT8" s="11">
        <v>390</v>
      </c>
      <c r="AU8" s="11">
        <v>1320</v>
      </c>
      <c r="AV8" s="11"/>
      <c r="AW8" s="11">
        <v>1552</v>
      </c>
      <c r="AX8" s="11">
        <v>340</v>
      </c>
      <c r="AY8" s="11"/>
      <c r="AZ8" s="11">
        <v>1621</v>
      </c>
      <c r="BA8" s="11">
        <v>435</v>
      </c>
    </row>
    <row r="9" spans="2:53" ht="58" x14ac:dyDescent="0.35">
      <c r="B9" s="15" t="s">
        <v>459</v>
      </c>
      <c r="C9" s="14">
        <v>0.28157929551726202</v>
      </c>
      <c r="D9" s="14">
        <v>0.32932419285348102</v>
      </c>
      <c r="E9" s="14">
        <v>0.23406921676036599</v>
      </c>
      <c r="F9" s="14"/>
      <c r="G9" s="14">
        <v>0.30348552010216601</v>
      </c>
      <c r="H9" s="14">
        <v>0.338957386570581</v>
      </c>
      <c r="I9" s="14">
        <v>0.27799331964112001</v>
      </c>
      <c r="J9" s="14">
        <v>0.25931711504879701</v>
      </c>
      <c r="K9" s="14">
        <v>0.29683468432555998</v>
      </c>
      <c r="L9" s="14">
        <v>0.16105319459193901</v>
      </c>
      <c r="M9" s="14"/>
      <c r="N9" s="14">
        <v>0.36242313472946402</v>
      </c>
      <c r="O9" s="14">
        <v>0.28321453950940001</v>
      </c>
      <c r="P9" s="14">
        <v>0.213405767109237</v>
      </c>
      <c r="Q9" s="14">
        <v>0.25330237885519202</v>
      </c>
      <c r="R9" s="14"/>
      <c r="S9" s="14">
        <v>0.38457111153659901</v>
      </c>
      <c r="T9" s="14">
        <v>0.28241033058422799</v>
      </c>
      <c r="U9" s="14">
        <v>0.25248893065163303</v>
      </c>
      <c r="V9" s="14">
        <v>0.22635682735024601</v>
      </c>
      <c r="W9" s="14">
        <v>0.272745747368008</v>
      </c>
      <c r="X9" s="14">
        <v>0.200522307467844</v>
      </c>
      <c r="Y9" s="14">
        <v>0.29003198082447501</v>
      </c>
      <c r="Z9" s="14">
        <v>0.25156132135362902</v>
      </c>
      <c r="AA9" s="14">
        <v>0.29677522621645902</v>
      </c>
      <c r="AB9" s="14"/>
      <c r="AC9" s="14">
        <v>0.199719144828679</v>
      </c>
      <c r="AD9" s="14">
        <v>0.24958311222996099</v>
      </c>
      <c r="AE9" s="14">
        <v>0.31376140967961302</v>
      </c>
      <c r="AF9" s="14">
        <v>0.42244585990372402</v>
      </c>
      <c r="AG9" s="14">
        <v>0.330615258768308</v>
      </c>
      <c r="AH9" s="14"/>
      <c r="AI9" s="14">
        <v>0.34651486456888397</v>
      </c>
      <c r="AJ9" s="14">
        <v>0.27306920789526001</v>
      </c>
      <c r="AK9" s="14">
        <v>0.334668890655893</v>
      </c>
      <c r="AL9" s="14">
        <v>0.237717437477758</v>
      </c>
      <c r="AM9" s="14">
        <v>0.19610025585589799</v>
      </c>
      <c r="AN9" s="14">
        <v>0.18001541718358</v>
      </c>
      <c r="AO9" s="14"/>
      <c r="AP9" s="14">
        <v>0.29698327172467298</v>
      </c>
      <c r="AQ9" s="14">
        <v>0.26448831883588603</v>
      </c>
      <c r="AR9" s="14"/>
      <c r="AS9" s="14">
        <v>0.34512838160078002</v>
      </c>
      <c r="AT9" s="14">
        <v>0.27480853819909601</v>
      </c>
      <c r="AU9" s="14">
        <v>0.26647810128218002</v>
      </c>
      <c r="AV9" s="14"/>
      <c r="AW9" s="14">
        <v>0.26992603580845598</v>
      </c>
      <c r="AX9" s="14">
        <v>0.40419277980387303</v>
      </c>
      <c r="AY9" s="14"/>
      <c r="AZ9" s="14">
        <v>0.29876640999964499</v>
      </c>
      <c r="BA9" s="14">
        <v>0.223414845519364</v>
      </c>
    </row>
    <row r="10" spans="2:53" ht="58" x14ac:dyDescent="0.35">
      <c r="B10" s="15" t="s">
        <v>460</v>
      </c>
      <c r="C10" s="14">
        <v>0.25527634644008701</v>
      </c>
      <c r="D10" s="14">
        <v>0.252778418238084</v>
      </c>
      <c r="E10" s="14">
        <v>0.25705425163316098</v>
      </c>
      <c r="F10" s="14"/>
      <c r="G10" s="14">
        <v>0.408507894015467</v>
      </c>
      <c r="H10" s="14">
        <v>0.297184077924881</v>
      </c>
      <c r="I10" s="14">
        <v>0.27435491760774899</v>
      </c>
      <c r="J10" s="14">
        <v>0.225175337116341</v>
      </c>
      <c r="K10" s="14">
        <v>0.17734280705520999</v>
      </c>
      <c r="L10" s="14">
        <v>0.30990859939986698</v>
      </c>
      <c r="M10" s="14"/>
      <c r="N10" s="14">
        <v>0.22675977760927901</v>
      </c>
      <c r="O10" s="14">
        <v>0.24250993777131299</v>
      </c>
      <c r="P10" s="14">
        <v>0.33479412878479298</v>
      </c>
      <c r="Q10" s="14">
        <v>0.23235468355387301</v>
      </c>
      <c r="R10" s="14"/>
      <c r="S10" s="14">
        <v>0.27148338704974101</v>
      </c>
      <c r="T10" s="14">
        <v>0.199334538147736</v>
      </c>
      <c r="U10" s="14">
        <v>0.257185468537173</v>
      </c>
      <c r="V10" s="14">
        <v>0.20920140016061201</v>
      </c>
      <c r="W10" s="14">
        <v>0.31228898088469298</v>
      </c>
      <c r="X10" s="14">
        <v>0.30110058071600199</v>
      </c>
      <c r="Y10" s="14">
        <v>0.29105773647210798</v>
      </c>
      <c r="Z10" s="14">
        <v>0.26320815613986698</v>
      </c>
      <c r="AA10" s="14">
        <v>0.23611237516317601</v>
      </c>
      <c r="AB10" s="14"/>
      <c r="AC10" s="14">
        <v>0.25296291269384702</v>
      </c>
      <c r="AD10" s="14">
        <v>0.27298662332553097</v>
      </c>
      <c r="AE10" s="14">
        <v>0.24935681169183299</v>
      </c>
      <c r="AF10" s="14">
        <v>0.241442947614216</v>
      </c>
      <c r="AG10" s="14">
        <v>0.26518270776902397</v>
      </c>
      <c r="AH10" s="14"/>
      <c r="AI10" s="14">
        <v>0.25893342282721199</v>
      </c>
      <c r="AJ10" s="14">
        <v>0.34253710272420101</v>
      </c>
      <c r="AK10" s="14">
        <v>0.23090716339282799</v>
      </c>
      <c r="AL10" s="14">
        <v>0.23251011465250199</v>
      </c>
      <c r="AM10" s="14">
        <v>0.21533306281526399</v>
      </c>
      <c r="AN10" s="14">
        <v>0.19639835588511001</v>
      </c>
      <c r="AO10" s="14"/>
      <c r="AP10" s="14">
        <v>0.25587374349150299</v>
      </c>
      <c r="AQ10" s="14">
        <v>0.25542688618294501</v>
      </c>
      <c r="AR10" s="14"/>
      <c r="AS10" s="14">
        <v>0.22362709227810301</v>
      </c>
      <c r="AT10" s="14">
        <v>0.30520082171572099</v>
      </c>
      <c r="AU10" s="14">
        <v>0.24903183600974399</v>
      </c>
      <c r="AV10" s="14"/>
      <c r="AW10" s="14">
        <v>0.25764598444009501</v>
      </c>
      <c r="AX10" s="14">
        <v>0.25456117214821999</v>
      </c>
      <c r="AY10" s="14"/>
      <c r="AZ10" s="14">
        <v>0.26018247419931001</v>
      </c>
      <c r="BA10" s="14">
        <v>0.239916437970256</v>
      </c>
    </row>
    <row r="11" spans="2:53" ht="58" x14ac:dyDescent="0.35">
      <c r="B11" s="15" t="s">
        <v>461</v>
      </c>
      <c r="C11" s="14">
        <v>0.25801834872387203</v>
      </c>
      <c r="D11" s="14">
        <v>0.27259317700997698</v>
      </c>
      <c r="E11" s="14">
        <v>0.24368201898421399</v>
      </c>
      <c r="F11" s="14"/>
      <c r="G11" s="14">
        <v>0.24085405611044899</v>
      </c>
      <c r="H11" s="14">
        <v>0.24448740176165801</v>
      </c>
      <c r="I11" s="14">
        <v>0.25064780622433402</v>
      </c>
      <c r="J11" s="14">
        <v>0.28086505570911702</v>
      </c>
      <c r="K11" s="14">
        <v>0.23916441942769201</v>
      </c>
      <c r="L11" s="14">
        <v>0.27067857828389702</v>
      </c>
      <c r="M11" s="14"/>
      <c r="N11" s="14">
        <v>0.284187308902564</v>
      </c>
      <c r="O11" s="14">
        <v>0.282731632864477</v>
      </c>
      <c r="P11" s="14">
        <v>0.21631649812456499</v>
      </c>
      <c r="Q11" s="14">
        <v>0.24033084492325599</v>
      </c>
      <c r="R11" s="14"/>
      <c r="S11" s="14">
        <v>0.23268852749711399</v>
      </c>
      <c r="T11" s="14">
        <v>0.29071223205080099</v>
      </c>
      <c r="U11" s="14">
        <v>0.27082606849483798</v>
      </c>
      <c r="V11" s="14">
        <v>0.30470986211287998</v>
      </c>
      <c r="W11" s="14">
        <v>0.24818723793737599</v>
      </c>
      <c r="X11" s="14">
        <v>0.273284857974533</v>
      </c>
      <c r="Y11" s="14">
        <v>0.19476540044676799</v>
      </c>
      <c r="Z11" s="14">
        <v>0.26982756654145901</v>
      </c>
      <c r="AA11" s="14">
        <v>0.23884446116816499</v>
      </c>
      <c r="AB11" s="14"/>
      <c r="AC11" s="14">
        <v>0.24743564753576999</v>
      </c>
      <c r="AD11" s="14">
        <v>0.25490096959125902</v>
      </c>
      <c r="AE11" s="14">
        <v>0.26362783011928598</v>
      </c>
      <c r="AF11" s="14">
        <v>0.26035529675499403</v>
      </c>
      <c r="AG11" s="14">
        <v>0.30498239913680703</v>
      </c>
      <c r="AH11" s="14"/>
      <c r="AI11" s="14">
        <v>0.241280285207679</v>
      </c>
      <c r="AJ11" s="14">
        <v>0.227676069831455</v>
      </c>
      <c r="AK11" s="14">
        <v>0.27910944380807901</v>
      </c>
      <c r="AL11" s="14">
        <v>0.28538653565715899</v>
      </c>
      <c r="AM11" s="14">
        <v>0.40079940150632698</v>
      </c>
      <c r="AN11" s="14">
        <v>0.26451215647230403</v>
      </c>
      <c r="AO11" s="14"/>
      <c r="AP11" s="14">
        <v>0.264937406606227</v>
      </c>
      <c r="AQ11" s="14">
        <v>0.25106497061952598</v>
      </c>
      <c r="AR11" s="14"/>
      <c r="AS11" s="14">
        <v>0.26355188309871702</v>
      </c>
      <c r="AT11" s="14">
        <v>0.21558064177369099</v>
      </c>
      <c r="AU11" s="14">
        <v>0.2690777083575</v>
      </c>
      <c r="AV11" s="14"/>
      <c r="AW11" s="14">
        <v>0.263802069672954</v>
      </c>
      <c r="AX11" s="14">
        <v>0.23494881161071701</v>
      </c>
      <c r="AY11" s="14"/>
      <c r="AZ11" s="14">
        <v>0.26101291093545997</v>
      </c>
      <c r="BA11" s="14">
        <v>0.24964864170632001</v>
      </c>
    </row>
    <row r="12" spans="2:53" x14ac:dyDescent="0.35">
      <c r="B12" s="15" t="s">
        <v>116</v>
      </c>
      <c r="C12" s="23">
        <v>0.205126009318778</v>
      </c>
      <c r="D12" s="23">
        <v>0.14530421189845799</v>
      </c>
      <c r="E12" s="23">
        <v>0.26519451262225802</v>
      </c>
      <c r="F12" s="23"/>
      <c r="G12" s="23">
        <v>4.7152529771917098E-2</v>
      </c>
      <c r="H12" s="23">
        <v>0.11937113374288</v>
      </c>
      <c r="I12" s="23">
        <v>0.197003956526798</v>
      </c>
      <c r="J12" s="23">
        <v>0.23464249212574501</v>
      </c>
      <c r="K12" s="23">
        <v>0.28665808919153801</v>
      </c>
      <c r="L12" s="23">
        <v>0.25835962772429699</v>
      </c>
      <c r="M12" s="23"/>
      <c r="N12" s="23">
        <v>0.126629778758693</v>
      </c>
      <c r="O12" s="23">
        <v>0.191543889854809</v>
      </c>
      <c r="P12" s="23">
        <v>0.235483605981405</v>
      </c>
      <c r="Q12" s="23">
        <v>0.27401209266767901</v>
      </c>
      <c r="R12" s="23"/>
      <c r="S12" s="23">
        <v>0.111256973916546</v>
      </c>
      <c r="T12" s="23">
        <v>0.227542899217236</v>
      </c>
      <c r="U12" s="23">
        <v>0.21949953231635699</v>
      </c>
      <c r="V12" s="23">
        <v>0.25973191037626198</v>
      </c>
      <c r="W12" s="23">
        <v>0.16677803380992301</v>
      </c>
      <c r="X12" s="23">
        <v>0.22509225384161999</v>
      </c>
      <c r="Y12" s="23">
        <v>0.224144882256649</v>
      </c>
      <c r="Z12" s="23">
        <v>0.215402955965045</v>
      </c>
      <c r="AA12" s="23">
        <v>0.2282679374522</v>
      </c>
      <c r="AB12" s="23"/>
      <c r="AC12" s="23">
        <v>0.29988229494170399</v>
      </c>
      <c r="AD12" s="23">
        <v>0.22252929485324999</v>
      </c>
      <c r="AE12" s="23">
        <v>0.17325394850926801</v>
      </c>
      <c r="AF12" s="23">
        <v>7.5755895727065994E-2</v>
      </c>
      <c r="AG12" s="23">
        <v>9.92196343258612E-2</v>
      </c>
      <c r="AH12" s="23"/>
      <c r="AI12" s="23">
        <v>0.15327142739622501</v>
      </c>
      <c r="AJ12" s="23">
        <v>0.156717619549084</v>
      </c>
      <c r="AK12" s="23">
        <v>0.155314502143199</v>
      </c>
      <c r="AL12" s="23">
        <v>0.24438591221258099</v>
      </c>
      <c r="AM12" s="23">
        <v>0.18776727982251101</v>
      </c>
      <c r="AN12" s="23">
        <v>0.35907407045900602</v>
      </c>
      <c r="AO12" s="23"/>
      <c r="AP12" s="23">
        <v>0.182205578177597</v>
      </c>
      <c r="AQ12" s="23">
        <v>0.229019824361643</v>
      </c>
      <c r="AR12" s="23"/>
      <c r="AS12" s="23">
        <v>0.1676926430224</v>
      </c>
      <c r="AT12" s="23">
        <v>0.20440999831149201</v>
      </c>
      <c r="AU12" s="23">
        <v>0.21541235435057601</v>
      </c>
      <c r="AV12" s="23"/>
      <c r="AW12" s="23">
        <v>0.20862591007849399</v>
      </c>
      <c r="AX12" s="23">
        <v>0.10629723643719</v>
      </c>
      <c r="AY12" s="23"/>
      <c r="AZ12" s="23">
        <v>0.180038204865585</v>
      </c>
      <c r="BA12" s="23">
        <v>0.287020074804061</v>
      </c>
    </row>
    <row r="13" spans="2:53" x14ac:dyDescent="0.35">
      <c r="B13" s="16"/>
    </row>
    <row r="14" spans="2:53" x14ac:dyDescent="0.35">
      <c r="B14" t="s">
        <v>84</v>
      </c>
    </row>
    <row r="15" spans="2:53" x14ac:dyDescent="0.35">
      <c r="B15" t="s">
        <v>85</v>
      </c>
    </row>
    <row r="17" spans="2:2" x14ac:dyDescent="0.35">
      <c r="B17" s="8" t="str">
        <f>HYPERLINK("#'Contents'!A1", "Return to Contents")</f>
        <v>Return to Contents</v>
      </c>
    </row>
  </sheetData>
  <mergeCells count="11">
    <mergeCell ref="AZ5:BA5"/>
    <mergeCell ref="D5:E5"/>
    <mergeCell ref="G5:L5"/>
    <mergeCell ref="N5:Q5"/>
    <mergeCell ref="S5:AA5"/>
    <mergeCell ref="AC5:AG5"/>
    <mergeCell ref="D2:AS2"/>
    <mergeCell ref="AI5:AN5"/>
    <mergeCell ref="AP5:AQ5"/>
    <mergeCell ref="AS5:AU5"/>
    <mergeCell ref="AW5:AX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240</vt:i4>
      </vt:variant>
    </vt:vector>
  </HeadingPairs>
  <TitlesOfParts>
    <vt:vector size="240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  <vt:lpstr>Table 152</vt:lpstr>
      <vt:lpstr>Table 153</vt:lpstr>
      <vt:lpstr>Table 154</vt:lpstr>
      <vt:lpstr>Table 155</vt:lpstr>
      <vt:lpstr>Table 156</vt:lpstr>
      <vt:lpstr>Table 157</vt:lpstr>
      <vt:lpstr>Table 158</vt:lpstr>
      <vt:lpstr>Table 159</vt:lpstr>
      <vt:lpstr>Table 160</vt:lpstr>
      <vt:lpstr>Table 161</vt:lpstr>
      <vt:lpstr>Table 162</vt:lpstr>
      <vt:lpstr>Table 163</vt:lpstr>
      <vt:lpstr>Table 164</vt:lpstr>
      <vt:lpstr>Table 165</vt:lpstr>
      <vt:lpstr>Table 166</vt:lpstr>
      <vt:lpstr>Table 167</vt:lpstr>
      <vt:lpstr>Table 168</vt:lpstr>
      <vt:lpstr>Table 169</vt:lpstr>
      <vt:lpstr>Table 170</vt:lpstr>
      <vt:lpstr>Table 171</vt:lpstr>
      <vt:lpstr>Table 172</vt:lpstr>
      <vt:lpstr>Table 173</vt:lpstr>
      <vt:lpstr>Table 174</vt:lpstr>
      <vt:lpstr>Table 175</vt:lpstr>
      <vt:lpstr>Table 176</vt:lpstr>
      <vt:lpstr>Table 177</vt:lpstr>
      <vt:lpstr>Table 178</vt:lpstr>
      <vt:lpstr>Table 179</vt:lpstr>
      <vt:lpstr>Table 180</vt:lpstr>
      <vt:lpstr>Table 181</vt:lpstr>
      <vt:lpstr>Table 182</vt:lpstr>
      <vt:lpstr>Table 183</vt:lpstr>
      <vt:lpstr>Table 184</vt:lpstr>
      <vt:lpstr>Table 185</vt:lpstr>
      <vt:lpstr>Table 186</vt:lpstr>
      <vt:lpstr>Table 187</vt:lpstr>
      <vt:lpstr>Table 188</vt:lpstr>
      <vt:lpstr>Table 189</vt:lpstr>
      <vt:lpstr>Table 190</vt:lpstr>
      <vt:lpstr>Table 191</vt:lpstr>
      <vt:lpstr>Table 192</vt:lpstr>
      <vt:lpstr>Table 193</vt:lpstr>
      <vt:lpstr>Table 194</vt:lpstr>
      <vt:lpstr>Table 195</vt:lpstr>
      <vt:lpstr>Table 196</vt:lpstr>
      <vt:lpstr>Table 197</vt:lpstr>
      <vt:lpstr>Table 198</vt:lpstr>
      <vt:lpstr>Table 199</vt:lpstr>
      <vt:lpstr>Table 200</vt:lpstr>
      <vt:lpstr>Table 201</vt:lpstr>
      <vt:lpstr>Table 202</vt:lpstr>
      <vt:lpstr>Table 203</vt:lpstr>
      <vt:lpstr>Table 204</vt:lpstr>
      <vt:lpstr>Table 205</vt:lpstr>
      <vt:lpstr>Table 206</vt:lpstr>
      <vt:lpstr>Table 207</vt:lpstr>
      <vt:lpstr>Table 208</vt:lpstr>
      <vt:lpstr>Table 209</vt:lpstr>
      <vt:lpstr>Table 210</vt:lpstr>
      <vt:lpstr>Table 211</vt:lpstr>
      <vt:lpstr>Table 212</vt:lpstr>
      <vt:lpstr>Table 213</vt:lpstr>
      <vt:lpstr>Table 214</vt:lpstr>
      <vt:lpstr>Table 215</vt:lpstr>
      <vt:lpstr>Table 216</vt:lpstr>
      <vt:lpstr>Table 217</vt:lpstr>
      <vt:lpstr>Table 218</vt:lpstr>
      <vt:lpstr>Table 219</vt:lpstr>
      <vt:lpstr>Table 220</vt:lpstr>
      <vt:lpstr>Table 221</vt:lpstr>
      <vt:lpstr>Table 222</vt:lpstr>
      <vt:lpstr>Table 223</vt:lpstr>
      <vt:lpstr>Table 224</vt:lpstr>
      <vt:lpstr>Table 225</vt:lpstr>
      <vt:lpstr>Table 226</vt:lpstr>
      <vt:lpstr>Table 227</vt:lpstr>
      <vt:lpstr>Table 228</vt:lpstr>
      <vt:lpstr>Table 229</vt:lpstr>
      <vt:lpstr>Table 230</vt:lpstr>
      <vt:lpstr>Table 231</vt:lpstr>
      <vt:lpstr>Table 232</vt:lpstr>
      <vt:lpstr>Table 233</vt:lpstr>
      <vt:lpstr>Table 234</vt:lpstr>
      <vt:lpstr>Table 235</vt:lpstr>
      <vt:lpstr>Table 236</vt:lpstr>
      <vt:lpstr>Table 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SunitaPfitzner</dc:creator>
  <cp:lastModifiedBy>Sunita Pfitzner</cp:lastModifiedBy>
  <dcterms:created xsi:type="dcterms:W3CDTF">2024-12-28T16:36:56Z</dcterms:created>
  <dcterms:modified xsi:type="dcterms:W3CDTF">2025-01-02T17:42:14Z</dcterms:modified>
</cp:coreProperties>
</file>